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840B1F-2267-4B9C-8065-0E96CAAE9F54}" xr6:coauthVersionLast="47" xr6:coauthVersionMax="47" xr10:uidLastSave="{00000000-0000-0000-0000-000000000000}"/>
  <bookViews>
    <workbookView xWindow="-120" yWindow="-120" windowWidth="38640" windowHeight="15720" tabRatio="899" firstSheet="8" activeTab="14"/>
  </bookViews>
  <sheets>
    <sheet name="Summary-Invoice" sheetId="1" r:id="rId1"/>
    <sheet name="VNG Sheet" sheetId="2" r:id="rId2"/>
    <sheet name="Tier Volume Calc" sheetId="3" r:id="rId3"/>
    <sheet name="Tier Schedule" sheetId="4" r:id="rId4"/>
    <sheet name="Input Gas Prices" sheetId="5" r:id="rId5"/>
    <sheet name="Demand" sheetId="6" r:id="rId6"/>
    <sheet name="Weightings" sheetId="7" r:id="rId7"/>
    <sheet name="Williams FS Price" sheetId="8" r:id="rId8"/>
    <sheet name="Baseload - Tier 1" sheetId="9" r:id="rId9"/>
    <sheet name="Tier 2 Cost Calculator" sheetId="10" r:id="rId10"/>
    <sheet name="Gas Daily - Tier 2" sheetId="11" r:id="rId11"/>
    <sheet name="Strg WD - Tier 3" sheetId="12" r:id="rId12"/>
    <sheet name="Strg Activity" sheetId="13" r:id="rId13"/>
    <sheet name="Strg Refill Quantity" sheetId="14" r:id="rId14"/>
    <sheet name="Storage Fill Price" sheetId="15" r:id="rId15"/>
  </sheets>
  <externalReferences>
    <externalReference r:id="rId16"/>
  </externalReferences>
  <definedNames>
    <definedName name="_1_2Q97">#REF!</definedName>
    <definedName name="APR">#REF!</definedName>
    <definedName name="JUN">#REF!</definedName>
    <definedName name="MAY">#REF!</definedName>
    <definedName name="_xlnm.Print_Area" localSheetId="8">'Baseload - Tier 1'!$A$2:$T$29</definedName>
    <definedName name="_xlnm.Print_Area" localSheetId="5">Demand!$A$1:$O$98</definedName>
    <definedName name="_xlnm.Print_Area" localSheetId="13">'Strg Refill Quantity'!$A$1:$J$28</definedName>
    <definedName name="_xlnm.Print_Area" localSheetId="1">'VNG Sheet'!$A$1:$Y$81</definedName>
    <definedName name="_xlnm.Print_Titles" localSheetId="8">'Baseload - Tier 1'!$A:$A</definedName>
    <definedName name="_xlnm.Print_Titles" localSheetId="14">'Storage Fill Price'!$A:$B</definedName>
    <definedName name="SHEET" localSheetId="2">'Tier Volume Calc'!$B$1:$B$56</definedName>
    <definedName name="SHEET">'VNG Sheet'!$B$1:$X$56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9" l="1"/>
  <c r="D9" i="9"/>
  <c r="H9" i="9"/>
  <c r="J9" i="9"/>
  <c r="L9" i="9"/>
  <c r="P9" i="9"/>
  <c r="Q9" i="9"/>
  <c r="R9" i="9"/>
  <c r="D10" i="9"/>
  <c r="H10" i="9"/>
  <c r="J10" i="9"/>
  <c r="L10" i="9"/>
  <c r="P10" i="9"/>
  <c r="Q10" i="9"/>
  <c r="R10" i="9"/>
  <c r="D11" i="9"/>
  <c r="F11" i="9"/>
  <c r="H11" i="9"/>
  <c r="L11" i="9"/>
  <c r="P11" i="9"/>
  <c r="Q11" i="9"/>
  <c r="R11" i="9"/>
  <c r="D12" i="9"/>
  <c r="F12" i="9"/>
  <c r="H12" i="9"/>
  <c r="L12" i="9"/>
  <c r="P12" i="9"/>
  <c r="Q12" i="9"/>
  <c r="R12" i="9"/>
  <c r="D13" i="9"/>
  <c r="F13" i="9"/>
  <c r="H13" i="9"/>
  <c r="J13" i="9"/>
  <c r="L13" i="9"/>
  <c r="P13" i="9"/>
  <c r="Q13" i="9"/>
  <c r="R13" i="9"/>
  <c r="D14" i="9"/>
  <c r="F14" i="9"/>
  <c r="H14" i="9"/>
  <c r="J14" i="9"/>
  <c r="L14" i="9"/>
  <c r="P14" i="9"/>
  <c r="Q14" i="9"/>
  <c r="R14" i="9"/>
  <c r="H15" i="9"/>
  <c r="L15" i="9"/>
  <c r="P15" i="9"/>
  <c r="Q15" i="9"/>
  <c r="R15" i="9"/>
  <c r="H16" i="9"/>
  <c r="L16" i="9"/>
  <c r="P16" i="9"/>
  <c r="Q16" i="9"/>
  <c r="R16" i="9"/>
  <c r="H17" i="9"/>
  <c r="L17" i="9"/>
  <c r="P17" i="9"/>
  <c r="Q17" i="9"/>
  <c r="R17" i="9"/>
  <c r="D18" i="9"/>
  <c r="F18" i="9"/>
  <c r="H18" i="9"/>
  <c r="J18" i="9"/>
  <c r="L18" i="9"/>
  <c r="N18" i="9"/>
  <c r="P18" i="9"/>
  <c r="Q18" i="9"/>
  <c r="R18" i="9"/>
  <c r="D19" i="9"/>
  <c r="F19" i="9"/>
  <c r="H19" i="9"/>
  <c r="L19" i="9"/>
  <c r="P19" i="9"/>
  <c r="Q19" i="9"/>
  <c r="R19" i="9"/>
  <c r="D20" i="9"/>
  <c r="F20" i="9"/>
  <c r="H20" i="9"/>
  <c r="L20" i="9"/>
  <c r="P20" i="9"/>
  <c r="Q20" i="9"/>
  <c r="R20" i="9"/>
  <c r="D21" i="9"/>
  <c r="F21" i="9"/>
  <c r="H21" i="9"/>
  <c r="L21" i="9"/>
  <c r="P21" i="9"/>
  <c r="Q21" i="9"/>
  <c r="R21" i="9"/>
  <c r="D22" i="9"/>
  <c r="F22" i="9"/>
  <c r="H22" i="9"/>
  <c r="L22" i="9"/>
  <c r="P22" i="9"/>
  <c r="Q22" i="9"/>
  <c r="R22" i="9"/>
  <c r="R25" i="9"/>
  <c r="Q27" i="9"/>
  <c r="Q28" i="9"/>
  <c r="Q29" i="9"/>
  <c r="J7" i="6"/>
  <c r="J8" i="6"/>
  <c r="J10" i="6"/>
  <c r="J11" i="6"/>
  <c r="J13" i="6"/>
  <c r="J14" i="6"/>
  <c r="J16" i="6"/>
  <c r="J18" i="6"/>
  <c r="J20" i="6"/>
  <c r="J22" i="6"/>
  <c r="J23" i="6"/>
  <c r="J24" i="6"/>
  <c r="J26" i="6"/>
  <c r="J28" i="6"/>
  <c r="J29" i="6"/>
  <c r="J30" i="6"/>
  <c r="J31" i="6"/>
  <c r="J33" i="6"/>
  <c r="J34" i="6"/>
  <c r="J37" i="6"/>
  <c r="J38" i="6"/>
  <c r="J39" i="6"/>
  <c r="J40" i="6"/>
  <c r="J42" i="6"/>
  <c r="J43" i="6"/>
  <c r="J44" i="6"/>
  <c r="J45" i="6"/>
  <c r="J46" i="6"/>
  <c r="J48" i="6"/>
  <c r="J51" i="6"/>
  <c r="J53" i="6"/>
  <c r="J55" i="6"/>
  <c r="J57" i="6"/>
  <c r="J60" i="6"/>
  <c r="J61" i="6"/>
  <c r="J62" i="6"/>
  <c r="J63" i="6"/>
  <c r="J64" i="6"/>
  <c r="J65" i="6"/>
  <c r="J66" i="6"/>
  <c r="I67" i="6"/>
  <c r="J67" i="6"/>
  <c r="J69" i="6"/>
  <c r="J70" i="6"/>
  <c r="J72" i="6"/>
  <c r="J73" i="6"/>
  <c r="J75" i="6"/>
  <c r="J76" i="6"/>
  <c r="J78" i="6"/>
  <c r="J81" i="6"/>
  <c r="E3" i="11"/>
  <c r="A6" i="11"/>
  <c r="B6" i="11"/>
  <c r="C6" i="11"/>
  <c r="G6" i="11"/>
  <c r="A7" i="11"/>
  <c r="B7" i="11"/>
  <c r="C7" i="11"/>
  <c r="G7" i="11"/>
  <c r="A8" i="11"/>
  <c r="B8" i="11"/>
  <c r="C8" i="11"/>
  <c r="G8" i="11"/>
  <c r="A9" i="11"/>
  <c r="B9" i="11"/>
  <c r="C9" i="11"/>
  <c r="G9" i="11"/>
  <c r="A10" i="11"/>
  <c r="B10" i="11"/>
  <c r="C10" i="11"/>
  <c r="G10" i="11"/>
  <c r="A11" i="11"/>
  <c r="B11" i="11"/>
  <c r="C11" i="11"/>
  <c r="G11" i="11"/>
  <c r="A12" i="11"/>
  <c r="B12" i="11"/>
  <c r="C12" i="11"/>
  <c r="E12" i="11"/>
  <c r="G12" i="11"/>
  <c r="A13" i="11"/>
  <c r="B13" i="11"/>
  <c r="C13" i="11"/>
  <c r="E13" i="11"/>
  <c r="G13" i="11"/>
  <c r="A14" i="11"/>
  <c r="B14" i="11"/>
  <c r="C14" i="11"/>
  <c r="G14" i="11"/>
  <c r="A15" i="11"/>
  <c r="B15" i="11"/>
  <c r="C15" i="11"/>
  <c r="G15" i="11"/>
  <c r="A16" i="11"/>
  <c r="B16" i="11"/>
  <c r="C16" i="11"/>
  <c r="G16" i="11"/>
  <c r="A17" i="11"/>
  <c r="B17" i="11"/>
  <c r="C17" i="11"/>
  <c r="G17" i="11"/>
  <c r="A18" i="11"/>
  <c r="B18" i="11"/>
  <c r="C18" i="11"/>
  <c r="G18" i="11"/>
  <c r="A19" i="11"/>
  <c r="B19" i="11"/>
  <c r="C19" i="11"/>
  <c r="E19" i="11"/>
  <c r="G19" i="11"/>
  <c r="A20" i="11"/>
  <c r="B20" i="11"/>
  <c r="C20" i="11"/>
  <c r="E20" i="11"/>
  <c r="G20" i="11"/>
  <c r="A21" i="11"/>
  <c r="B21" i="11"/>
  <c r="C21" i="11"/>
  <c r="G21" i="11"/>
  <c r="A22" i="11"/>
  <c r="B22" i="11"/>
  <c r="C22" i="11"/>
  <c r="G22" i="11"/>
  <c r="A23" i="11"/>
  <c r="B23" i="11"/>
  <c r="C23" i="11"/>
  <c r="G23" i="11"/>
  <c r="A24" i="11"/>
  <c r="B24" i="11"/>
  <c r="C24" i="11"/>
  <c r="G24" i="11"/>
  <c r="A25" i="11"/>
  <c r="B25" i="11"/>
  <c r="C25" i="11"/>
  <c r="G25" i="11"/>
  <c r="A26" i="11"/>
  <c r="B26" i="11"/>
  <c r="C26" i="11"/>
  <c r="E26" i="11"/>
  <c r="G26" i="11"/>
  <c r="A27" i="11"/>
  <c r="B27" i="11"/>
  <c r="C27" i="11"/>
  <c r="E27" i="11"/>
  <c r="G27" i="11"/>
  <c r="A28" i="11"/>
  <c r="B28" i="11"/>
  <c r="C28" i="11"/>
  <c r="G28" i="11"/>
  <c r="A29" i="11"/>
  <c r="B29" i="11"/>
  <c r="C29" i="11"/>
  <c r="G29" i="11"/>
  <c r="A30" i="11"/>
  <c r="B30" i="11"/>
  <c r="C30" i="11"/>
  <c r="G30" i="11"/>
  <c r="A31" i="11"/>
  <c r="B31" i="11"/>
  <c r="C31" i="11"/>
  <c r="G31" i="11"/>
  <c r="A32" i="11"/>
  <c r="B32" i="11"/>
  <c r="C32" i="11"/>
  <c r="G32" i="11"/>
  <c r="A33" i="11"/>
  <c r="B33" i="11"/>
  <c r="C33" i="11"/>
  <c r="E33" i="11"/>
  <c r="G33" i="11"/>
  <c r="A34" i="11"/>
  <c r="B34" i="11"/>
  <c r="C34" i="11"/>
  <c r="E34" i="11"/>
  <c r="G34" i="11"/>
  <c r="A35" i="11"/>
  <c r="B35" i="11"/>
  <c r="C35" i="11"/>
  <c r="G35" i="11"/>
  <c r="A36" i="11"/>
  <c r="B36" i="11"/>
  <c r="C36" i="11"/>
  <c r="G36" i="11"/>
  <c r="C39" i="11"/>
  <c r="E39" i="11"/>
  <c r="G39" i="11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6" i="15"/>
  <c r="D9" i="15"/>
  <c r="F9" i="15"/>
  <c r="H9" i="15"/>
  <c r="L9" i="15"/>
  <c r="P9" i="15"/>
  <c r="S9" i="15"/>
  <c r="T9" i="15"/>
  <c r="U9" i="15"/>
  <c r="V9" i="15"/>
  <c r="T11" i="15"/>
  <c r="V11" i="15"/>
  <c r="W11" i="15"/>
  <c r="X11" i="15"/>
  <c r="Y11" i="15"/>
  <c r="D14" i="15"/>
  <c r="F14" i="15"/>
  <c r="H14" i="15"/>
  <c r="J14" i="15"/>
  <c r="L14" i="15"/>
  <c r="N14" i="15"/>
  <c r="P14" i="15"/>
  <c r="S14" i="15"/>
  <c r="T14" i="15"/>
  <c r="U14" i="15"/>
  <c r="V14" i="15"/>
  <c r="D15" i="15"/>
  <c r="F15" i="15"/>
  <c r="H15" i="15"/>
  <c r="L15" i="15"/>
  <c r="P15" i="15"/>
  <c r="S15" i="15"/>
  <c r="T15" i="15"/>
  <c r="U15" i="15"/>
  <c r="V15" i="15"/>
  <c r="T17" i="15"/>
  <c r="V17" i="15"/>
  <c r="W17" i="15"/>
  <c r="X17" i="15"/>
  <c r="Y17" i="15"/>
  <c r="D20" i="15"/>
  <c r="F20" i="15"/>
  <c r="H20" i="15"/>
  <c r="J20" i="15"/>
  <c r="L20" i="15"/>
  <c r="N20" i="15"/>
  <c r="P20" i="15"/>
  <c r="S20" i="15"/>
  <c r="T20" i="15"/>
  <c r="U20" i="15"/>
  <c r="V20" i="15"/>
  <c r="D21" i="15"/>
  <c r="F21" i="15"/>
  <c r="H21" i="15"/>
  <c r="L21" i="15"/>
  <c r="P21" i="15"/>
  <c r="S21" i="15"/>
  <c r="T21" i="15"/>
  <c r="U21" i="15"/>
  <c r="V21" i="15"/>
  <c r="T23" i="15"/>
  <c r="V23" i="15"/>
  <c r="W23" i="15"/>
  <c r="X23" i="15"/>
  <c r="Y23" i="15"/>
  <c r="D26" i="15"/>
  <c r="H26" i="15"/>
  <c r="L26" i="15"/>
  <c r="P26" i="15"/>
  <c r="S26" i="15"/>
  <c r="T26" i="15"/>
  <c r="U26" i="15"/>
  <c r="V26" i="15"/>
  <c r="D27" i="15"/>
  <c r="H27" i="15"/>
  <c r="L27" i="15"/>
  <c r="P27" i="15"/>
  <c r="S27" i="15"/>
  <c r="T27" i="15"/>
  <c r="U27" i="15"/>
  <c r="V27" i="15"/>
  <c r="D28" i="15"/>
  <c r="H28" i="15"/>
  <c r="L28" i="15"/>
  <c r="P28" i="15"/>
  <c r="S28" i="15"/>
  <c r="T28" i="15"/>
  <c r="U28" i="15"/>
  <c r="V28" i="15"/>
  <c r="D29" i="15"/>
  <c r="H29" i="15"/>
  <c r="L29" i="15"/>
  <c r="P29" i="15"/>
  <c r="S29" i="15"/>
  <c r="T29" i="15"/>
  <c r="U29" i="15"/>
  <c r="V29" i="15"/>
  <c r="D30" i="15"/>
  <c r="F30" i="15"/>
  <c r="H30" i="15"/>
  <c r="L30" i="15"/>
  <c r="P30" i="15"/>
  <c r="S30" i="15"/>
  <c r="T30" i="15"/>
  <c r="U30" i="15"/>
  <c r="V30" i="15"/>
  <c r="D31" i="15"/>
  <c r="F31" i="15"/>
  <c r="H31" i="15"/>
  <c r="L31" i="15"/>
  <c r="P31" i="15"/>
  <c r="S31" i="15"/>
  <c r="T31" i="15"/>
  <c r="U31" i="15"/>
  <c r="V31" i="15"/>
  <c r="T33" i="15"/>
  <c r="V33" i="15"/>
  <c r="W33" i="15"/>
  <c r="X33" i="15"/>
  <c r="Y33" i="15"/>
  <c r="D36" i="15"/>
  <c r="H36" i="15"/>
  <c r="J36" i="15"/>
  <c r="L36" i="15"/>
  <c r="P36" i="15"/>
  <c r="Q36" i="15"/>
  <c r="S36" i="15"/>
  <c r="T36" i="15"/>
  <c r="U36" i="15"/>
  <c r="V36" i="15"/>
  <c r="D37" i="15"/>
  <c r="H37" i="15"/>
  <c r="J37" i="15"/>
  <c r="L37" i="15"/>
  <c r="P37" i="15"/>
  <c r="Q37" i="15"/>
  <c r="S37" i="15"/>
  <c r="T37" i="15"/>
  <c r="U37" i="15"/>
  <c r="V37" i="15"/>
  <c r="D38" i="15"/>
  <c r="F38" i="15"/>
  <c r="H38" i="15"/>
  <c r="L38" i="15"/>
  <c r="P38" i="15"/>
  <c r="Q38" i="15"/>
  <c r="S38" i="15"/>
  <c r="T38" i="15"/>
  <c r="U38" i="15"/>
  <c r="V38" i="15"/>
  <c r="D39" i="15"/>
  <c r="F39" i="15"/>
  <c r="H39" i="15"/>
  <c r="L39" i="15"/>
  <c r="P39" i="15"/>
  <c r="Q39" i="15"/>
  <c r="S39" i="15"/>
  <c r="T39" i="15"/>
  <c r="U39" i="15"/>
  <c r="V39" i="15"/>
  <c r="D40" i="15"/>
  <c r="F40" i="15"/>
  <c r="H40" i="15"/>
  <c r="J40" i="15"/>
  <c r="L40" i="15"/>
  <c r="P40" i="15"/>
  <c r="Q40" i="15"/>
  <c r="S40" i="15"/>
  <c r="T40" i="15"/>
  <c r="U40" i="15"/>
  <c r="V40" i="15"/>
  <c r="D41" i="15"/>
  <c r="F41" i="15"/>
  <c r="H41" i="15"/>
  <c r="J41" i="15"/>
  <c r="L41" i="15"/>
  <c r="P41" i="15"/>
  <c r="Q41" i="15"/>
  <c r="S41" i="15"/>
  <c r="T41" i="15"/>
  <c r="U41" i="15"/>
  <c r="V41" i="15"/>
  <c r="T43" i="15"/>
  <c r="V43" i="15"/>
  <c r="W43" i="15"/>
  <c r="X43" i="15"/>
  <c r="Y43" i="15"/>
  <c r="W46" i="15"/>
  <c r="X46" i="15"/>
  <c r="Y46" i="15"/>
  <c r="H3" i="13"/>
  <c r="K3" i="13"/>
  <c r="L3" i="13"/>
  <c r="M3" i="13"/>
  <c r="N3" i="13"/>
  <c r="O3" i="13"/>
  <c r="P3" i="13"/>
  <c r="C6" i="13"/>
  <c r="D6" i="13"/>
  <c r="E6" i="13"/>
  <c r="F6" i="13"/>
  <c r="G6" i="13"/>
  <c r="H6" i="13"/>
  <c r="K6" i="13"/>
  <c r="L6" i="13"/>
  <c r="M6" i="13"/>
  <c r="N6" i="13"/>
  <c r="O6" i="13"/>
  <c r="P6" i="13"/>
  <c r="C8" i="13"/>
  <c r="D8" i="13"/>
  <c r="E8" i="13"/>
  <c r="F8" i="13"/>
  <c r="G8" i="13"/>
  <c r="H8" i="13"/>
  <c r="J8" i="13"/>
  <c r="P8" i="13"/>
  <c r="B9" i="13"/>
  <c r="C9" i="13"/>
  <c r="D9" i="13"/>
  <c r="E9" i="13"/>
  <c r="F9" i="13"/>
  <c r="G9" i="13"/>
  <c r="H9" i="13"/>
  <c r="J9" i="13"/>
  <c r="P9" i="13"/>
  <c r="B10" i="13"/>
  <c r="C10" i="13"/>
  <c r="D10" i="13"/>
  <c r="E10" i="13"/>
  <c r="F10" i="13"/>
  <c r="G10" i="13"/>
  <c r="H10" i="13"/>
  <c r="J10" i="13"/>
  <c r="P10" i="13"/>
  <c r="B11" i="13"/>
  <c r="C11" i="13"/>
  <c r="D11" i="13"/>
  <c r="E11" i="13"/>
  <c r="F11" i="13"/>
  <c r="G11" i="13"/>
  <c r="H11" i="13"/>
  <c r="J11" i="13"/>
  <c r="P11" i="13"/>
  <c r="B12" i="13"/>
  <c r="C12" i="13"/>
  <c r="D12" i="13"/>
  <c r="E12" i="13"/>
  <c r="F12" i="13"/>
  <c r="G12" i="13"/>
  <c r="H12" i="13"/>
  <c r="J12" i="13"/>
  <c r="P12" i="13"/>
  <c r="B13" i="13"/>
  <c r="C13" i="13"/>
  <c r="D13" i="13"/>
  <c r="E13" i="13"/>
  <c r="F13" i="13"/>
  <c r="G13" i="13"/>
  <c r="H13" i="13"/>
  <c r="J13" i="13"/>
  <c r="P13" i="13"/>
  <c r="B14" i="13"/>
  <c r="C14" i="13"/>
  <c r="D14" i="13"/>
  <c r="E14" i="13"/>
  <c r="F14" i="13"/>
  <c r="G14" i="13"/>
  <c r="H14" i="13"/>
  <c r="J14" i="13"/>
  <c r="P14" i="13"/>
  <c r="B15" i="13"/>
  <c r="C15" i="13"/>
  <c r="D15" i="13"/>
  <c r="E15" i="13"/>
  <c r="F15" i="13"/>
  <c r="G15" i="13"/>
  <c r="H15" i="13"/>
  <c r="J15" i="13"/>
  <c r="P15" i="13"/>
  <c r="B16" i="13"/>
  <c r="C16" i="13"/>
  <c r="D16" i="13"/>
  <c r="E16" i="13"/>
  <c r="F16" i="13"/>
  <c r="G16" i="13"/>
  <c r="H16" i="13"/>
  <c r="J16" i="13"/>
  <c r="P16" i="13"/>
  <c r="B17" i="13"/>
  <c r="C17" i="13"/>
  <c r="D17" i="13"/>
  <c r="E17" i="13"/>
  <c r="F17" i="13"/>
  <c r="G17" i="13"/>
  <c r="H17" i="13"/>
  <c r="J17" i="13"/>
  <c r="P17" i="13"/>
  <c r="B18" i="13"/>
  <c r="C18" i="13"/>
  <c r="D18" i="13"/>
  <c r="E18" i="13"/>
  <c r="F18" i="13"/>
  <c r="G18" i="13"/>
  <c r="H18" i="13"/>
  <c r="J18" i="13"/>
  <c r="P18" i="13"/>
  <c r="B19" i="13"/>
  <c r="C19" i="13"/>
  <c r="D19" i="13"/>
  <c r="E19" i="13"/>
  <c r="F19" i="13"/>
  <c r="G19" i="13"/>
  <c r="H19" i="13"/>
  <c r="J19" i="13"/>
  <c r="P19" i="13"/>
  <c r="B20" i="13"/>
  <c r="C20" i="13"/>
  <c r="D20" i="13"/>
  <c r="E20" i="13"/>
  <c r="F20" i="13"/>
  <c r="G20" i="13"/>
  <c r="H20" i="13"/>
  <c r="J20" i="13"/>
  <c r="K20" i="13"/>
  <c r="L20" i="13"/>
  <c r="M20" i="13"/>
  <c r="N20" i="13"/>
  <c r="O20" i="13"/>
  <c r="P20" i="13"/>
  <c r="B21" i="13"/>
  <c r="C21" i="13"/>
  <c r="D21" i="13"/>
  <c r="E21" i="13"/>
  <c r="F21" i="13"/>
  <c r="G21" i="13"/>
  <c r="H21" i="13"/>
  <c r="J21" i="13"/>
  <c r="P21" i="13"/>
  <c r="B22" i="13"/>
  <c r="C22" i="13"/>
  <c r="D22" i="13"/>
  <c r="E22" i="13"/>
  <c r="F22" i="13"/>
  <c r="G22" i="13"/>
  <c r="H22" i="13"/>
  <c r="J22" i="13"/>
  <c r="P22" i="13"/>
  <c r="B23" i="13"/>
  <c r="C23" i="13"/>
  <c r="D23" i="13"/>
  <c r="E23" i="13"/>
  <c r="F23" i="13"/>
  <c r="G23" i="13"/>
  <c r="H23" i="13"/>
  <c r="J23" i="13"/>
  <c r="P23" i="13"/>
  <c r="B24" i="13"/>
  <c r="C24" i="13"/>
  <c r="D24" i="13"/>
  <c r="E24" i="13"/>
  <c r="F24" i="13"/>
  <c r="G24" i="13"/>
  <c r="H24" i="13"/>
  <c r="J24" i="13"/>
  <c r="P24" i="13"/>
  <c r="B25" i="13"/>
  <c r="C25" i="13"/>
  <c r="D25" i="13"/>
  <c r="E25" i="13"/>
  <c r="F25" i="13"/>
  <c r="G25" i="13"/>
  <c r="H25" i="13"/>
  <c r="J25" i="13"/>
  <c r="P25" i="13"/>
  <c r="B26" i="13"/>
  <c r="C26" i="13"/>
  <c r="D26" i="13"/>
  <c r="E26" i="13"/>
  <c r="F26" i="13"/>
  <c r="G26" i="13"/>
  <c r="H26" i="13"/>
  <c r="J26" i="13"/>
  <c r="K26" i="13"/>
  <c r="L26" i="13"/>
  <c r="M26" i="13"/>
  <c r="N26" i="13"/>
  <c r="O26" i="13"/>
  <c r="P26" i="13"/>
  <c r="B27" i="13"/>
  <c r="C27" i="13"/>
  <c r="D27" i="13"/>
  <c r="E27" i="13"/>
  <c r="F27" i="13"/>
  <c r="G27" i="13"/>
  <c r="H27" i="13"/>
  <c r="J27" i="13"/>
  <c r="P27" i="13"/>
  <c r="B28" i="13"/>
  <c r="C28" i="13"/>
  <c r="D28" i="13"/>
  <c r="E28" i="13"/>
  <c r="F28" i="13"/>
  <c r="G28" i="13"/>
  <c r="H28" i="13"/>
  <c r="J28" i="13"/>
  <c r="P28" i="13"/>
  <c r="B29" i="13"/>
  <c r="C29" i="13"/>
  <c r="D29" i="13"/>
  <c r="E29" i="13"/>
  <c r="F29" i="13"/>
  <c r="G29" i="13"/>
  <c r="H29" i="13"/>
  <c r="J29" i="13"/>
  <c r="P29" i="13"/>
  <c r="B30" i="13"/>
  <c r="C30" i="13"/>
  <c r="D30" i="13"/>
  <c r="E30" i="13"/>
  <c r="F30" i="13"/>
  <c r="G30" i="13"/>
  <c r="H30" i="13"/>
  <c r="J30" i="13"/>
  <c r="P30" i="13"/>
  <c r="B31" i="13"/>
  <c r="C31" i="13"/>
  <c r="D31" i="13"/>
  <c r="E31" i="13"/>
  <c r="F31" i="13"/>
  <c r="G31" i="13"/>
  <c r="H31" i="13"/>
  <c r="J31" i="13"/>
  <c r="P31" i="13"/>
  <c r="B32" i="13"/>
  <c r="C32" i="13"/>
  <c r="D32" i="13"/>
  <c r="E32" i="13"/>
  <c r="F32" i="13"/>
  <c r="G32" i="13"/>
  <c r="H32" i="13"/>
  <c r="J32" i="13"/>
  <c r="P32" i="13"/>
  <c r="B33" i="13"/>
  <c r="C33" i="13"/>
  <c r="D33" i="13"/>
  <c r="E33" i="13"/>
  <c r="F33" i="13"/>
  <c r="G33" i="13"/>
  <c r="H33" i="13"/>
  <c r="J33" i="13"/>
  <c r="P33" i="13"/>
  <c r="B34" i="13"/>
  <c r="C34" i="13"/>
  <c r="D34" i="13"/>
  <c r="E34" i="13"/>
  <c r="F34" i="13"/>
  <c r="G34" i="13"/>
  <c r="H34" i="13"/>
  <c r="J34" i="13"/>
  <c r="P34" i="13"/>
  <c r="B35" i="13"/>
  <c r="C35" i="13"/>
  <c r="D35" i="13"/>
  <c r="E35" i="13"/>
  <c r="F35" i="13"/>
  <c r="G35" i="13"/>
  <c r="H35" i="13"/>
  <c r="J35" i="13"/>
  <c r="P35" i="13"/>
  <c r="B36" i="13"/>
  <c r="C36" i="13"/>
  <c r="D36" i="13"/>
  <c r="E36" i="13"/>
  <c r="F36" i="13"/>
  <c r="G36" i="13"/>
  <c r="H36" i="13"/>
  <c r="J36" i="13"/>
  <c r="P36" i="13"/>
  <c r="B37" i="13"/>
  <c r="C37" i="13"/>
  <c r="D37" i="13"/>
  <c r="E37" i="13"/>
  <c r="F37" i="13"/>
  <c r="G37" i="13"/>
  <c r="H37" i="13"/>
  <c r="J37" i="13"/>
  <c r="P37" i="13"/>
  <c r="B38" i="13"/>
  <c r="C38" i="13"/>
  <c r="D38" i="13"/>
  <c r="E38" i="13"/>
  <c r="F38" i="13"/>
  <c r="G38" i="13"/>
  <c r="H38" i="13"/>
  <c r="J38" i="13"/>
  <c r="P38" i="13"/>
  <c r="C39" i="13"/>
  <c r="D39" i="13"/>
  <c r="E39" i="13"/>
  <c r="F39" i="13"/>
  <c r="G39" i="13"/>
  <c r="H39" i="13"/>
  <c r="K39" i="13"/>
  <c r="L39" i="13"/>
  <c r="M39" i="13"/>
  <c r="N39" i="13"/>
  <c r="O39" i="13"/>
  <c r="P39" i="13"/>
  <c r="C40" i="13"/>
  <c r="D40" i="13"/>
  <c r="E40" i="13"/>
  <c r="F40" i="13"/>
  <c r="G40" i="13"/>
  <c r="H40" i="13"/>
  <c r="K40" i="13"/>
  <c r="L40" i="13"/>
  <c r="M40" i="13"/>
  <c r="N40" i="13"/>
  <c r="O40" i="13"/>
  <c r="P40" i="13"/>
  <c r="C43" i="13"/>
  <c r="D43" i="13"/>
  <c r="E43" i="13"/>
  <c r="F43" i="13"/>
  <c r="G43" i="13"/>
  <c r="H43" i="13"/>
  <c r="C45" i="13"/>
  <c r="D45" i="13"/>
  <c r="E45" i="13"/>
  <c r="F45" i="13"/>
  <c r="G45" i="13"/>
  <c r="H46" i="13"/>
  <c r="E14" i="14"/>
  <c r="F14" i="14"/>
  <c r="G14" i="14"/>
  <c r="H14" i="14"/>
  <c r="I14" i="14"/>
  <c r="C16" i="14"/>
  <c r="D16" i="14"/>
  <c r="E16" i="14"/>
  <c r="F16" i="14"/>
  <c r="G16" i="14"/>
  <c r="H16" i="14"/>
  <c r="I16" i="14"/>
  <c r="C18" i="14"/>
  <c r="D18" i="14"/>
  <c r="E18" i="14"/>
  <c r="F18" i="14"/>
  <c r="G18" i="14"/>
  <c r="H18" i="14"/>
  <c r="I18" i="14"/>
  <c r="E20" i="14"/>
  <c r="F20" i="14"/>
  <c r="G20" i="14"/>
  <c r="H20" i="14"/>
  <c r="I20" i="14"/>
  <c r="F22" i="14"/>
  <c r="G22" i="14"/>
  <c r="H22" i="14"/>
  <c r="I22" i="14"/>
  <c r="C24" i="14"/>
  <c r="D24" i="14"/>
  <c r="E24" i="14"/>
  <c r="G24" i="14"/>
  <c r="H24" i="14"/>
  <c r="I24" i="14"/>
  <c r="E34" i="14"/>
  <c r="F34" i="14"/>
  <c r="H34" i="14"/>
  <c r="I34" i="14"/>
  <c r="C36" i="14"/>
  <c r="D36" i="14"/>
  <c r="E36" i="14"/>
  <c r="F36" i="14"/>
  <c r="H36" i="14"/>
  <c r="I36" i="14"/>
  <c r="C38" i="14"/>
  <c r="D38" i="14"/>
  <c r="E38" i="14"/>
  <c r="F38" i="14"/>
  <c r="H38" i="14"/>
  <c r="I38" i="14"/>
  <c r="E40" i="14"/>
  <c r="F40" i="14"/>
  <c r="H40" i="14"/>
  <c r="I40" i="14"/>
  <c r="F42" i="14"/>
  <c r="H42" i="14"/>
  <c r="I42" i="14"/>
  <c r="C44" i="14"/>
  <c r="D44" i="14"/>
  <c r="E44" i="14"/>
  <c r="G44" i="14"/>
  <c r="H44" i="14"/>
  <c r="I44" i="14"/>
  <c r="I46" i="14"/>
  <c r="B8" i="12"/>
  <c r="E11" i="12"/>
  <c r="G11" i="12"/>
  <c r="I11" i="12"/>
  <c r="M11" i="12"/>
  <c r="N11" i="12"/>
  <c r="O11" i="12"/>
  <c r="P11" i="12"/>
  <c r="E12" i="12"/>
  <c r="G12" i="12"/>
  <c r="I12" i="12"/>
  <c r="M12" i="12"/>
  <c r="N12" i="12"/>
  <c r="O12" i="12"/>
  <c r="P12" i="12"/>
  <c r="E13" i="12"/>
  <c r="G13" i="12"/>
  <c r="I13" i="12"/>
  <c r="M13" i="12"/>
  <c r="N13" i="12"/>
  <c r="O13" i="12"/>
  <c r="P13" i="12"/>
  <c r="E14" i="12"/>
  <c r="G14" i="12"/>
  <c r="I14" i="12"/>
  <c r="M14" i="12"/>
  <c r="N14" i="12"/>
  <c r="O14" i="12"/>
  <c r="P14" i="12"/>
  <c r="E15" i="12"/>
  <c r="G15" i="12"/>
  <c r="I15" i="12"/>
  <c r="K15" i="12"/>
  <c r="M15" i="12"/>
  <c r="N15" i="12"/>
  <c r="O15" i="12"/>
  <c r="P15" i="12"/>
  <c r="E16" i="12"/>
  <c r="I16" i="12"/>
  <c r="M16" i="12"/>
  <c r="N16" i="12"/>
  <c r="O16" i="12"/>
  <c r="P16" i="12"/>
  <c r="E17" i="12"/>
  <c r="I17" i="12"/>
  <c r="M17" i="12"/>
  <c r="N17" i="12"/>
  <c r="O17" i="12"/>
  <c r="P17" i="12"/>
  <c r="B19" i="12"/>
  <c r="N19" i="12"/>
  <c r="O19" i="12"/>
  <c r="P19" i="12"/>
  <c r="N22" i="12"/>
  <c r="P22" i="12"/>
  <c r="C6" i="1"/>
  <c r="D6" i="1"/>
  <c r="E6" i="1"/>
  <c r="C11" i="1"/>
  <c r="D11" i="1"/>
  <c r="E11" i="1"/>
  <c r="C16" i="1"/>
  <c r="D16" i="1"/>
  <c r="E16" i="1"/>
  <c r="C18" i="1"/>
  <c r="D18" i="1"/>
  <c r="E18" i="1"/>
  <c r="C21" i="1"/>
  <c r="D21" i="1"/>
  <c r="E21" i="1"/>
  <c r="C25" i="1"/>
  <c r="D25" i="1"/>
  <c r="E25" i="1"/>
  <c r="D31" i="1"/>
  <c r="D35" i="1"/>
  <c r="E35" i="1"/>
  <c r="C40" i="1"/>
  <c r="D40" i="1"/>
  <c r="E40" i="1"/>
  <c r="B7" i="10"/>
  <c r="C7" i="10"/>
  <c r="G9" i="10"/>
  <c r="I9" i="10"/>
  <c r="K9" i="10"/>
  <c r="O9" i="10"/>
  <c r="P9" i="10"/>
  <c r="Q9" i="10"/>
  <c r="G10" i="10"/>
  <c r="I10" i="10"/>
  <c r="K10" i="10"/>
  <c r="O10" i="10"/>
  <c r="P10" i="10"/>
  <c r="Q10" i="10"/>
  <c r="E11" i="10"/>
  <c r="G11" i="10"/>
  <c r="K11" i="10"/>
  <c r="O11" i="10"/>
  <c r="P11" i="10"/>
  <c r="Q11" i="10"/>
  <c r="E12" i="10"/>
  <c r="G12" i="10"/>
  <c r="K12" i="10"/>
  <c r="O12" i="10"/>
  <c r="P12" i="10"/>
  <c r="Q12" i="10"/>
  <c r="C13" i="10"/>
  <c r="E13" i="10"/>
  <c r="G13" i="10"/>
  <c r="I13" i="10"/>
  <c r="K13" i="10"/>
  <c r="O13" i="10"/>
  <c r="P13" i="10"/>
  <c r="Q13" i="10"/>
  <c r="C14" i="10"/>
  <c r="E14" i="10"/>
  <c r="G14" i="10"/>
  <c r="I14" i="10"/>
  <c r="K14" i="10"/>
  <c r="O14" i="10"/>
  <c r="P14" i="10"/>
  <c r="Q14" i="10"/>
  <c r="E15" i="10"/>
  <c r="G15" i="10"/>
  <c r="I15" i="10"/>
  <c r="K15" i="10"/>
  <c r="M15" i="10"/>
  <c r="N15" i="10"/>
  <c r="O15" i="10"/>
  <c r="P15" i="10"/>
  <c r="Q15" i="10"/>
  <c r="E16" i="10"/>
  <c r="G16" i="10"/>
  <c r="K16" i="10"/>
  <c r="O16" i="10"/>
  <c r="P16" i="10"/>
  <c r="Q16" i="10"/>
  <c r="E17" i="10"/>
  <c r="G17" i="10"/>
  <c r="K17" i="10"/>
  <c r="O17" i="10"/>
  <c r="P17" i="10"/>
  <c r="Q17" i="10"/>
  <c r="E18" i="10"/>
  <c r="G18" i="10"/>
  <c r="K18" i="10"/>
  <c r="O18" i="10"/>
  <c r="P18" i="10"/>
  <c r="Q18" i="10"/>
  <c r="E19" i="10"/>
  <c r="G19" i="10"/>
  <c r="K19" i="10"/>
  <c r="O19" i="10"/>
  <c r="P19" i="10"/>
  <c r="Q19" i="10"/>
  <c r="Q22" i="10"/>
  <c r="R22" i="10"/>
  <c r="P24" i="10"/>
  <c r="B27" i="10"/>
  <c r="C27" i="10"/>
  <c r="G29" i="10"/>
  <c r="I29" i="10"/>
  <c r="K29" i="10"/>
  <c r="O29" i="10"/>
  <c r="P29" i="10"/>
  <c r="Q29" i="10"/>
  <c r="G30" i="10"/>
  <c r="I30" i="10"/>
  <c r="K30" i="10"/>
  <c r="O30" i="10"/>
  <c r="P30" i="10"/>
  <c r="Q30" i="10"/>
  <c r="E31" i="10"/>
  <c r="G31" i="10"/>
  <c r="K31" i="10"/>
  <c r="O31" i="10"/>
  <c r="P31" i="10"/>
  <c r="Q31" i="10"/>
  <c r="E32" i="10"/>
  <c r="G32" i="10"/>
  <c r="K32" i="10"/>
  <c r="O32" i="10"/>
  <c r="P32" i="10"/>
  <c r="Q32" i="10"/>
  <c r="C33" i="10"/>
  <c r="E33" i="10"/>
  <c r="G33" i="10"/>
  <c r="I33" i="10"/>
  <c r="K33" i="10"/>
  <c r="O33" i="10"/>
  <c r="P33" i="10"/>
  <c r="Q33" i="10"/>
  <c r="C34" i="10"/>
  <c r="E34" i="10"/>
  <c r="G34" i="10"/>
  <c r="I34" i="10"/>
  <c r="K34" i="10"/>
  <c r="O34" i="10"/>
  <c r="P34" i="10"/>
  <c r="Q34" i="10"/>
  <c r="E35" i="10"/>
  <c r="G35" i="10"/>
  <c r="I35" i="10"/>
  <c r="K35" i="10"/>
  <c r="M35" i="10"/>
  <c r="N35" i="10"/>
  <c r="O35" i="10"/>
  <c r="P35" i="10"/>
  <c r="Q35" i="10"/>
  <c r="E36" i="10"/>
  <c r="G36" i="10"/>
  <c r="K36" i="10"/>
  <c r="O36" i="10"/>
  <c r="P36" i="10"/>
  <c r="Q36" i="10"/>
  <c r="E37" i="10"/>
  <c r="G37" i="10"/>
  <c r="K37" i="10"/>
  <c r="O37" i="10"/>
  <c r="P37" i="10"/>
  <c r="Q37" i="10"/>
  <c r="E38" i="10"/>
  <c r="G38" i="10"/>
  <c r="K38" i="10"/>
  <c r="O38" i="10"/>
  <c r="P38" i="10"/>
  <c r="Q38" i="10"/>
  <c r="E39" i="10"/>
  <c r="G39" i="10"/>
  <c r="K39" i="10"/>
  <c r="O39" i="10"/>
  <c r="P39" i="10"/>
  <c r="Q39" i="10"/>
  <c r="Q42" i="10"/>
  <c r="R42" i="10"/>
  <c r="P44" i="10"/>
  <c r="B47" i="10"/>
  <c r="C47" i="10"/>
  <c r="G49" i="10"/>
  <c r="I49" i="10"/>
  <c r="K49" i="10"/>
  <c r="O49" i="10"/>
  <c r="P49" i="10"/>
  <c r="Q49" i="10"/>
  <c r="G50" i="10"/>
  <c r="I50" i="10"/>
  <c r="K50" i="10"/>
  <c r="O50" i="10"/>
  <c r="P50" i="10"/>
  <c r="Q50" i="10"/>
  <c r="E51" i="10"/>
  <c r="G51" i="10"/>
  <c r="K51" i="10"/>
  <c r="O51" i="10"/>
  <c r="P51" i="10"/>
  <c r="Q51" i="10"/>
  <c r="E52" i="10"/>
  <c r="G52" i="10"/>
  <c r="K52" i="10"/>
  <c r="O52" i="10"/>
  <c r="P52" i="10"/>
  <c r="Q52" i="10"/>
  <c r="C53" i="10"/>
  <c r="E53" i="10"/>
  <c r="G53" i="10"/>
  <c r="I53" i="10"/>
  <c r="K53" i="10"/>
  <c r="O53" i="10"/>
  <c r="P53" i="10"/>
  <c r="Q53" i="10"/>
  <c r="C54" i="10"/>
  <c r="E54" i="10"/>
  <c r="G54" i="10"/>
  <c r="I54" i="10"/>
  <c r="K54" i="10"/>
  <c r="O54" i="10"/>
  <c r="P54" i="10"/>
  <c r="Q54" i="10"/>
  <c r="E55" i="10"/>
  <c r="G55" i="10"/>
  <c r="I55" i="10"/>
  <c r="K55" i="10"/>
  <c r="M55" i="10"/>
  <c r="N55" i="10"/>
  <c r="O55" i="10"/>
  <c r="P55" i="10"/>
  <c r="Q55" i="10"/>
  <c r="E56" i="10"/>
  <c r="G56" i="10"/>
  <c r="K56" i="10"/>
  <c r="O56" i="10"/>
  <c r="P56" i="10"/>
  <c r="Q56" i="10"/>
  <c r="E57" i="10"/>
  <c r="G57" i="10"/>
  <c r="K57" i="10"/>
  <c r="O57" i="10"/>
  <c r="P57" i="10"/>
  <c r="Q57" i="10"/>
  <c r="E58" i="10"/>
  <c r="G58" i="10"/>
  <c r="K58" i="10"/>
  <c r="O58" i="10"/>
  <c r="P58" i="10"/>
  <c r="Q58" i="10"/>
  <c r="E59" i="10"/>
  <c r="G59" i="10"/>
  <c r="K59" i="10"/>
  <c r="O59" i="10"/>
  <c r="P59" i="10"/>
  <c r="Q59" i="10"/>
  <c r="Q62" i="10"/>
  <c r="R62" i="10"/>
  <c r="P64" i="10"/>
  <c r="B67" i="10"/>
  <c r="C67" i="10"/>
  <c r="G69" i="10"/>
  <c r="I69" i="10"/>
  <c r="K69" i="10"/>
  <c r="O69" i="10"/>
  <c r="P69" i="10"/>
  <c r="Q69" i="10"/>
  <c r="G70" i="10"/>
  <c r="I70" i="10"/>
  <c r="K70" i="10"/>
  <c r="O70" i="10"/>
  <c r="P70" i="10"/>
  <c r="Q70" i="10"/>
  <c r="E71" i="10"/>
  <c r="G71" i="10"/>
  <c r="K71" i="10"/>
  <c r="O71" i="10"/>
  <c r="P71" i="10"/>
  <c r="Q71" i="10"/>
  <c r="E72" i="10"/>
  <c r="G72" i="10"/>
  <c r="K72" i="10"/>
  <c r="O72" i="10"/>
  <c r="P72" i="10"/>
  <c r="Q72" i="10"/>
  <c r="C73" i="10"/>
  <c r="E73" i="10"/>
  <c r="G73" i="10"/>
  <c r="I73" i="10"/>
  <c r="K73" i="10"/>
  <c r="O73" i="10"/>
  <c r="P73" i="10"/>
  <c r="Q73" i="10"/>
  <c r="C74" i="10"/>
  <c r="E74" i="10"/>
  <c r="G74" i="10"/>
  <c r="I74" i="10"/>
  <c r="K74" i="10"/>
  <c r="O74" i="10"/>
  <c r="P74" i="10"/>
  <c r="Q74" i="10"/>
  <c r="E75" i="10"/>
  <c r="G75" i="10"/>
  <c r="I75" i="10"/>
  <c r="K75" i="10"/>
  <c r="M75" i="10"/>
  <c r="N75" i="10"/>
  <c r="O75" i="10"/>
  <c r="P75" i="10"/>
  <c r="Q75" i="10"/>
  <c r="E76" i="10"/>
  <c r="G76" i="10"/>
  <c r="K76" i="10"/>
  <c r="O76" i="10"/>
  <c r="P76" i="10"/>
  <c r="Q76" i="10"/>
  <c r="E77" i="10"/>
  <c r="G77" i="10"/>
  <c r="K77" i="10"/>
  <c r="O77" i="10"/>
  <c r="P77" i="10"/>
  <c r="Q77" i="10"/>
  <c r="E78" i="10"/>
  <c r="G78" i="10"/>
  <c r="K78" i="10"/>
  <c r="O78" i="10"/>
  <c r="P78" i="10"/>
  <c r="Q78" i="10"/>
  <c r="E79" i="10"/>
  <c r="G79" i="10"/>
  <c r="K79" i="10"/>
  <c r="O79" i="10"/>
  <c r="P79" i="10"/>
  <c r="Q79" i="10"/>
  <c r="Q82" i="10"/>
  <c r="R82" i="10"/>
  <c r="P84" i="10"/>
  <c r="B87" i="10"/>
  <c r="C87" i="10"/>
  <c r="G89" i="10"/>
  <c r="I89" i="10"/>
  <c r="K89" i="10"/>
  <c r="O89" i="10"/>
  <c r="P89" i="10"/>
  <c r="Q89" i="10"/>
  <c r="G90" i="10"/>
  <c r="I90" i="10"/>
  <c r="K90" i="10"/>
  <c r="O90" i="10"/>
  <c r="P90" i="10"/>
  <c r="Q90" i="10"/>
  <c r="E91" i="10"/>
  <c r="G91" i="10"/>
  <c r="K91" i="10"/>
  <c r="O91" i="10"/>
  <c r="P91" i="10"/>
  <c r="Q91" i="10"/>
  <c r="E92" i="10"/>
  <c r="G92" i="10"/>
  <c r="K92" i="10"/>
  <c r="O92" i="10"/>
  <c r="P92" i="10"/>
  <c r="Q92" i="10"/>
  <c r="C93" i="10"/>
  <c r="E93" i="10"/>
  <c r="G93" i="10"/>
  <c r="I93" i="10"/>
  <c r="K93" i="10"/>
  <c r="O93" i="10"/>
  <c r="P93" i="10"/>
  <c r="Q93" i="10"/>
  <c r="C94" i="10"/>
  <c r="E94" i="10"/>
  <c r="G94" i="10"/>
  <c r="I94" i="10"/>
  <c r="K94" i="10"/>
  <c r="O94" i="10"/>
  <c r="P94" i="10"/>
  <c r="Q94" i="10"/>
  <c r="E95" i="10"/>
  <c r="G95" i="10"/>
  <c r="I95" i="10"/>
  <c r="K95" i="10"/>
  <c r="M95" i="10"/>
  <c r="N95" i="10"/>
  <c r="O95" i="10"/>
  <c r="P95" i="10"/>
  <c r="Q95" i="10"/>
  <c r="E96" i="10"/>
  <c r="G96" i="10"/>
  <c r="K96" i="10"/>
  <c r="O96" i="10"/>
  <c r="P96" i="10"/>
  <c r="Q96" i="10"/>
  <c r="E97" i="10"/>
  <c r="G97" i="10"/>
  <c r="K97" i="10"/>
  <c r="O97" i="10"/>
  <c r="P97" i="10"/>
  <c r="Q97" i="10"/>
  <c r="E98" i="10"/>
  <c r="G98" i="10"/>
  <c r="K98" i="10"/>
  <c r="O98" i="10"/>
  <c r="P98" i="10"/>
  <c r="Q98" i="10"/>
  <c r="E99" i="10"/>
  <c r="G99" i="10"/>
  <c r="K99" i="10"/>
  <c r="O99" i="10"/>
  <c r="P99" i="10"/>
  <c r="Q99" i="10"/>
  <c r="Q102" i="10"/>
  <c r="R102" i="10"/>
  <c r="P104" i="10"/>
  <c r="B107" i="10"/>
  <c r="C107" i="10"/>
  <c r="G109" i="10"/>
  <c r="I109" i="10"/>
  <c r="K109" i="10"/>
  <c r="O109" i="10"/>
  <c r="P109" i="10"/>
  <c r="Q109" i="10"/>
  <c r="G110" i="10"/>
  <c r="I110" i="10"/>
  <c r="K110" i="10"/>
  <c r="O110" i="10"/>
  <c r="P110" i="10"/>
  <c r="Q110" i="10"/>
  <c r="E111" i="10"/>
  <c r="G111" i="10"/>
  <c r="K111" i="10"/>
  <c r="O111" i="10"/>
  <c r="P111" i="10"/>
  <c r="Q111" i="10"/>
  <c r="E112" i="10"/>
  <c r="G112" i="10"/>
  <c r="K112" i="10"/>
  <c r="O112" i="10"/>
  <c r="P112" i="10"/>
  <c r="Q112" i="10"/>
  <c r="C113" i="10"/>
  <c r="E113" i="10"/>
  <c r="G113" i="10"/>
  <c r="I113" i="10"/>
  <c r="K113" i="10"/>
  <c r="O113" i="10"/>
  <c r="P113" i="10"/>
  <c r="Q113" i="10"/>
  <c r="C114" i="10"/>
  <c r="E114" i="10"/>
  <c r="G114" i="10"/>
  <c r="I114" i="10"/>
  <c r="K114" i="10"/>
  <c r="O114" i="10"/>
  <c r="P114" i="10"/>
  <c r="Q114" i="10"/>
  <c r="E115" i="10"/>
  <c r="G115" i="10"/>
  <c r="I115" i="10"/>
  <c r="K115" i="10"/>
  <c r="M115" i="10"/>
  <c r="N115" i="10"/>
  <c r="O115" i="10"/>
  <c r="P115" i="10"/>
  <c r="Q115" i="10"/>
  <c r="E116" i="10"/>
  <c r="G116" i="10"/>
  <c r="K116" i="10"/>
  <c r="O116" i="10"/>
  <c r="P116" i="10"/>
  <c r="Q116" i="10"/>
  <c r="E117" i="10"/>
  <c r="G117" i="10"/>
  <c r="K117" i="10"/>
  <c r="O117" i="10"/>
  <c r="P117" i="10"/>
  <c r="Q117" i="10"/>
  <c r="E118" i="10"/>
  <c r="G118" i="10"/>
  <c r="K118" i="10"/>
  <c r="O118" i="10"/>
  <c r="P118" i="10"/>
  <c r="Q118" i="10"/>
  <c r="E119" i="10"/>
  <c r="G119" i="10"/>
  <c r="K119" i="10"/>
  <c r="O119" i="10"/>
  <c r="P119" i="10"/>
  <c r="Q119" i="10"/>
  <c r="Q122" i="10"/>
  <c r="R122" i="10"/>
  <c r="P124" i="10"/>
  <c r="B127" i="10"/>
  <c r="C127" i="10"/>
  <c r="G129" i="10"/>
  <c r="I129" i="10"/>
  <c r="K129" i="10"/>
  <c r="O129" i="10"/>
  <c r="P129" i="10"/>
  <c r="Q129" i="10"/>
  <c r="G130" i="10"/>
  <c r="I130" i="10"/>
  <c r="K130" i="10"/>
  <c r="O130" i="10"/>
  <c r="P130" i="10"/>
  <c r="Q130" i="10"/>
  <c r="E131" i="10"/>
  <c r="G131" i="10"/>
  <c r="K131" i="10"/>
  <c r="O131" i="10"/>
  <c r="P131" i="10"/>
  <c r="Q131" i="10"/>
  <c r="E132" i="10"/>
  <c r="G132" i="10"/>
  <c r="K132" i="10"/>
  <c r="O132" i="10"/>
  <c r="P132" i="10"/>
  <c r="Q132" i="10"/>
  <c r="C133" i="10"/>
  <c r="E133" i="10"/>
  <c r="G133" i="10"/>
  <c r="I133" i="10"/>
  <c r="K133" i="10"/>
  <c r="O133" i="10"/>
  <c r="P133" i="10"/>
  <c r="Q133" i="10"/>
  <c r="C134" i="10"/>
  <c r="E134" i="10"/>
  <c r="G134" i="10"/>
  <c r="I134" i="10"/>
  <c r="K134" i="10"/>
  <c r="O134" i="10"/>
  <c r="P134" i="10"/>
  <c r="Q134" i="10"/>
  <c r="E135" i="10"/>
  <c r="G135" i="10"/>
  <c r="I135" i="10"/>
  <c r="K135" i="10"/>
  <c r="M135" i="10"/>
  <c r="N135" i="10"/>
  <c r="O135" i="10"/>
  <c r="P135" i="10"/>
  <c r="Q135" i="10"/>
  <c r="E136" i="10"/>
  <c r="G136" i="10"/>
  <c r="K136" i="10"/>
  <c r="O136" i="10"/>
  <c r="P136" i="10"/>
  <c r="Q136" i="10"/>
  <c r="E137" i="10"/>
  <c r="G137" i="10"/>
  <c r="K137" i="10"/>
  <c r="O137" i="10"/>
  <c r="P137" i="10"/>
  <c r="Q137" i="10"/>
  <c r="E138" i="10"/>
  <c r="G138" i="10"/>
  <c r="K138" i="10"/>
  <c r="O138" i="10"/>
  <c r="P138" i="10"/>
  <c r="Q138" i="10"/>
  <c r="E139" i="10"/>
  <c r="G139" i="10"/>
  <c r="K139" i="10"/>
  <c r="O139" i="10"/>
  <c r="P139" i="10"/>
  <c r="Q139" i="10"/>
  <c r="Q142" i="10"/>
  <c r="R142" i="10"/>
  <c r="P144" i="10"/>
  <c r="B147" i="10"/>
  <c r="C147" i="10"/>
  <c r="G149" i="10"/>
  <c r="I149" i="10"/>
  <c r="K149" i="10"/>
  <c r="O149" i="10"/>
  <c r="P149" i="10"/>
  <c r="Q149" i="10"/>
  <c r="G150" i="10"/>
  <c r="I150" i="10"/>
  <c r="K150" i="10"/>
  <c r="O150" i="10"/>
  <c r="P150" i="10"/>
  <c r="Q150" i="10"/>
  <c r="E151" i="10"/>
  <c r="G151" i="10"/>
  <c r="K151" i="10"/>
  <c r="O151" i="10"/>
  <c r="P151" i="10"/>
  <c r="Q151" i="10"/>
  <c r="E152" i="10"/>
  <c r="G152" i="10"/>
  <c r="K152" i="10"/>
  <c r="O152" i="10"/>
  <c r="P152" i="10"/>
  <c r="Q152" i="10"/>
  <c r="C153" i="10"/>
  <c r="E153" i="10"/>
  <c r="G153" i="10"/>
  <c r="I153" i="10"/>
  <c r="K153" i="10"/>
  <c r="O153" i="10"/>
  <c r="P153" i="10"/>
  <c r="Q153" i="10"/>
  <c r="C154" i="10"/>
  <c r="E154" i="10"/>
  <c r="G154" i="10"/>
  <c r="I154" i="10"/>
  <c r="K154" i="10"/>
  <c r="O154" i="10"/>
  <c r="P154" i="10"/>
  <c r="Q154" i="10"/>
  <c r="E155" i="10"/>
  <c r="G155" i="10"/>
  <c r="I155" i="10"/>
  <c r="K155" i="10"/>
  <c r="M155" i="10"/>
  <c r="N155" i="10"/>
  <c r="O155" i="10"/>
  <c r="P155" i="10"/>
  <c r="Q155" i="10"/>
  <c r="E156" i="10"/>
  <c r="G156" i="10"/>
  <c r="K156" i="10"/>
  <c r="O156" i="10"/>
  <c r="P156" i="10"/>
  <c r="Q156" i="10"/>
  <c r="E157" i="10"/>
  <c r="G157" i="10"/>
  <c r="K157" i="10"/>
  <c r="O157" i="10"/>
  <c r="P157" i="10"/>
  <c r="Q157" i="10"/>
  <c r="E158" i="10"/>
  <c r="G158" i="10"/>
  <c r="K158" i="10"/>
  <c r="O158" i="10"/>
  <c r="P158" i="10"/>
  <c r="Q158" i="10"/>
  <c r="E159" i="10"/>
  <c r="G159" i="10"/>
  <c r="K159" i="10"/>
  <c r="O159" i="10"/>
  <c r="P159" i="10"/>
  <c r="Q159" i="10"/>
  <c r="Q162" i="10"/>
  <c r="R162" i="10"/>
  <c r="P164" i="10"/>
  <c r="B167" i="10"/>
  <c r="C167" i="10"/>
  <c r="G169" i="10"/>
  <c r="I169" i="10"/>
  <c r="K169" i="10"/>
  <c r="O169" i="10"/>
  <c r="P169" i="10"/>
  <c r="Q169" i="10"/>
  <c r="G170" i="10"/>
  <c r="I170" i="10"/>
  <c r="K170" i="10"/>
  <c r="O170" i="10"/>
  <c r="P170" i="10"/>
  <c r="Q170" i="10"/>
  <c r="E171" i="10"/>
  <c r="G171" i="10"/>
  <c r="K171" i="10"/>
  <c r="O171" i="10"/>
  <c r="P171" i="10"/>
  <c r="Q171" i="10"/>
  <c r="E172" i="10"/>
  <c r="G172" i="10"/>
  <c r="K172" i="10"/>
  <c r="O172" i="10"/>
  <c r="P172" i="10"/>
  <c r="Q172" i="10"/>
  <c r="C173" i="10"/>
  <c r="E173" i="10"/>
  <c r="G173" i="10"/>
  <c r="I173" i="10"/>
  <c r="K173" i="10"/>
  <c r="O173" i="10"/>
  <c r="P173" i="10"/>
  <c r="Q173" i="10"/>
  <c r="C174" i="10"/>
  <c r="E174" i="10"/>
  <c r="G174" i="10"/>
  <c r="I174" i="10"/>
  <c r="K174" i="10"/>
  <c r="O174" i="10"/>
  <c r="P174" i="10"/>
  <c r="Q174" i="10"/>
  <c r="E175" i="10"/>
  <c r="G175" i="10"/>
  <c r="I175" i="10"/>
  <c r="K175" i="10"/>
  <c r="M175" i="10"/>
  <c r="N175" i="10"/>
  <c r="O175" i="10"/>
  <c r="P175" i="10"/>
  <c r="Q175" i="10"/>
  <c r="E176" i="10"/>
  <c r="G176" i="10"/>
  <c r="K176" i="10"/>
  <c r="O176" i="10"/>
  <c r="P176" i="10"/>
  <c r="Q176" i="10"/>
  <c r="E177" i="10"/>
  <c r="G177" i="10"/>
  <c r="K177" i="10"/>
  <c r="O177" i="10"/>
  <c r="P177" i="10"/>
  <c r="Q177" i="10"/>
  <c r="E178" i="10"/>
  <c r="G178" i="10"/>
  <c r="K178" i="10"/>
  <c r="O178" i="10"/>
  <c r="P178" i="10"/>
  <c r="Q178" i="10"/>
  <c r="E179" i="10"/>
  <c r="G179" i="10"/>
  <c r="K179" i="10"/>
  <c r="O179" i="10"/>
  <c r="P179" i="10"/>
  <c r="Q179" i="10"/>
  <c r="Q182" i="10"/>
  <c r="R182" i="10"/>
  <c r="P184" i="10"/>
  <c r="B187" i="10"/>
  <c r="C187" i="10"/>
  <c r="G189" i="10"/>
  <c r="I189" i="10"/>
  <c r="K189" i="10"/>
  <c r="O189" i="10"/>
  <c r="P189" i="10"/>
  <c r="Q189" i="10"/>
  <c r="G190" i="10"/>
  <c r="I190" i="10"/>
  <c r="K190" i="10"/>
  <c r="O190" i="10"/>
  <c r="P190" i="10"/>
  <c r="Q190" i="10"/>
  <c r="E191" i="10"/>
  <c r="G191" i="10"/>
  <c r="K191" i="10"/>
  <c r="O191" i="10"/>
  <c r="P191" i="10"/>
  <c r="Q191" i="10"/>
  <c r="E192" i="10"/>
  <c r="G192" i="10"/>
  <c r="K192" i="10"/>
  <c r="O192" i="10"/>
  <c r="P192" i="10"/>
  <c r="Q192" i="10"/>
  <c r="C193" i="10"/>
  <c r="E193" i="10"/>
  <c r="G193" i="10"/>
  <c r="I193" i="10"/>
  <c r="K193" i="10"/>
  <c r="O193" i="10"/>
  <c r="P193" i="10"/>
  <c r="Q193" i="10"/>
  <c r="C194" i="10"/>
  <c r="E194" i="10"/>
  <c r="G194" i="10"/>
  <c r="I194" i="10"/>
  <c r="K194" i="10"/>
  <c r="O194" i="10"/>
  <c r="P194" i="10"/>
  <c r="Q194" i="10"/>
  <c r="E195" i="10"/>
  <c r="G195" i="10"/>
  <c r="I195" i="10"/>
  <c r="K195" i="10"/>
  <c r="M195" i="10"/>
  <c r="N195" i="10"/>
  <c r="O195" i="10"/>
  <c r="P195" i="10"/>
  <c r="Q195" i="10"/>
  <c r="E196" i="10"/>
  <c r="G196" i="10"/>
  <c r="K196" i="10"/>
  <c r="O196" i="10"/>
  <c r="P196" i="10"/>
  <c r="Q196" i="10"/>
  <c r="E197" i="10"/>
  <c r="G197" i="10"/>
  <c r="K197" i="10"/>
  <c r="O197" i="10"/>
  <c r="P197" i="10"/>
  <c r="Q197" i="10"/>
  <c r="E198" i="10"/>
  <c r="G198" i="10"/>
  <c r="K198" i="10"/>
  <c r="O198" i="10"/>
  <c r="P198" i="10"/>
  <c r="Q198" i="10"/>
  <c r="E199" i="10"/>
  <c r="G199" i="10"/>
  <c r="K199" i="10"/>
  <c r="O199" i="10"/>
  <c r="P199" i="10"/>
  <c r="Q199" i="10"/>
  <c r="Q202" i="10"/>
  <c r="R202" i="10"/>
  <c r="P204" i="10"/>
  <c r="B207" i="10"/>
  <c r="C207" i="10"/>
  <c r="G209" i="10"/>
  <c r="I209" i="10"/>
  <c r="K209" i="10"/>
  <c r="O209" i="10"/>
  <c r="P209" i="10"/>
  <c r="Q209" i="10"/>
  <c r="G210" i="10"/>
  <c r="I210" i="10"/>
  <c r="K210" i="10"/>
  <c r="O210" i="10"/>
  <c r="P210" i="10"/>
  <c r="Q210" i="10"/>
  <c r="E211" i="10"/>
  <c r="G211" i="10"/>
  <c r="K211" i="10"/>
  <c r="O211" i="10"/>
  <c r="P211" i="10"/>
  <c r="Q211" i="10"/>
  <c r="E212" i="10"/>
  <c r="G212" i="10"/>
  <c r="K212" i="10"/>
  <c r="O212" i="10"/>
  <c r="P212" i="10"/>
  <c r="Q212" i="10"/>
  <c r="C213" i="10"/>
  <c r="E213" i="10"/>
  <c r="G213" i="10"/>
  <c r="I213" i="10"/>
  <c r="K213" i="10"/>
  <c r="O213" i="10"/>
  <c r="P213" i="10"/>
  <c r="Q213" i="10"/>
  <c r="C214" i="10"/>
  <c r="E214" i="10"/>
  <c r="G214" i="10"/>
  <c r="I214" i="10"/>
  <c r="K214" i="10"/>
  <c r="O214" i="10"/>
  <c r="P214" i="10"/>
  <c r="Q214" i="10"/>
  <c r="E215" i="10"/>
  <c r="G215" i="10"/>
  <c r="I215" i="10"/>
  <c r="K215" i="10"/>
  <c r="M215" i="10"/>
  <c r="N215" i="10"/>
  <c r="O215" i="10"/>
  <c r="P215" i="10"/>
  <c r="Q215" i="10"/>
  <c r="E216" i="10"/>
  <c r="G216" i="10"/>
  <c r="K216" i="10"/>
  <c r="O216" i="10"/>
  <c r="P216" i="10"/>
  <c r="Q216" i="10"/>
  <c r="E217" i="10"/>
  <c r="G217" i="10"/>
  <c r="K217" i="10"/>
  <c r="O217" i="10"/>
  <c r="P217" i="10"/>
  <c r="Q217" i="10"/>
  <c r="E218" i="10"/>
  <c r="G218" i="10"/>
  <c r="K218" i="10"/>
  <c r="O218" i="10"/>
  <c r="P218" i="10"/>
  <c r="Q218" i="10"/>
  <c r="E219" i="10"/>
  <c r="G219" i="10"/>
  <c r="K219" i="10"/>
  <c r="O219" i="10"/>
  <c r="P219" i="10"/>
  <c r="Q219" i="10"/>
  <c r="Q222" i="10"/>
  <c r="R222" i="10"/>
  <c r="P224" i="10"/>
  <c r="B227" i="10"/>
  <c r="C227" i="10"/>
  <c r="G229" i="10"/>
  <c r="I229" i="10"/>
  <c r="K229" i="10"/>
  <c r="O229" i="10"/>
  <c r="P229" i="10"/>
  <c r="Q229" i="10"/>
  <c r="G230" i="10"/>
  <c r="I230" i="10"/>
  <c r="K230" i="10"/>
  <c r="O230" i="10"/>
  <c r="P230" i="10"/>
  <c r="Q230" i="10"/>
  <c r="E231" i="10"/>
  <c r="G231" i="10"/>
  <c r="K231" i="10"/>
  <c r="O231" i="10"/>
  <c r="P231" i="10"/>
  <c r="Q231" i="10"/>
  <c r="E232" i="10"/>
  <c r="G232" i="10"/>
  <c r="K232" i="10"/>
  <c r="O232" i="10"/>
  <c r="P232" i="10"/>
  <c r="Q232" i="10"/>
  <c r="C233" i="10"/>
  <c r="E233" i="10"/>
  <c r="G233" i="10"/>
  <c r="I233" i="10"/>
  <c r="K233" i="10"/>
  <c r="O233" i="10"/>
  <c r="P233" i="10"/>
  <c r="Q233" i="10"/>
  <c r="C234" i="10"/>
  <c r="E234" i="10"/>
  <c r="G234" i="10"/>
  <c r="I234" i="10"/>
  <c r="K234" i="10"/>
  <c r="O234" i="10"/>
  <c r="P234" i="10"/>
  <c r="Q234" i="10"/>
  <c r="E235" i="10"/>
  <c r="G235" i="10"/>
  <c r="I235" i="10"/>
  <c r="K235" i="10"/>
  <c r="M235" i="10"/>
  <c r="N235" i="10"/>
  <c r="O235" i="10"/>
  <c r="P235" i="10"/>
  <c r="Q235" i="10"/>
  <c r="E236" i="10"/>
  <c r="G236" i="10"/>
  <c r="K236" i="10"/>
  <c r="O236" i="10"/>
  <c r="P236" i="10"/>
  <c r="Q236" i="10"/>
  <c r="E237" i="10"/>
  <c r="G237" i="10"/>
  <c r="K237" i="10"/>
  <c r="O237" i="10"/>
  <c r="P237" i="10"/>
  <c r="Q237" i="10"/>
  <c r="E238" i="10"/>
  <c r="G238" i="10"/>
  <c r="K238" i="10"/>
  <c r="O238" i="10"/>
  <c r="P238" i="10"/>
  <c r="Q238" i="10"/>
  <c r="E239" i="10"/>
  <c r="G239" i="10"/>
  <c r="K239" i="10"/>
  <c r="O239" i="10"/>
  <c r="P239" i="10"/>
  <c r="Q239" i="10"/>
  <c r="Q242" i="10"/>
  <c r="R242" i="10"/>
  <c r="P244" i="10"/>
  <c r="B247" i="10"/>
  <c r="C247" i="10"/>
  <c r="G249" i="10"/>
  <c r="I249" i="10"/>
  <c r="K249" i="10"/>
  <c r="O249" i="10"/>
  <c r="P249" i="10"/>
  <c r="Q249" i="10"/>
  <c r="G250" i="10"/>
  <c r="I250" i="10"/>
  <c r="K250" i="10"/>
  <c r="O250" i="10"/>
  <c r="P250" i="10"/>
  <c r="Q250" i="10"/>
  <c r="E251" i="10"/>
  <c r="G251" i="10"/>
  <c r="K251" i="10"/>
  <c r="O251" i="10"/>
  <c r="P251" i="10"/>
  <c r="Q251" i="10"/>
  <c r="E252" i="10"/>
  <c r="G252" i="10"/>
  <c r="K252" i="10"/>
  <c r="O252" i="10"/>
  <c r="P252" i="10"/>
  <c r="Q252" i="10"/>
  <c r="C253" i="10"/>
  <c r="E253" i="10"/>
  <c r="G253" i="10"/>
  <c r="I253" i="10"/>
  <c r="K253" i="10"/>
  <c r="O253" i="10"/>
  <c r="P253" i="10"/>
  <c r="Q253" i="10"/>
  <c r="C254" i="10"/>
  <c r="E254" i="10"/>
  <c r="G254" i="10"/>
  <c r="I254" i="10"/>
  <c r="K254" i="10"/>
  <c r="O254" i="10"/>
  <c r="P254" i="10"/>
  <c r="Q254" i="10"/>
  <c r="E255" i="10"/>
  <c r="G255" i="10"/>
  <c r="I255" i="10"/>
  <c r="K255" i="10"/>
  <c r="M255" i="10"/>
  <c r="N255" i="10"/>
  <c r="O255" i="10"/>
  <c r="P255" i="10"/>
  <c r="Q255" i="10"/>
  <c r="E256" i="10"/>
  <c r="G256" i="10"/>
  <c r="K256" i="10"/>
  <c r="O256" i="10"/>
  <c r="P256" i="10"/>
  <c r="Q256" i="10"/>
  <c r="E257" i="10"/>
  <c r="G257" i="10"/>
  <c r="K257" i="10"/>
  <c r="O257" i="10"/>
  <c r="P257" i="10"/>
  <c r="Q257" i="10"/>
  <c r="E258" i="10"/>
  <c r="G258" i="10"/>
  <c r="K258" i="10"/>
  <c r="O258" i="10"/>
  <c r="P258" i="10"/>
  <c r="Q258" i="10"/>
  <c r="E259" i="10"/>
  <c r="G259" i="10"/>
  <c r="K259" i="10"/>
  <c r="O259" i="10"/>
  <c r="P259" i="10"/>
  <c r="Q259" i="10"/>
  <c r="Q262" i="10"/>
  <c r="R262" i="10"/>
  <c r="P264" i="10"/>
  <c r="B267" i="10"/>
  <c r="C267" i="10"/>
  <c r="G269" i="10"/>
  <c r="I269" i="10"/>
  <c r="K269" i="10"/>
  <c r="O269" i="10"/>
  <c r="P269" i="10"/>
  <c r="Q269" i="10"/>
  <c r="G270" i="10"/>
  <c r="I270" i="10"/>
  <c r="K270" i="10"/>
  <c r="O270" i="10"/>
  <c r="P270" i="10"/>
  <c r="Q270" i="10"/>
  <c r="E271" i="10"/>
  <c r="G271" i="10"/>
  <c r="K271" i="10"/>
  <c r="O271" i="10"/>
  <c r="P271" i="10"/>
  <c r="Q271" i="10"/>
  <c r="E272" i="10"/>
  <c r="G272" i="10"/>
  <c r="K272" i="10"/>
  <c r="O272" i="10"/>
  <c r="P272" i="10"/>
  <c r="Q272" i="10"/>
  <c r="C273" i="10"/>
  <c r="E273" i="10"/>
  <c r="G273" i="10"/>
  <c r="I273" i="10"/>
  <c r="K273" i="10"/>
  <c r="O273" i="10"/>
  <c r="P273" i="10"/>
  <c r="Q273" i="10"/>
  <c r="C274" i="10"/>
  <c r="E274" i="10"/>
  <c r="G274" i="10"/>
  <c r="I274" i="10"/>
  <c r="K274" i="10"/>
  <c r="O274" i="10"/>
  <c r="P274" i="10"/>
  <c r="Q274" i="10"/>
  <c r="E275" i="10"/>
  <c r="G275" i="10"/>
  <c r="I275" i="10"/>
  <c r="K275" i="10"/>
  <c r="M275" i="10"/>
  <c r="N275" i="10"/>
  <c r="O275" i="10"/>
  <c r="P275" i="10"/>
  <c r="Q275" i="10"/>
  <c r="E276" i="10"/>
  <c r="G276" i="10"/>
  <c r="K276" i="10"/>
  <c r="O276" i="10"/>
  <c r="P276" i="10"/>
  <c r="Q276" i="10"/>
  <c r="E277" i="10"/>
  <c r="G277" i="10"/>
  <c r="K277" i="10"/>
  <c r="O277" i="10"/>
  <c r="P277" i="10"/>
  <c r="Q277" i="10"/>
  <c r="E278" i="10"/>
  <c r="G278" i="10"/>
  <c r="K278" i="10"/>
  <c r="O278" i="10"/>
  <c r="P278" i="10"/>
  <c r="Q278" i="10"/>
  <c r="E279" i="10"/>
  <c r="G279" i="10"/>
  <c r="K279" i="10"/>
  <c r="O279" i="10"/>
  <c r="P279" i="10"/>
  <c r="Q279" i="10"/>
  <c r="Q282" i="10"/>
  <c r="R282" i="10"/>
  <c r="P284" i="10"/>
  <c r="B287" i="10"/>
  <c r="C287" i="10"/>
  <c r="G289" i="10"/>
  <c r="I289" i="10"/>
  <c r="K289" i="10"/>
  <c r="O289" i="10"/>
  <c r="P289" i="10"/>
  <c r="Q289" i="10"/>
  <c r="G290" i="10"/>
  <c r="I290" i="10"/>
  <c r="K290" i="10"/>
  <c r="O290" i="10"/>
  <c r="P290" i="10"/>
  <c r="Q290" i="10"/>
  <c r="E291" i="10"/>
  <c r="G291" i="10"/>
  <c r="K291" i="10"/>
  <c r="O291" i="10"/>
  <c r="P291" i="10"/>
  <c r="Q291" i="10"/>
  <c r="E292" i="10"/>
  <c r="G292" i="10"/>
  <c r="K292" i="10"/>
  <c r="O292" i="10"/>
  <c r="P292" i="10"/>
  <c r="Q292" i="10"/>
  <c r="C293" i="10"/>
  <c r="E293" i="10"/>
  <c r="G293" i="10"/>
  <c r="I293" i="10"/>
  <c r="K293" i="10"/>
  <c r="O293" i="10"/>
  <c r="P293" i="10"/>
  <c r="Q293" i="10"/>
  <c r="C294" i="10"/>
  <c r="E294" i="10"/>
  <c r="G294" i="10"/>
  <c r="I294" i="10"/>
  <c r="K294" i="10"/>
  <c r="O294" i="10"/>
  <c r="P294" i="10"/>
  <c r="Q294" i="10"/>
  <c r="E295" i="10"/>
  <c r="G295" i="10"/>
  <c r="I295" i="10"/>
  <c r="K295" i="10"/>
  <c r="M295" i="10"/>
  <c r="N295" i="10"/>
  <c r="O295" i="10"/>
  <c r="P295" i="10"/>
  <c r="Q295" i="10"/>
  <c r="E296" i="10"/>
  <c r="G296" i="10"/>
  <c r="K296" i="10"/>
  <c r="O296" i="10"/>
  <c r="P296" i="10"/>
  <c r="Q296" i="10"/>
  <c r="E297" i="10"/>
  <c r="G297" i="10"/>
  <c r="K297" i="10"/>
  <c r="O297" i="10"/>
  <c r="P297" i="10"/>
  <c r="Q297" i="10"/>
  <c r="E298" i="10"/>
  <c r="G298" i="10"/>
  <c r="K298" i="10"/>
  <c r="O298" i="10"/>
  <c r="P298" i="10"/>
  <c r="Q298" i="10"/>
  <c r="E299" i="10"/>
  <c r="G299" i="10"/>
  <c r="K299" i="10"/>
  <c r="O299" i="10"/>
  <c r="P299" i="10"/>
  <c r="Q299" i="10"/>
  <c r="Q302" i="10"/>
  <c r="R302" i="10"/>
  <c r="P304" i="10"/>
  <c r="B307" i="10"/>
  <c r="C307" i="10"/>
  <c r="G309" i="10"/>
  <c r="I309" i="10"/>
  <c r="K309" i="10"/>
  <c r="O309" i="10"/>
  <c r="P309" i="10"/>
  <c r="Q309" i="10"/>
  <c r="G310" i="10"/>
  <c r="I310" i="10"/>
  <c r="K310" i="10"/>
  <c r="O310" i="10"/>
  <c r="P310" i="10"/>
  <c r="Q310" i="10"/>
  <c r="E311" i="10"/>
  <c r="G311" i="10"/>
  <c r="K311" i="10"/>
  <c r="O311" i="10"/>
  <c r="P311" i="10"/>
  <c r="Q311" i="10"/>
  <c r="E312" i="10"/>
  <c r="G312" i="10"/>
  <c r="K312" i="10"/>
  <c r="O312" i="10"/>
  <c r="P312" i="10"/>
  <c r="Q312" i="10"/>
  <c r="C313" i="10"/>
  <c r="E313" i="10"/>
  <c r="G313" i="10"/>
  <c r="I313" i="10"/>
  <c r="K313" i="10"/>
  <c r="O313" i="10"/>
  <c r="P313" i="10"/>
  <c r="Q313" i="10"/>
  <c r="C314" i="10"/>
  <c r="E314" i="10"/>
  <c r="G314" i="10"/>
  <c r="I314" i="10"/>
  <c r="K314" i="10"/>
  <c r="O314" i="10"/>
  <c r="P314" i="10"/>
  <c r="Q314" i="10"/>
  <c r="E315" i="10"/>
  <c r="G315" i="10"/>
  <c r="I315" i="10"/>
  <c r="K315" i="10"/>
  <c r="M315" i="10"/>
  <c r="N315" i="10"/>
  <c r="O315" i="10"/>
  <c r="P315" i="10"/>
  <c r="Q315" i="10"/>
  <c r="E316" i="10"/>
  <c r="G316" i="10"/>
  <c r="K316" i="10"/>
  <c r="O316" i="10"/>
  <c r="P316" i="10"/>
  <c r="Q316" i="10"/>
  <c r="E317" i="10"/>
  <c r="G317" i="10"/>
  <c r="K317" i="10"/>
  <c r="O317" i="10"/>
  <c r="P317" i="10"/>
  <c r="Q317" i="10"/>
  <c r="E318" i="10"/>
  <c r="G318" i="10"/>
  <c r="K318" i="10"/>
  <c r="O318" i="10"/>
  <c r="P318" i="10"/>
  <c r="Q318" i="10"/>
  <c r="E319" i="10"/>
  <c r="G319" i="10"/>
  <c r="K319" i="10"/>
  <c r="O319" i="10"/>
  <c r="P319" i="10"/>
  <c r="Q319" i="10"/>
  <c r="Q322" i="10"/>
  <c r="R322" i="10"/>
  <c r="P324" i="10"/>
  <c r="B327" i="10"/>
  <c r="C327" i="10"/>
  <c r="G329" i="10"/>
  <c r="I329" i="10"/>
  <c r="K329" i="10"/>
  <c r="O329" i="10"/>
  <c r="P329" i="10"/>
  <c r="Q329" i="10"/>
  <c r="G330" i="10"/>
  <c r="I330" i="10"/>
  <c r="K330" i="10"/>
  <c r="O330" i="10"/>
  <c r="P330" i="10"/>
  <c r="Q330" i="10"/>
  <c r="E331" i="10"/>
  <c r="G331" i="10"/>
  <c r="K331" i="10"/>
  <c r="O331" i="10"/>
  <c r="P331" i="10"/>
  <c r="Q331" i="10"/>
  <c r="E332" i="10"/>
  <c r="G332" i="10"/>
  <c r="K332" i="10"/>
  <c r="O332" i="10"/>
  <c r="P332" i="10"/>
  <c r="Q332" i="10"/>
  <c r="C333" i="10"/>
  <c r="E333" i="10"/>
  <c r="G333" i="10"/>
  <c r="I333" i="10"/>
  <c r="K333" i="10"/>
  <c r="O333" i="10"/>
  <c r="P333" i="10"/>
  <c r="Q333" i="10"/>
  <c r="C334" i="10"/>
  <c r="E334" i="10"/>
  <c r="G334" i="10"/>
  <c r="I334" i="10"/>
  <c r="K334" i="10"/>
  <c r="O334" i="10"/>
  <c r="P334" i="10"/>
  <c r="Q334" i="10"/>
  <c r="E335" i="10"/>
  <c r="G335" i="10"/>
  <c r="I335" i="10"/>
  <c r="K335" i="10"/>
  <c r="M335" i="10"/>
  <c r="N335" i="10"/>
  <c r="O335" i="10"/>
  <c r="P335" i="10"/>
  <c r="Q335" i="10"/>
  <c r="E336" i="10"/>
  <c r="G336" i="10"/>
  <c r="K336" i="10"/>
  <c r="O336" i="10"/>
  <c r="P336" i="10"/>
  <c r="Q336" i="10"/>
  <c r="E337" i="10"/>
  <c r="G337" i="10"/>
  <c r="K337" i="10"/>
  <c r="O337" i="10"/>
  <c r="P337" i="10"/>
  <c r="Q337" i="10"/>
  <c r="E338" i="10"/>
  <c r="G338" i="10"/>
  <c r="K338" i="10"/>
  <c r="O338" i="10"/>
  <c r="P338" i="10"/>
  <c r="Q338" i="10"/>
  <c r="E339" i="10"/>
  <c r="G339" i="10"/>
  <c r="K339" i="10"/>
  <c r="O339" i="10"/>
  <c r="P339" i="10"/>
  <c r="Q339" i="10"/>
  <c r="Q342" i="10"/>
  <c r="R342" i="10"/>
  <c r="P344" i="10"/>
  <c r="B347" i="10"/>
  <c r="C347" i="10"/>
  <c r="G349" i="10"/>
  <c r="I349" i="10"/>
  <c r="K349" i="10"/>
  <c r="O349" i="10"/>
  <c r="P349" i="10"/>
  <c r="Q349" i="10"/>
  <c r="G350" i="10"/>
  <c r="I350" i="10"/>
  <c r="K350" i="10"/>
  <c r="O350" i="10"/>
  <c r="P350" i="10"/>
  <c r="Q350" i="10"/>
  <c r="E351" i="10"/>
  <c r="G351" i="10"/>
  <c r="K351" i="10"/>
  <c r="O351" i="10"/>
  <c r="P351" i="10"/>
  <c r="Q351" i="10"/>
  <c r="E352" i="10"/>
  <c r="G352" i="10"/>
  <c r="K352" i="10"/>
  <c r="O352" i="10"/>
  <c r="P352" i="10"/>
  <c r="Q352" i="10"/>
  <c r="C353" i="10"/>
  <c r="E353" i="10"/>
  <c r="G353" i="10"/>
  <c r="I353" i="10"/>
  <c r="K353" i="10"/>
  <c r="O353" i="10"/>
  <c r="P353" i="10"/>
  <c r="Q353" i="10"/>
  <c r="C354" i="10"/>
  <c r="E354" i="10"/>
  <c r="G354" i="10"/>
  <c r="I354" i="10"/>
  <c r="K354" i="10"/>
  <c r="O354" i="10"/>
  <c r="P354" i="10"/>
  <c r="Q354" i="10"/>
  <c r="E355" i="10"/>
  <c r="G355" i="10"/>
  <c r="I355" i="10"/>
  <c r="K355" i="10"/>
  <c r="M355" i="10"/>
  <c r="N355" i="10"/>
  <c r="O355" i="10"/>
  <c r="P355" i="10"/>
  <c r="Q355" i="10"/>
  <c r="E356" i="10"/>
  <c r="G356" i="10"/>
  <c r="K356" i="10"/>
  <c r="O356" i="10"/>
  <c r="P356" i="10"/>
  <c r="Q356" i="10"/>
  <c r="E357" i="10"/>
  <c r="G357" i="10"/>
  <c r="K357" i="10"/>
  <c r="O357" i="10"/>
  <c r="P357" i="10"/>
  <c r="Q357" i="10"/>
  <c r="E358" i="10"/>
  <c r="G358" i="10"/>
  <c r="K358" i="10"/>
  <c r="O358" i="10"/>
  <c r="P358" i="10"/>
  <c r="Q358" i="10"/>
  <c r="E359" i="10"/>
  <c r="G359" i="10"/>
  <c r="K359" i="10"/>
  <c r="O359" i="10"/>
  <c r="P359" i="10"/>
  <c r="Q359" i="10"/>
  <c r="Q362" i="10"/>
  <c r="R362" i="10"/>
  <c r="P364" i="10"/>
  <c r="B367" i="10"/>
  <c r="C367" i="10"/>
  <c r="G369" i="10"/>
  <c r="I369" i="10"/>
  <c r="K369" i="10"/>
  <c r="O369" i="10"/>
  <c r="P369" i="10"/>
  <c r="Q369" i="10"/>
  <c r="G370" i="10"/>
  <c r="I370" i="10"/>
  <c r="K370" i="10"/>
  <c r="O370" i="10"/>
  <c r="P370" i="10"/>
  <c r="Q370" i="10"/>
  <c r="E371" i="10"/>
  <c r="G371" i="10"/>
  <c r="K371" i="10"/>
  <c r="O371" i="10"/>
  <c r="P371" i="10"/>
  <c r="Q371" i="10"/>
  <c r="E372" i="10"/>
  <c r="G372" i="10"/>
  <c r="K372" i="10"/>
  <c r="O372" i="10"/>
  <c r="P372" i="10"/>
  <c r="Q372" i="10"/>
  <c r="C373" i="10"/>
  <c r="E373" i="10"/>
  <c r="G373" i="10"/>
  <c r="I373" i="10"/>
  <c r="K373" i="10"/>
  <c r="O373" i="10"/>
  <c r="P373" i="10"/>
  <c r="Q373" i="10"/>
  <c r="C374" i="10"/>
  <c r="E374" i="10"/>
  <c r="G374" i="10"/>
  <c r="I374" i="10"/>
  <c r="K374" i="10"/>
  <c r="O374" i="10"/>
  <c r="P374" i="10"/>
  <c r="Q374" i="10"/>
  <c r="E375" i="10"/>
  <c r="G375" i="10"/>
  <c r="I375" i="10"/>
  <c r="K375" i="10"/>
  <c r="M375" i="10"/>
  <c r="N375" i="10"/>
  <c r="O375" i="10"/>
  <c r="P375" i="10"/>
  <c r="Q375" i="10"/>
  <c r="E376" i="10"/>
  <c r="G376" i="10"/>
  <c r="K376" i="10"/>
  <c r="O376" i="10"/>
  <c r="P376" i="10"/>
  <c r="Q376" i="10"/>
  <c r="E377" i="10"/>
  <c r="G377" i="10"/>
  <c r="K377" i="10"/>
  <c r="O377" i="10"/>
  <c r="P377" i="10"/>
  <c r="Q377" i="10"/>
  <c r="E378" i="10"/>
  <c r="G378" i="10"/>
  <c r="K378" i="10"/>
  <c r="O378" i="10"/>
  <c r="P378" i="10"/>
  <c r="Q378" i="10"/>
  <c r="E379" i="10"/>
  <c r="G379" i="10"/>
  <c r="K379" i="10"/>
  <c r="O379" i="10"/>
  <c r="P379" i="10"/>
  <c r="Q379" i="10"/>
  <c r="Q382" i="10"/>
  <c r="R382" i="10"/>
  <c r="P384" i="10"/>
  <c r="B387" i="10"/>
  <c r="C387" i="10"/>
  <c r="G389" i="10"/>
  <c r="I389" i="10"/>
  <c r="K389" i="10"/>
  <c r="O389" i="10"/>
  <c r="P389" i="10"/>
  <c r="Q389" i="10"/>
  <c r="G390" i="10"/>
  <c r="I390" i="10"/>
  <c r="K390" i="10"/>
  <c r="O390" i="10"/>
  <c r="P390" i="10"/>
  <c r="Q390" i="10"/>
  <c r="E391" i="10"/>
  <c r="G391" i="10"/>
  <c r="K391" i="10"/>
  <c r="O391" i="10"/>
  <c r="P391" i="10"/>
  <c r="Q391" i="10"/>
  <c r="E392" i="10"/>
  <c r="G392" i="10"/>
  <c r="K392" i="10"/>
  <c r="O392" i="10"/>
  <c r="P392" i="10"/>
  <c r="Q392" i="10"/>
  <c r="C393" i="10"/>
  <c r="E393" i="10"/>
  <c r="G393" i="10"/>
  <c r="I393" i="10"/>
  <c r="K393" i="10"/>
  <c r="O393" i="10"/>
  <c r="P393" i="10"/>
  <c r="Q393" i="10"/>
  <c r="C394" i="10"/>
  <c r="E394" i="10"/>
  <c r="G394" i="10"/>
  <c r="I394" i="10"/>
  <c r="K394" i="10"/>
  <c r="O394" i="10"/>
  <c r="P394" i="10"/>
  <c r="Q394" i="10"/>
  <c r="E395" i="10"/>
  <c r="G395" i="10"/>
  <c r="I395" i="10"/>
  <c r="K395" i="10"/>
  <c r="M395" i="10"/>
  <c r="N395" i="10"/>
  <c r="O395" i="10"/>
  <c r="P395" i="10"/>
  <c r="Q395" i="10"/>
  <c r="E396" i="10"/>
  <c r="G396" i="10"/>
  <c r="K396" i="10"/>
  <c r="O396" i="10"/>
  <c r="P396" i="10"/>
  <c r="Q396" i="10"/>
  <c r="E397" i="10"/>
  <c r="G397" i="10"/>
  <c r="K397" i="10"/>
  <c r="O397" i="10"/>
  <c r="P397" i="10"/>
  <c r="Q397" i="10"/>
  <c r="E398" i="10"/>
  <c r="G398" i="10"/>
  <c r="K398" i="10"/>
  <c r="O398" i="10"/>
  <c r="P398" i="10"/>
  <c r="Q398" i="10"/>
  <c r="E399" i="10"/>
  <c r="G399" i="10"/>
  <c r="K399" i="10"/>
  <c r="O399" i="10"/>
  <c r="P399" i="10"/>
  <c r="Q399" i="10"/>
  <c r="Q402" i="10"/>
  <c r="R402" i="10"/>
  <c r="P404" i="10"/>
  <c r="B407" i="10"/>
  <c r="C407" i="10"/>
  <c r="G409" i="10"/>
  <c r="I409" i="10"/>
  <c r="K409" i="10"/>
  <c r="O409" i="10"/>
  <c r="P409" i="10"/>
  <c r="Q409" i="10"/>
  <c r="G410" i="10"/>
  <c r="I410" i="10"/>
  <c r="K410" i="10"/>
  <c r="O410" i="10"/>
  <c r="P410" i="10"/>
  <c r="Q410" i="10"/>
  <c r="E411" i="10"/>
  <c r="G411" i="10"/>
  <c r="K411" i="10"/>
  <c r="O411" i="10"/>
  <c r="P411" i="10"/>
  <c r="Q411" i="10"/>
  <c r="E412" i="10"/>
  <c r="G412" i="10"/>
  <c r="K412" i="10"/>
  <c r="O412" i="10"/>
  <c r="P412" i="10"/>
  <c r="Q412" i="10"/>
  <c r="C413" i="10"/>
  <c r="E413" i="10"/>
  <c r="G413" i="10"/>
  <c r="I413" i="10"/>
  <c r="K413" i="10"/>
  <c r="O413" i="10"/>
  <c r="P413" i="10"/>
  <c r="Q413" i="10"/>
  <c r="C414" i="10"/>
  <c r="E414" i="10"/>
  <c r="G414" i="10"/>
  <c r="I414" i="10"/>
  <c r="K414" i="10"/>
  <c r="O414" i="10"/>
  <c r="P414" i="10"/>
  <c r="Q414" i="10"/>
  <c r="E415" i="10"/>
  <c r="G415" i="10"/>
  <c r="I415" i="10"/>
  <c r="K415" i="10"/>
  <c r="M415" i="10"/>
  <c r="N415" i="10"/>
  <c r="O415" i="10"/>
  <c r="P415" i="10"/>
  <c r="Q415" i="10"/>
  <c r="E416" i="10"/>
  <c r="G416" i="10"/>
  <c r="K416" i="10"/>
  <c r="O416" i="10"/>
  <c r="P416" i="10"/>
  <c r="Q416" i="10"/>
  <c r="E417" i="10"/>
  <c r="G417" i="10"/>
  <c r="K417" i="10"/>
  <c r="O417" i="10"/>
  <c r="P417" i="10"/>
  <c r="Q417" i="10"/>
  <c r="E418" i="10"/>
  <c r="G418" i="10"/>
  <c r="K418" i="10"/>
  <c r="O418" i="10"/>
  <c r="P418" i="10"/>
  <c r="Q418" i="10"/>
  <c r="E419" i="10"/>
  <c r="G419" i="10"/>
  <c r="K419" i="10"/>
  <c r="O419" i="10"/>
  <c r="P419" i="10"/>
  <c r="Q419" i="10"/>
  <c r="Q422" i="10"/>
  <c r="R422" i="10"/>
  <c r="P424" i="10"/>
  <c r="B427" i="10"/>
  <c r="C427" i="10"/>
  <c r="G429" i="10"/>
  <c r="I429" i="10"/>
  <c r="K429" i="10"/>
  <c r="O429" i="10"/>
  <c r="P429" i="10"/>
  <c r="Q429" i="10"/>
  <c r="G430" i="10"/>
  <c r="I430" i="10"/>
  <c r="K430" i="10"/>
  <c r="O430" i="10"/>
  <c r="P430" i="10"/>
  <c r="Q430" i="10"/>
  <c r="E431" i="10"/>
  <c r="G431" i="10"/>
  <c r="K431" i="10"/>
  <c r="O431" i="10"/>
  <c r="P431" i="10"/>
  <c r="Q431" i="10"/>
  <c r="E432" i="10"/>
  <c r="G432" i="10"/>
  <c r="K432" i="10"/>
  <c r="O432" i="10"/>
  <c r="P432" i="10"/>
  <c r="Q432" i="10"/>
  <c r="C433" i="10"/>
  <c r="E433" i="10"/>
  <c r="G433" i="10"/>
  <c r="I433" i="10"/>
  <c r="K433" i="10"/>
  <c r="O433" i="10"/>
  <c r="P433" i="10"/>
  <c r="Q433" i="10"/>
  <c r="C434" i="10"/>
  <c r="E434" i="10"/>
  <c r="G434" i="10"/>
  <c r="I434" i="10"/>
  <c r="K434" i="10"/>
  <c r="O434" i="10"/>
  <c r="P434" i="10"/>
  <c r="Q434" i="10"/>
  <c r="E435" i="10"/>
  <c r="G435" i="10"/>
  <c r="I435" i="10"/>
  <c r="K435" i="10"/>
  <c r="M435" i="10"/>
  <c r="N435" i="10"/>
  <c r="O435" i="10"/>
  <c r="P435" i="10"/>
  <c r="Q435" i="10"/>
  <c r="E436" i="10"/>
  <c r="G436" i="10"/>
  <c r="K436" i="10"/>
  <c r="O436" i="10"/>
  <c r="P436" i="10"/>
  <c r="Q436" i="10"/>
  <c r="E437" i="10"/>
  <c r="G437" i="10"/>
  <c r="K437" i="10"/>
  <c r="O437" i="10"/>
  <c r="P437" i="10"/>
  <c r="Q437" i="10"/>
  <c r="E438" i="10"/>
  <c r="G438" i="10"/>
  <c r="K438" i="10"/>
  <c r="O438" i="10"/>
  <c r="P438" i="10"/>
  <c r="Q438" i="10"/>
  <c r="E439" i="10"/>
  <c r="G439" i="10"/>
  <c r="K439" i="10"/>
  <c r="O439" i="10"/>
  <c r="P439" i="10"/>
  <c r="Q439" i="10"/>
  <c r="Q442" i="10"/>
  <c r="R442" i="10"/>
  <c r="P444" i="10"/>
  <c r="B447" i="10"/>
  <c r="C447" i="10"/>
  <c r="G449" i="10"/>
  <c r="I449" i="10"/>
  <c r="K449" i="10"/>
  <c r="O449" i="10"/>
  <c r="P449" i="10"/>
  <c r="Q449" i="10"/>
  <c r="G450" i="10"/>
  <c r="I450" i="10"/>
  <c r="K450" i="10"/>
  <c r="O450" i="10"/>
  <c r="P450" i="10"/>
  <c r="Q450" i="10"/>
  <c r="E451" i="10"/>
  <c r="G451" i="10"/>
  <c r="K451" i="10"/>
  <c r="O451" i="10"/>
  <c r="P451" i="10"/>
  <c r="Q451" i="10"/>
  <c r="E452" i="10"/>
  <c r="G452" i="10"/>
  <c r="K452" i="10"/>
  <c r="O452" i="10"/>
  <c r="P452" i="10"/>
  <c r="Q452" i="10"/>
  <c r="C453" i="10"/>
  <c r="E453" i="10"/>
  <c r="G453" i="10"/>
  <c r="I453" i="10"/>
  <c r="K453" i="10"/>
  <c r="O453" i="10"/>
  <c r="P453" i="10"/>
  <c r="Q453" i="10"/>
  <c r="C454" i="10"/>
  <c r="E454" i="10"/>
  <c r="G454" i="10"/>
  <c r="I454" i="10"/>
  <c r="K454" i="10"/>
  <c r="O454" i="10"/>
  <c r="P454" i="10"/>
  <c r="Q454" i="10"/>
  <c r="E455" i="10"/>
  <c r="G455" i="10"/>
  <c r="I455" i="10"/>
  <c r="K455" i="10"/>
  <c r="M455" i="10"/>
  <c r="N455" i="10"/>
  <c r="O455" i="10"/>
  <c r="P455" i="10"/>
  <c r="Q455" i="10"/>
  <c r="E456" i="10"/>
  <c r="G456" i="10"/>
  <c r="K456" i="10"/>
  <c r="O456" i="10"/>
  <c r="P456" i="10"/>
  <c r="Q456" i="10"/>
  <c r="E457" i="10"/>
  <c r="G457" i="10"/>
  <c r="K457" i="10"/>
  <c r="O457" i="10"/>
  <c r="P457" i="10"/>
  <c r="Q457" i="10"/>
  <c r="E458" i="10"/>
  <c r="G458" i="10"/>
  <c r="K458" i="10"/>
  <c r="O458" i="10"/>
  <c r="P458" i="10"/>
  <c r="Q458" i="10"/>
  <c r="E459" i="10"/>
  <c r="G459" i="10"/>
  <c r="K459" i="10"/>
  <c r="O459" i="10"/>
  <c r="P459" i="10"/>
  <c r="Q459" i="10"/>
  <c r="Q462" i="10"/>
  <c r="R462" i="10"/>
  <c r="P464" i="10"/>
  <c r="B467" i="10"/>
  <c r="C467" i="10"/>
  <c r="G469" i="10"/>
  <c r="I469" i="10"/>
  <c r="K469" i="10"/>
  <c r="O469" i="10"/>
  <c r="P469" i="10"/>
  <c r="Q469" i="10"/>
  <c r="G470" i="10"/>
  <c r="I470" i="10"/>
  <c r="K470" i="10"/>
  <c r="O470" i="10"/>
  <c r="P470" i="10"/>
  <c r="Q470" i="10"/>
  <c r="E471" i="10"/>
  <c r="G471" i="10"/>
  <c r="K471" i="10"/>
  <c r="O471" i="10"/>
  <c r="P471" i="10"/>
  <c r="Q471" i="10"/>
  <c r="E472" i="10"/>
  <c r="G472" i="10"/>
  <c r="K472" i="10"/>
  <c r="O472" i="10"/>
  <c r="P472" i="10"/>
  <c r="Q472" i="10"/>
  <c r="C473" i="10"/>
  <c r="E473" i="10"/>
  <c r="G473" i="10"/>
  <c r="I473" i="10"/>
  <c r="K473" i="10"/>
  <c r="O473" i="10"/>
  <c r="P473" i="10"/>
  <c r="Q473" i="10"/>
  <c r="C474" i="10"/>
  <c r="E474" i="10"/>
  <c r="G474" i="10"/>
  <c r="I474" i="10"/>
  <c r="K474" i="10"/>
  <c r="O474" i="10"/>
  <c r="P474" i="10"/>
  <c r="Q474" i="10"/>
  <c r="E475" i="10"/>
  <c r="G475" i="10"/>
  <c r="I475" i="10"/>
  <c r="K475" i="10"/>
  <c r="M475" i="10"/>
  <c r="N475" i="10"/>
  <c r="O475" i="10"/>
  <c r="P475" i="10"/>
  <c r="Q475" i="10"/>
  <c r="E476" i="10"/>
  <c r="G476" i="10"/>
  <c r="K476" i="10"/>
  <c r="O476" i="10"/>
  <c r="P476" i="10"/>
  <c r="Q476" i="10"/>
  <c r="E477" i="10"/>
  <c r="G477" i="10"/>
  <c r="K477" i="10"/>
  <c r="O477" i="10"/>
  <c r="P477" i="10"/>
  <c r="Q477" i="10"/>
  <c r="E478" i="10"/>
  <c r="G478" i="10"/>
  <c r="K478" i="10"/>
  <c r="O478" i="10"/>
  <c r="P478" i="10"/>
  <c r="Q478" i="10"/>
  <c r="E479" i="10"/>
  <c r="G479" i="10"/>
  <c r="K479" i="10"/>
  <c r="O479" i="10"/>
  <c r="P479" i="10"/>
  <c r="Q479" i="10"/>
  <c r="Q482" i="10"/>
  <c r="R482" i="10"/>
  <c r="P484" i="10"/>
  <c r="B487" i="10"/>
  <c r="C487" i="10"/>
  <c r="G489" i="10"/>
  <c r="I489" i="10"/>
  <c r="K489" i="10"/>
  <c r="O489" i="10"/>
  <c r="P489" i="10"/>
  <c r="Q489" i="10"/>
  <c r="G490" i="10"/>
  <c r="I490" i="10"/>
  <c r="K490" i="10"/>
  <c r="O490" i="10"/>
  <c r="P490" i="10"/>
  <c r="Q490" i="10"/>
  <c r="E491" i="10"/>
  <c r="G491" i="10"/>
  <c r="K491" i="10"/>
  <c r="O491" i="10"/>
  <c r="P491" i="10"/>
  <c r="Q491" i="10"/>
  <c r="E492" i="10"/>
  <c r="G492" i="10"/>
  <c r="K492" i="10"/>
  <c r="O492" i="10"/>
  <c r="P492" i="10"/>
  <c r="Q492" i="10"/>
  <c r="C493" i="10"/>
  <c r="E493" i="10"/>
  <c r="G493" i="10"/>
  <c r="I493" i="10"/>
  <c r="K493" i="10"/>
  <c r="O493" i="10"/>
  <c r="P493" i="10"/>
  <c r="Q493" i="10"/>
  <c r="C494" i="10"/>
  <c r="E494" i="10"/>
  <c r="G494" i="10"/>
  <c r="I494" i="10"/>
  <c r="K494" i="10"/>
  <c r="O494" i="10"/>
  <c r="P494" i="10"/>
  <c r="Q494" i="10"/>
  <c r="E495" i="10"/>
  <c r="G495" i="10"/>
  <c r="I495" i="10"/>
  <c r="K495" i="10"/>
  <c r="M495" i="10"/>
  <c r="N495" i="10"/>
  <c r="O495" i="10"/>
  <c r="P495" i="10"/>
  <c r="Q495" i="10"/>
  <c r="E496" i="10"/>
  <c r="G496" i="10"/>
  <c r="K496" i="10"/>
  <c r="O496" i="10"/>
  <c r="P496" i="10"/>
  <c r="Q496" i="10"/>
  <c r="E497" i="10"/>
  <c r="G497" i="10"/>
  <c r="K497" i="10"/>
  <c r="O497" i="10"/>
  <c r="P497" i="10"/>
  <c r="Q497" i="10"/>
  <c r="E498" i="10"/>
  <c r="G498" i="10"/>
  <c r="K498" i="10"/>
  <c r="O498" i="10"/>
  <c r="P498" i="10"/>
  <c r="Q498" i="10"/>
  <c r="E499" i="10"/>
  <c r="G499" i="10"/>
  <c r="K499" i="10"/>
  <c r="O499" i="10"/>
  <c r="P499" i="10"/>
  <c r="Q499" i="10"/>
  <c r="Q502" i="10"/>
  <c r="R502" i="10"/>
  <c r="P504" i="10"/>
  <c r="B507" i="10"/>
  <c r="C507" i="10"/>
  <c r="G509" i="10"/>
  <c r="I509" i="10"/>
  <c r="K509" i="10"/>
  <c r="O509" i="10"/>
  <c r="P509" i="10"/>
  <c r="Q509" i="10"/>
  <c r="G510" i="10"/>
  <c r="I510" i="10"/>
  <c r="K510" i="10"/>
  <c r="O510" i="10"/>
  <c r="P510" i="10"/>
  <c r="Q510" i="10"/>
  <c r="E511" i="10"/>
  <c r="G511" i="10"/>
  <c r="K511" i="10"/>
  <c r="O511" i="10"/>
  <c r="P511" i="10"/>
  <c r="Q511" i="10"/>
  <c r="E512" i="10"/>
  <c r="G512" i="10"/>
  <c r="K512" i="10"/>
  <c r="O512" i="10"/>
  <c r="P512" i="10"/>
  <c r="Q512" i="10"/>
  <c r="C513" i="10"/>
  <c r="E513" i="10"/>
  <c r="G513" i="10"/>
  <c r="I513" i="10"/>
  <c r="K513" i="10"/>
  <c r="O513" i="10"/>
  <c r="P513" i="10"/>
  <c r="Q513" i="10"/>
  <c r="C514" i="10"/>
  <c r="E514" i="10"/>
  <c r="G514" i="10"/>
  <c r="I514" i="10"/>
  <c r="K514" i="10"/>
  <c r="O514" i="10"/>
  <c r="P514" i="10"/>
  <c r="Q514" i="10"/>
  <c r="E515" i="10"/>
  <c r="G515" i="10"/>
  <c r="I515" i="10"/>
  <c r="K515" i="10"/>
  <c r="M515" i="10"/>
  <c r="N515" i="10"/>
  <c r="O515" i="10"/>
  <c r="P515" i="10"/>
  <c r="Q515" i="10"/>
  <c r="E516" i="10"/>
  <c r="G516" i="10"/>
  <c r="K516" i="10"/>
  <c r="O516" i="10"/>
  <c r="P516" i="10"/>
  <c r="Q516" i="10"/>
  <c r="E517" i="10"/>
  <c r="G517" i="10"/>
  <c r="K517" i="10"/>
  <c r="O517" i="10"/>
  <c r="P517" i="10"/>
  <c r="Q517" i="10"/>
  <c r="E518" i="10"/>
  <c r="G518" i="10"/>
  <c r="K518" i="10"/>
  <c r="O518" i="10"/>
  <c r="P518" i="10"/>
  <c r="Q518" i="10"/>
  <c r="E519" i="10"/>
  <c r="G519" i="10"/>
  <c r="K519" i="10"/>
  <c r="O519" i="10"/>
  <c r="P519" i="10"/>
  <c r="Q519" i="10"/>
  <c r="Q522" i="10"/>
  <c r="R522" i="10"/>
  <c r="P524" i="10"/>
  <c r="B527" i="10"/>
  <c r="C527" i="10"/>
  <c r="G529" i="10"/>
  <c r="I529" i="10"/>
  <c r="K529" i="10"/>
  <c r="O529" i="10"/>
  <c r="P529" i="10"/>
  <c r="Q529" i="10"/>
  <c r="G530" i="10"/>
  <c r="I530" i="10"/>
  <c r="K530" i="10"/>
  <c r="O530" i="10"/>
  <c r="P530" i="10"/>
  <c r="Q530" i="10"/>
  <c r="E531" i="10"/>
  <c r="G531" i="10"/>
  <c r="K531" i="10"/>
  <c r="O531" i="10"/>
  <c r="P531" i="10"/>
  <c r="Q531" i="10"/>
  <c r="E532" i="10"/>
  <c r="G532" i="10"/>
  <c r="K532" i="10"/>
  <c r="O532" i="10"/>
  <c r="P532" i="10"/>
  <c r="Q532" i="10"/>
  <c r="C533" i="10"/>
  <c r="E533" i="10"/>
  <c r="G533" i="10"/>
  <c r="I533" i="10"/>
  <c r="K533" i="10"/>
  <c r="O533" i="10"/>
  <c r="P533" i="10"/>
  <c r="Q533" i="10"/>
  <c r="C534" i="10"/>
  <c r="E534" i="10"/>
  <c r="G534" i="10"/>
  <c r="I534" i="10"/>
  <c r="K534" i="10"/>
  <c r="O534" i="10"/>
  <c r="P534" i="10"/>
  <c r="Q534" i="10"/>
  <c r="E535" i="10"/>
  <c r="G535" i="10"/>
  <c r="I535" i="10"/>
  <c r="K535" i="10"/>
  <c r="M535" i="10"/>
  <c r="N535" i="10"/>
  <c r="O535" i="10"/>
  <c r="P535" i="10"/>
  <c r="Q535" i="10"/>
  <c r="E536" i="10"/>
  <c r="G536" i="10"/>
  <c r="K536" i="10"/>
  <c r="O536" i="10"/>
  <c r="P536" i="10"/>
  <c r="Q536" i="10"/>
  <c r="E537" i="10"/>
  <c r="G537" i="10"/>
  <c r="K537" i="10"/>
  <c r="O537" i="10"/>
  <c r="P537" i="10"/>
  <c r="Q537" i="10"/>
  <c r="E538" i="10"/>
  <c r="G538" i="10"/>
  <c r="K538" i="10"/>
  <c r="O538" i="10"/>
  <c r="P538" i="10"/>
  <c r="Q538" i="10"/>
  <c r="E539" i="10"/>
  <c r="G539" i="10"/>
  <c r="K539" i="10"/>
  <c r="O539" i="10"/>
  <c r="P539" i="10"/>
  <c r="Q539" i="10"/>
  <c r="Q542" i="10"/>
  <c r="R542" i="10"/>
  <c r="P544" i="10"/>
  <c r="B547" i="10"/>
  <c r="C547" i="10"/>
  <c r="G549" i="10"/>
  <c r="I549" i="10"/>
  <c r="K549" i="10"/>
  <c r="O549" i="10"/>
  <c r="P549" i="10"/>
  <c r="Q549" i="10"/>
  <c r="G550" i="10"/>
  <c r="I550" i="10"/>
  <c r="K550" i="10"/>
  <c r="O550" i="10"/>
  <c r="P550" i="10"/>
  <c r="Q550" i="10"/>
  <c r="E551" i="10"/>
  <c r="G551" i="10"/>
  <c r="K551" i="10"/>
  <c r="O551" i="10"/>
  <c r="P551" i="10"/>
  <c r="Q551" i="10"/>
  <c r="E552" i="10"/>
  <c r="G552" i="10"/>
  <c r="K552" i="10"/>
  <c r="O552" i="10"/>
  <c r="P552" i="10"/>
  <c r="Q552" i="10"/>
  <c r="C553" i="10"/>
  <c r="E553" i="10"/>
  <c r="G553" i="10"/>
  <c r="I553" i="10"/>
  <c r="K553" i="10"/>
  <c r="O553" i="10"/>
  <c r="P553" i="10"/>
  <c r="Q553" i="10"/>
  <c r="C554" i="10"/>
  <c r="E554" i="10"/>
  <c r="G554" i="10"/>
  <c r="I554" i="10"/>
  <c r="K554" i="10"/>
  <c r="O554" i="10"/>
  <c r="P554" i="10"/>
  <c r="Q554" i="10"/>
  <c r="E555" i="10"/>
  <c r="G555" i="10"/>
  <c r="I555" i="10"/>
  <c r="K555" i="10"/>
  <c r="M555" i="10"/>
  <c r="N555" i="10"/>
  <c r="O555" i="10"/>
  <c r="P555" i="10"/>
  <c r="Q555" i="10"/>
  <c r="E556" i="10"/>
  <c r="G556" i="10"/>
  <c r="K556" i="10"/>
  <c r="O556" i="10"/>
  <c r="P556" i="10"/>
  <c r="Q556" i="10"/>
  <c r="E557" i="10"/>
  <c r="G557" i="10"/>
  <c r="K557" i="10"/>
  <c r="O557" i="10"/>
  <c r="P557" i="10"/>
  <c r="Q557" i="10"/>
  <c r="E558" i="10"/>
  <c r="G558" i="10"/>
  <c r="K558" i="10"/>
  <c r="O558" i="10"/>
  <c r="P558" i="10"/>
  <c r="Q558" i="10"/>
  <c r="E559" i="10"/>
  <c r="G559" i="10"/>
  <c r="K559" i="10"/>
  <c r="O559" i="10"/>
  <c r="P559" i="10"/>
  <c r="Q559" i="10"/>
  <c r="Q562" i="10"/>
  <c r="R562" i="10"/>
  <c r="P564" i="10"/>
  <c r="B567" i="10"/>
  <c r="C567" i="10"/>
  <c r="G569" i="10"/>
  <c r="I569" i="10"/>
  <c r="K569" i="10"/>
  <c r="O569" i="10"/>
  <c r="P569" i="10"/>
  <c r="Q569" i="10"/>
  <c r="G570" i="10"/>
  <c r="I570" i="10"/>
  <c r="K570" i="10"/>
  <c r="O570" i="10"/>
  <c r="P570" i="10"/>
  <c r="Q570" i="10"/>
  <c r="E571" i="10"/>
  <c r="G571" i="10"/>
  <c r="K571" i="10"/>
  <c r="O571" i="10"/>
  <c r="P571" i="10"/>
  <c r="Q571" i="10"/>
  <c r="E572" i="10"/>
  <c r="G572" i="10"/>
  <c r="K572" i="10"/>
  <c r="O572" i="10"/>
  <c r="P572" i="10"/>
  <c r="Q572" i="10"/>
  <c r="C573" i="10"/>
  <c r="E573" i="10"/>
  <c r="G573" i="10"/>
  <c r="I573" i="10"/>
  <c r="K573" i="10"/>
  <c r="O573" i="10"/>
  <c r="P573" i="10"/>
  <c r="Q573" i="10"/>
  <c r="C574" i="10"/>
  <c r="E574" i="10"/>
  <c r="G574" i="10"/>
  <c r="I574" i="10"/>
  <c r="K574" i="10"/>
  <c r="O574" i="10"/>
  <c r="P574" i="10"/>
  <c r="Q574" i="10"/>
  <c r="E575" i="10"/>
  <c r="G575" i="10"/>
  <c r="I575" i="10"/>
  <c r="K575" i="10"/>
  <c r="M575" i="10"/>
  <c r="N575" i="10"/>
  <c r="O575" i="10"/>
  <c r="P575" i="10"/>
  <c r="Q575" i="10"/>
  <c r="E576" i="10"/>
  <c r="G576" i="10"/>
  <c r="K576" i="10"/>
  <c r="O576" i="10"/>
  <c r="P576" i="10"/>
  <c r="Q576" i="10"/>
  <c r="E577" i="10"/>
  <c r="G577" i="10"/>
  <c r="K577" i="10"/>
  <c r="O577" i="10"/>
  <c r="P577" i="10"/>
  <c r="Q577" i="10"/>
  <c r="E578" i="10"/>
  <c r="G578" i="10"/>
  <c r="K578" i="10"/>
  <c r="O578" i="10"/>
  <c r="P578" i="10"/>
  <c r="Q578" i="10"/>
  <c r="E579" i="10"/>
  <c r="G579" i="10"/>
  <c r="K579" i="10"/>
  <c r="O579" i="10"/>
  <c r="P579" i="10"/>
  <c r="Q579" i="10"/>
  <c r="Q582" i="10"/>
  <c r="R582" i="10"/>
  <c r="P584" i="10"/>
  <c r="B587" i="10"/>
  <c r="C587" i="10"/>
  <c r="G589" i="10"/>
  <c r="I589" i="10"/>
  <c r="K589" i="10"/>
  <c r="O589" i="10"/>
  <c r="P589" i="10"/>
  <c r="Q589" i="10"/>
  <c r="G590" i="10"/>
  <c r="I590" i="10"/>
  <c r="K590" i="10"/>
  <c r="O590" i="10"/>
  <c r="P590" i="10"/>
  <c r="Q590" i="10"/>
  <c r="E591" i="10"/>
  <c r="G591" i="10"/>
  <c r="K591" i="10"/>
  <c r="O591" i="10"/>
  <c r="P591" i="10"/>
  <c r="Q591" i="10"/>
  <c r="E592" i="10"/>
  <c r="G592" i="10"/>
  <c r="K592" i="10"/>
  <c r="O592" i="10"/>
  <c r="P592" i="10"/>
  <c r="Q592" i="10"/>
  <c r="C593" i="10"/>
  <c r="E593" i="10"/>
  <c r="G593" i="10"/>
  <c r="I593" i="10"/>
  <c r="K593" i="10"/>
  <c r="O593" i="10"/>
  <c r="P593" i="10"/>
  <c r="Q593" i="10"/>
  <c r="C594" i="10"/>
  <c r="E594" i="10"/>
  <c r="G594" i="10"/>
  <c r="I594" i="10"/>
  <c r="K594" i="10"/>
  <c r="O594" i="10"/>
  <c r="P594" i="10"/>
  <c r="Q594" i="10"/>
  <c r="E595" i="10"/>
  <c r="G595" i="10"/>
  <c r="I595" i="10"/>
  <c r="K595" i="10"/>
  <c r="M595" i="10"/>
  <c r="N595" i="10"/>
  <c r="O595" i="10"/>
  <c r="P595" i="10"/>
  <c r="Q595" i="10"/>
  <c r="E596" i="10"/>
  <c r="G596" i="10"/>
  <c r="K596" i="10"/>
  <c r="O596" i="10"/>
  <c r="P596" i="10"/>
  <c r="Q596" i="10"/>
  <c r="E597" i="10"/>
  <c r="G597" i="10"/>
  <c r="K597" i="10"/>
  <c r="O597" i="10"/>
  <c r="P597" i="10"/>
  <c r="Q597" i="10"/>
  <c r="E598" i="10"/>
  <c r="G598" i="10"/>
  <c r="K598" i="10"/>
  <c r="O598" i="10"/>
  <c r="P598" i="10"/>
  <c r="Q598" i="10"/>
  <c r="E599" i="10"/>
  <c r="G599" i="10"/>
  <c r="K599" i="10"/>
  <c r="O599" i="10"/>
  <c r="P599" i="10"/>
  <c r="Q599" i="10"/>
  <c r="Q602" i="10"/>
  <c r="R602" i="10"/>
  <c r="P604" i="10"/>
  <c r="B607" i="10"/>
  <c r="C607" i="10"/>
  <c r="G609" i="10"/>
  <c r="I609" i="10"/>
  <c r="K609" i="10"/>
  <c r="O609" i="10"/>
  <c r="P609" i="10"/>
  <c r="Q609" i="10"/>
  <c r="G610" i="10"/>
  <c r="I610" i="10"/>
  <c r="K610" i="10"/>
  <c r="O610" i="10"/>
  <c r="P610" i="10"/>
  <c r="Q610" i="10"/>
  <c r="E611" i="10"/>
  <c r="G611" i="10"/>
  <c r="K611" i="10"/>
  <c r="O611" i="10"/>
  <c r="P611" i="10"/>
  <c r="Q611" i="10"/>
  <c r="E612" i="10"/>
  <c r="G612" i="10"/>
  <c r="K612" i="10"/>
  <c r="O612" i="10"/>
  <c r="P612" i="10"/>
  <c r="Q612" i="10"/>
  <c r="C613" i="10"/>
  <c r="E613" i="10"/>
  <c r="G613" i="10"/>
  <c r="I613" i="10"/>
  <c r="K613" i="10"/>
  <c r="O613" i="10"/>
  <c r="P613" i="10"/>
  <c r="Q613" i="10"/>
  <c r="C614" i="10"/>
  <c r="E614" i="10"/>
  <c r="G614" i="10"/>
  <c r="I614" i="10"/>
  <c r="K614" i="10"/>
  <c r="O614" i="10"/>
  <c r="P614" i="10"/>
  <c r="Q614" i="10"/>
  <c r="E615" i="10"/>
  <c r="G615" i="10"/>
  <c r="I615" i="10"/>
  <c r="K615" i="10"/>
  <c r="M615" i="10"/>
  <c r="N615" i="10"/>
  <c r="O615" i="10"/>
  <c r="P615" i="10"/>
  <c r="Q615" i="10"/>
  <c r="E616" i="10"/>
  <c r="G616" i="10"/>
  <c r="K616" i="10"/>
  <c r="O616" i="10"/>
  <c r="P616" i="10"/>
  <c r="Q616" i="10"/>
  <c r="E617" i="10"/>
  <c r="G617" i="10"/>
  <c r="K617" i="10"/>
  <c r="O617" i="10"/>
  <c r="P617" i="10"/>
  <c r="Q617" i="10"/>
  <c r="E618" i="10"/>
  <c r="G618" i="10"/>
  <c r="K618" i="10"/>
  <c r="O618" i="10"/>
  <c r="P618" i="10"/>
  <c r="Q618" i="10"/>
  <c r="E619" i="10"/>
  <c r="G619" i="10"/>
  <c r="K619" i="10"/>
  <c r="O619" i="10"/>
  <c r="P619" i="10"/>
  <c r="Q619" i="10"/>
  <c r="Q622" i="10"/>
  <c r="R622" i="10"/>
  <c r="P624" i="10"/>
  <c r="E1" i="3"/>
  <c r="G4" i="3"/>
  <c r="K4" i="3"/>
  <c r="G5" i="3"/>
  <c r="K5" i="3"/>
  <c r="G6" i="3"/>
  <c r="G7" i="3"/>
  <c r="F12" i="3"/>
  <c r="G12" i="3"/>
  <c r="H12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C48" i="3"/>
  <c r="D48" i="3"/>
  <c r="E48" i="3"/>
  <c r="F48" i="3"/>
  <c r="G48" i="3"/>
  <c r="H48" i="3"/>
  <c r="I48" i="3"/>
  <c r="B2" i="2"/>
  <c r="AQ8" i="2"/>
  <c r="B15" i="2"/>
  <c r="K15" i="2"/>
  <c r="P15" i="2"/>
  <c r="R15" i="2"/>
  <c r="X15" i="2"/>
  <c r="Y15" i="2"/>
  <c r="AA15" i="2"/>
  <c r="AB15" i="2"/>
  <c r="AC15" i="2"/>
  <c r="AD15" i="2"/>
  <c r="AF15" i="2"/>
  <c r="AG15" i="2"/>
  <c r="AI15" i="2"/>
  <c r="AJ15" i="2"/>
  <c r="AL15" i="2"/>
  <c r="AM15" i="2"/>
  <c r="AO15" i="2"/>
  <c r="AP15" i="2"/>
  <c r="AQ15" i="2"/>
  <c r="AR15" i="2"/>
  <c r="AU15" i="2"/>
  <c r="AV15" i="2"/>
  <c r="AX15" i="2"/>
  <c r="B16" i="2"/>
  <c r="K16" i="2"/>
  <c r="P16" i="2"/>
  <c r="R16" i="2"/>
  <c r="X16" i="2"/>
  <c r="Y16" i="2"/>
  <c r="AA16" i="2"/>
  <c r="AB16" i="2"/>
  <c r="AC16" i="2"/>
  <c r="AD16" i="2"/>
  <c r="AF16" i="2"/>
  <c r="AG16" i="2"/>
  <c r="AI16" i="2"/>
  <c r="AJ16" i="2"/>
  <c r="AL16" i="2"/>
  <c r="AM16" i="2"/>
  <c r="AO16" i="2"/>
  <c r="AP16" i="2"/>
  <c r="AQ16" i="2"/>
  <c r="AR16" i="2"/>
  <c r="AU16" i="2"/>
  <c r="AV16" i="2"/>
  <c r="AX16" i="2"/>
  <c r="B17" i="2"/>
  <c r="K17" i="2"/>
  <c r="P17" i="2"/>
  <c r="R17" i="2"/>
  <c r="X17" i="2"/>
  <c r="Y17" i="2"/>
  <c r="AA17" i="2"/>
  <c r="AB17" i="2"/>
  <c r="AC17" i="2"/>
  <c r="AD17" i="2"/>
  <c r="AF17" i="2"/>
  <c r="AG17" i="2"/>
  <c r="AI17" i="2"/>
  <c r="AJ17" i="2"/>
  <c r="AL17" i="2"/>
  <c r="AM17" i="2"/>
  <c r="AO17" i="2"/>
  <c r="AP17" i="2"/>
  <c r="AQ17" i="2"/>
  <c r="AR17" i="2"/>
  <c r="AU17" i="2"/>
  <c r="AV17" i="2"/>
  <c r="AX17" i="2"/>
  <c r="B18" i="2"/>
  <c r="K18" i="2"/>
  <c r="P18" i="2"/>
  <c r="R18" i="2"/>
  <c r="X18" i="2"/>
  <c r="Y18" i="2"/>
  <c r="AA18" i="2"/>
  <c r="AB18" i="2"/>
  <c r="AC18" i="2"/>
  <c r="AD18" i="2"/>
  <c r="AF18" i="2"/>
  <c r="AG18" i="2"/>
  <c r="AI18" i="2"/>
  <c r="AJ18" i="2"/>
  <c r="AL18" i="2"/>
  <c r="AM18" i="2"/>
  <c r="AO18" i="2"/>
  <c r="AP18" i="2"/>
  <c r="AQ18" i="2"/>
  <c r="AR18" i="2"/>
  <c r="AU18" i="2"/>
  <c r="AV18" i="2"/>
  <c r="AX18" i="2"/>
  <c r="B19" i="2"/>
  <c r="K19" i="2"/>
  <c r="P19" i="2"/>
  <c r="R19" i="2"/>
  <c r="X19" i="2"/>
  <c r="Y19" i="2"/>
  <c r="AA19" i="2"/>
  <c r="AB19" i="2"/>
  <c r="AC19" i="2"/>
  <c r="AD19" i="2"/>
  <c r="AF19" i="2"/>
  <c r="AG19" i="2"/>
  <c r="AI19" i="2"/>
  <c r="AJ19" i="2"/>
  <c r="AL19" i="2"/>
  <c r="AM19" i="2"/>
  <c r="AO19" i="2"/>
  <c r="AP19" i="2"/>
  <c r="AQ19" i="2"/>
  <c r="AR19" i="2"/>
  <c r="AU19" i="2"/>
  <c r="AV19" i="2"/>
  <c r="AX19" i="2"/>
  <c r="B20" i="2"/>
  <c r="K20" i="2"/>
  <c r="P20" i="2"/>
  <c r="R20" i="2"/>
  <c r="X20" i="2"/>
  <c r="Y20" i="2"/>
  <c r="AA20" i="2"/>
  <c r="AB20" i="2"/>
  <c r="AC20" i="2"/>
  <c r="AD20" i="2"/>
  <c r="AF20" i="2"/>
  <c r="AG20" i="2"/>
  <c r="AI20" i="2"/>
  <c r="AJ20" i="2"/>
  <c r="AL20" i="2"/>
  <c r="AM20" i="2"/>
  <c r="AO20" i="2"/>
  <c r="AP20" i="2"/>
  <c r="AQ20" i="2"/>
  <c r="AR20" i="2"/>
  <c r="AU20" i="2"/>
  <c r="AV20" i="2"/>
  <c r="AX20" i="2"/>
  <c r="B21" i="2"/>
  <c r="K21" i="2"/>
  <c r="P21" i="2"/>
  <c r="R21" i="2"/>
  <c r="X21" i="2"/>
  <c r="Y21" i="2"/>
  <c r="AA21" i="2"/>
  <c r="AB21" i="2"/>
  <c r="AC21" i="2"/>
  <c r="AD21" i="2"/>
  <c r="AF21" i="2"/>
  <c r="AG21" i="2"/>
  <c r="AI21" i="2"/>
  <c r="AJ21" i="2"/>
  <c r="AL21" i="2"/>
  <c r="AM21" i="2"/>
  <c r="AO21" i="2"/>
  <c r="AP21" i="2"/>
  <c r="AQ21" i="2"/>
  <c r="AR21" i="2"/>
  <c r="AU21" i="2"/>
  <c r="AV21" i="2"/>
  <c r="AX21" i="2"/>
  <c r="B22" i="2"/>
  <c r="K22" i="2"/>
  <c r="P22" i="2"/>
  <c r="R22" i="2"/>
  <c r="X22" i="2"/>
  <c r="Y22" i="2"/>
  <c r="AA22" i="2"/>
  <c r="AB22" i="2"/>
  <c r="AC22" i="2"/>
  <c r="AD22" i="2"/>
  <c r="AF22" i="2"/>
  <c r="AG22" i="2"/>
  <c r="AI22" i="2"/>
  <c r="AJ22" i="2"/>
  <c r="AL22" i="2"/>
  <c r="AM22" i="2"/>
  <c r="AO22" i="2"/>
  <c r="AP22" i="2"/>
  <c r="AQ22" i="2"/>
  <c r="AR22" i="2"/>
  <c r="AU22" i="2"/>
  <c r="AV22" i="2"/>
  <c r="AX22" i="2"/>
  <c r="B23" i="2"/>
  <c r="K23" i="2"/>
  <c r="P23" i="2"/>
  <c r="R23" i="2"/>
  <c r="X23" i="2"/>
  <c r="Y23" i="2"/>
  <c r="AA23" i="2"/>
  <c r="AB23" i="2"/>
  <c r="AC23" i="2"/>
  <c r="AD23" i="2"/>
  <c r="AF23" i="2"/>
  <c r="AG23" i="2"/>
  <c r="AI23" i="2"/>
  <c r="AJ23" i="2"/>
  <c r="AL23" i="2"/>
  <c r="AM23" i="2"/>
  <c r="AO23" i="2"/>
  <c r="AP23" i="2"/>
  <c r="AQ23" i="2"/>
  <c r="AR23" i="2"/>
  <c r="AU23" i="2"/>
  <c r="AV23" i="2"/>
  <c r="AX23" i="2"/>
  <c r="B24" i="2"/>
  <c r="K24" i="2"/>
  <c r="P24" i="2"/>
  <c r="R24" i="2"/>
  <c r="X24" i="2"/>
  <c r="Y24" i="2"/>
  <c r="AA24" i="2"/>
  <c r="AB24" i="2"/>
  <c r="AC24" i="2"/>
  <c r="AD24" i="2"/>
  <c r="AF24" i="2"/>
  <c r="AG24" i="2"/>
  <c r="AI24" i="2"/>
  <c r="AJ24" i="2"/>
  <c r="AL24" i="2"/>
  <c r="AM24" i="2"/>
  <c r="AO24" i="2"/>
  <c r="AP24" i="2"/>
  <c r="AQ24" i="2"/>
  <c r="AR24" i="2"/>
  <c r="AU24" i="2"/>
  <c r="AV24" i="2"/>
  <c r="AX24" i="2"/>
  <c r="B25" i="2"/>
  <c r="K25" i="2"/>
  <c r="P25" i="2"/>
  <c r="R25" i="2"/>
  <c r="X25" i="2"/>
  <c r="Y25" i="2"/>
  <c r="AA25" i="2"/>
  <c r="AB25" i="2"/>
  <c r="AC25" i="2"/>
  <c r="AD25" i="2"/>
  <c r="AF25" i="2"/>
  <c r="AG25" i="2"/>
  <c r="AI25" i="2"/>
  <c r="AJ25" i="2"/>
  <c r="AL25" i="2"/>
  <c r="AM25" i="2"/>
  <c r="AO25" i="2"/>
  <c r="AP25" i="2"/>
  <c r="AQ25" i="2"/>
  <c r="AR25" i="2"/>
  <c r="AU25" i="2"/>
  <c r="AV25" i="2"/>
  <c r="AX25" i="2"/>
  <c r="B26" i="2"/>
  <c r="K26" i="2"/>
  <c r="P26" i="2"/>
  <c r="R26" i="2"/>
  <c r="X26" i="2"/>
  <c r="Y26" i="2"/>
  <c r="AA26" i="2"/>
  <c r="AB26" i="2"/>
  <c r="AC26" i="2"/>
  <c r="AD26" i="2"/>
  <c r="AF26" i="2"/>
  <c r="AG26" i="2"/>
  <c r="AI26" i="2"/>
  <c r="AJ26" i="2"/>
  <c r="AL26" i="2"/>
  <c r="AM26" i="2"/>
  <c r="AO26" i="2"/>
  <c r="AP26" i="2"/>
  <c r="AQ26" i="2"/>
  <c r="AR26" i="2"/>
  <c r="AU26" i="2"/>
  <c r="AV26" i="2"/>
  <c r="AX26" i="2"/>
  <c r="B27" i="2"/>
  <c r="K27" i="2"/>
  <c r="P27" i="2"/>
  <c r="R27" i="2"/>
  <c r="X27" i="2"/>
  <c r="Y27" i="2"/>
  <c r="AA27" i="2"/>
  <c r="AB27" i="2"/>
  <c r="AC27" i="2"/>
  <c r="AD27" i="2"/>
  <c r="AF27" i="2"/>
  <c r="AG27" i="2"/>
  <c r="AI27" i="2"/>
  <c r="AJ27" i="2"/>
  <c r="AL27" i="2"/>
  <c r="AM27" i="2"/>
  <c r="AO27" i="2"/>
  <c r="AP27" i="2"/>
  <c r="AQ27" i="2"/>
  <c r="AR27" i="2"/>
  <c r="AU27" i="2"/>
  <c r="AV27" i="2"/>
  <c r="AX27" i="2"/>
  <c r="B28" i="2"/>
  <c r="K28" i="2"/>
  <c r="P28" i="2"/>
  <c r="R28" i="2"/>
  <c r="X28" i="2"/>
  <c r="Y28" i="2"/>
  <c r="AA28" i="2"/>
  <c r="AB28" i="2"/>
  <c r="AC28" i="2"/>
  <c r="AD28" i="2"/>
  <c r="AF28" i="2"/>
  <c r="AG28" i="2"/>
  <c r="AI28" i="2"/>
  <c r="AJ28" i="2"/>
  <c r="AL28" i="2"/>
  <c r="AM28" i="2"/>
  <c r="AO28" i="2"/>
  <c r="AP28" i="2"/>
  <c r="AQ28" i="2"/>
  <c r="AR28" i="2"/>
  <c r="AU28" i="2"/>
  <c r="AV28" i="2"/>
  <c r="AX28" i="2"/>
  <c r="B29" i="2"/>
  <c r="K29" i="2"/>
  <c r="P29" i="2"/>
  <c r="R29" i="2"/>
  <c r="X29" i="2"/>
  <c r="Y29" i="2"/>
  <c r="AA29" i="2"/>
  <c r="AB29" i="2"/>
  <c r="AC29" i="2"/>
  <c r="AD29" i="2"/>
  <c r="AF29" i="2"/>
  <c r="AG29" i="2"/>
  <c r="AI29" i="2"/>
  <c r="AJ29" i="2"/>
  <c r="AL29" i="2"/>
  <c r="AM29" i="2"/>
  <c r="AO29" i="2"/>
  <c r="AP29" i="2"/>
  <c r="AQ29" i="2"/>
  <c r="AR29" i="2"/>
  <c r="AU29" i="2"/>
  <c r="AV29" i="2"/>
  <c r="AX29" i="2"/>
  <c r="B30" i="2"/>
  <c r="E30" i="2"/>
  <c r="K30" i="2"/>
  <c r="P30" i="2"/>
  <c r="R30" i="2"/>
  <c r="X30" i="2"/>
  <c r="Y30" i="2"/>
  <c r="AA30" i="2"/>
  <c r="AB30" i="2"/>
  <c r="AC30" i="2"/>
  <c r="AD30" i="2"/>
  <c r="AF30" i="2"/>
  <c r="AG30" i="2"/>
  <c r="AI30" i="2"/>
  <c r="AJ30" i="2"/>
  <c r="AL30" i="2"/>
  <c r="AM30" i="2"/>
  <c r="AO30" i="2"/>
  <c r="AP30" i="2"/>
  <c r="AQ30" i="2"/>
  <c r="AR30" i="2"/>
  <c r="AU30" i="2"/>
  <c r="AV30" i="2"/>
  <c r="AX30" i="2"/>
  <c r="B31" i="2"/>
  <c r="E31" i="2"/>
  <c r="K31" i="2"/>
  <c r="P31" i="2"/>
  <c r="R31" i="2"/>
  <c r="X31" i="2"/>
  <c r="Y31" i="2"/>
  <c r="AA31" i="2"/>
  <c r="AB31" i="2"/>
  <c r="AC31" i="2"/>
  <c r="AD31" i="2"/>
  <c r="AF31" i="2"/>
  <c r="AG31" i="2"/>
  <c r="AI31" i="2"/>
  <c r="AJ31" i="2"/>
  <c r="AL31" i="2"/>
  <c r="AM31" i="2"/>
  <c r="AO31" i="2"/>
  <c r="AP31" i="2"/>
  <c r="AQ31" i="2"/>
  <c r="AR31" i="2"/>
  <c r="AU31" i="2"/>
  <c r="AV31" i="2"/>
  <c r="AX31" i="2"/>
  <c r="B32" i="2"/>
  <c r="E32" i="2"/>
  <c r="K32" i="2"/>
  <c r="P32" i="2"/>
  <c r="R32" i="2"/>
  <c r="X32" i="2"/>
  <c r="Y32" i="2"/>
  <c r="AA32" i="2"/>
  <c r="AB32" i="2"/>
  <c r="AC32" i="2"/>
  <c r="AD32" i="2"/>
  <c r="AF32" i="2"/>
  <c r="AG32" i="2"/>
  <c r="AI32" i="2"/>
  <c r="AJ32" i="2"/>
  <c r="AL32" i="2"/>
  <c r="AM32" i="2"/>
  <c r="AO32" i="2"/>
  <c r="AP32" i="2"/>
  <c r="AQ32" i="2"/>
  <c r="AR32" i="2"/>
  <c r="AU32" i="2"/>
  <c r="AV32" i="2"/>
  <c r="AX32" i="2"/>
  <c r="B33" i="2"/>
  <c r="E33" i="2"/>
  <c r="K33" i="2"/>
  <c r="P33" i="2"/>
  <c r="R33" i="2"/>
  <c r="X33" i="2"/>
  <c r="Y33" i="2"/>
  <c r="AA33" i="2"/>
  <c r="AB33" i="2"/>
  <c r="AC33" i="2"/>
  <c r="AD33" i="2"/>
  <c r="AF33" i="2"/>
  <c r="AG33" i="2"/>
  <c r="AI33" i="2"/>
  <c r="AJ33" i="2"/>
  <c r="AL33" i="2"/>
  <c r="AM33" i="2"/>
  <c r="AO33" i="2"/>
  <c r="AP33" i="2"/>
  <c r="AQ33" i="2"/>
  <c r="AR33" i="2"/>
  <c r="AU33" i="2"/>
  <c r="AV33" i="2"/>
  <c r="AX33" i="2"/>
  <c r="B34" i="2"/>
  <c r="K34" i="2"/>
  <c r="P34" i="2"/>
  <c r="R34" i="2"/>
  <c r="X34" i="2"/>
  <c r="Y34" i="2"/>
  <c r="AA34" i="2"/>
  <c r="AB34" i="2"/>
  <c r="AC34" i="2"/>
  <c r="AD34" i="2"/>
  <c r="AF34" i="2"/>
  <c r="AG34" i="2"/>
  <c r="AI34" i="2"/>
  <c r="AJ34" i="2"/>
  <c r="AL34" i="2"/>
  <c r="AM34" i="2"/>
  <c r="AO34" i="2"/>
  <c r="AP34" i="2"/>
  <c r="AQ34" i="2"/>
  <c r="AR34" i="2"/>
  <c r="AU34" i="2"/>
  <c r="AV34" i="2"/>
  <c r="AX34" i="2"/>
  <c r="B35" i="2"/>
  <c r="E35" i="2"/>
  <c r="K35" i="2"/>
  <c r="P35" i="2"/>
  <c r="R35" i="2"/>
  <c r="X35" i="2"/>
  <c r="Y35" i="2"/>
  <c r="AA35" i="2"/>
  <c r="AB35" i="2"/>
  <c r="AC35" i="2"/>
  <c r="AD35" i="2"/>
  <c r="AF35" i="2"/>
  <c r="AG35" i="2"/>
  <c r="AI35" i="2"/>
  <c r="AJ35" i="2"/>
  <c r="AL35" i="2"/>
  <c r="AM35" i="2"/>
  <c r="AO35" i="2"/>
  <c r="AP35" i="2"/>
  <c r="AQ35" i="2"/>
  <c r="AR35" i="2"/>
  <c r="AU35" i="2"/>
  <c r="AV35" i="2"/>
  <c r="AX35" i="2"/>
  <c r="B36" i="2"/>
  <c r="K36" i="2"/>
  <c r="P36" i="2"/>
  <c r="R36" i="2"/>
  <c r="X36" i="2"/>
  <c r="Y36" i="2"/>
  <c r="AA36" i="2"/>
  <c r="AB36" i="2"/>
  <c r="AC36" i="2"/>
  <c r="AD36" i="2"/>
  <c r="AF36" i="2"/>
  <c r="AG36" i="2"/>
  <c r="AI36" i="2"/>
  <c r="AJ36" i="2"/>
  <c r="AL36" i="2"/>
  <c r="AM36" i="2"/>
  <c r="AO36" i="2"/>
  <c r="AP36" i="2"/>
  <c r="AQ36" i="2"/>
  <c r="AR36" i="2"/>
  <c r="AU36" i="2"/>
  <c r="AV36" i="2"/>
  <c r="AX36" i="2"/>
  <c r="B37" i="2"/>
  <c r="E37" i="2"/>
  <c r="G37" i="2"/>
  <c r="K37" i="2"/>
  <c r="P37" i="2"/>
  <c r="R37" i="2"/>
  <c r="X37" i="2"/>
  <c r="Y37" i="2"/>
  <c r="AA37" i="2"/>
  <c r="AB37" i="2"/>
  <c r="AC37" i="2"/>
  <c r="AD37" i="2"/>
  <c r="AF37" i="2"/>
  <c r="AG37" i="2"/>
  <c r="AI37" i="2"/>
  <c r="AJ37" i="2"/>
  <c r="AL37" i="2"/>
  <c r="AM37" i="2"/>
  <c r="AO37" i="2"/>
  <c r="AP37" i="2"/>
  <c r="AQ37" i="2"/>
  <c r="AR37" i="2"/>
  <c r="AU37" i="2"/>
  <c r="AV37" i="2"/>
  <c r="AX37" i="2"/>
  <c r="B38" i="2"/>
  <c r="E38" i="2"/>
  <c r="K38" i="2"/>
  <c r="P38" i="2"/>
  <c r="R38" i="2"/>
  <c r="X38" i="2"/>
  <c r="Y38" i="2"/>
  <c r="AA38" i="2"/>
  <c r="AB38" i="2"/>
  <c r="AC38" i="2"/>
  <c r="AD38" i="2"/>
  <c r="AF38" i="2"/>
  <c r="AG38" i="2"/>
  <c r="AI38" i="2"/>
  <c r="AJ38" i="2"/>
  <c r="AL38" i="2"/>
  <c r="AM38" i="2"/>
  <c r="AO38" i="2"/>
  <c r="AP38" i="2"/>
  <c r="AQ38" i="2"/>
  <c r="AR38" i="2"/>
  <c r="AU38" i="2"/>
  <c r="AV38" i="2"/>
  <c r="AX38" i="2"/>
  <c r="B39" i="2"/>
  <c r="E39" i="2"/>
  <c r="K39" i="2"/>
  <c r="P39" i="2"/>
  <c r="R39" i="2"/>
  <c r="X39" i="2"/>
  <c r="Y39" i="2"/>
  <c r="AA39" i="2"/>
  <c r="AB39" i="2"/>
  <c r="AC39" i="2"/>
  <c r="AD39" i="2"/>
  <c r="AF39" i="2"/>
  <c r="AG39" i="2"/>
  <c r="AI39" i="2"/>
  <c r="AJ39" i="2"/>
  <c r="AL39" i="2"/>
  <c r="AM39" i="2"/>
  <c r="AO39" i="2"/>
  <c r="AP39" i="2"/>
  <c r="AQ39" i="2"/>
  <c r="AR39" i="2"/>
  <c r="AU39" i="2"/>
  <c r="AV39" i="2"/>
  <c r="AX39" i="2"/>
  <c r="B40" i="2"/>
  <c r="E40" i="2"/>
  <c r="K40" i="2"/>
  <c r="P40" i="2"/>
  <c r="R40" i="2"/>
  <c r="X40" i="2"/>
  <c r="Y40" i="2"/>
  <c r="AA40" i="2"/>
  <c r="AB40" i="2"/>
  <c r="AC40" i="2"/>
  <c r="AD40" i="2"/>
  <c r="AF40" i="2"/>
  <c r="AG40" i="2"/>
  <c r="AI40" i="2"/>
  <c r="AJ40" i="2"/>
  <c r="AL40" i="2"/>
  <c r="AM40" i="2"/>
  <c r="AO40" i="2"/>
  <c r="AP40" i="2"/>
  <c r="AQ40" i="2"/>
  <c r="AR40" i="2"/>
  <c r="AU40" i="2"/>
  <c r="AV40" i="2"/>
  <c r="AX40" i="2"/>
  <c r="B41" i="2"/>
  <c r="E41" i="2"/>
  <c r="K41" i="2"/>
  <c r="P41" i="2"/>
  <c r="R41" i="2"/>
  <c r="X41" i="2"/>
  <c r="Y41" i="2"/>
  <c r="AA41" i="2"/>
  <c r="AB41" i="2"/>
  <c r="AC41" i="2"/>
  <c r="AD41" i="2"/>
  <c r="AF41" i="2"/>
  <c r="AG41" i="2"/>
  <c r="AI41" i="2"/>
  <c r="AJ41" i="2"/>
  <c r="AL41" i="2"/>
  <c r="AM41" i="2"/>
  <c r="AO41" i="2"/>
  <c r="AP41" i="2"/>
  <c r="AQ41" i="2"/>
  <c r="AR41" i="2"/>
  <c r="AU41" i="2"/>
  <c r="AV41" i="2"/>
  <c r="AX41" i="2"/>
  <c r="B42" i="2"/>
  <c r="E42" i="2"/>
  <c r="K42" i="2"/>
  <c r="P42" i="2"/>
  <c r="R42" i="2"/>
  <c r="X42" i="2"/>
  <c r="Y42" i="2"/>
  <c r="AA42" i="2"/>
  <c r="AB42" i="2"/>
  <c r="AC42" i="2"/>
  <c r="AD42" i="2"/>
  <c r="AF42" i="2"/>
  <c r="AG42" i="2"/>
  <c r="AI42" i="2"/>
  <c r="AJ42" i="2"/>
  <c r="AL42" i="2"/>
  <c r="AM42" i="2"/>
  <c r="AO42" i="2"/>
  <c r="AP42" i="2"/>
  <c r="AQ42" i="2"/>
  <c r="AR42" i="2"/>
  <c r="AU42" i="2"/>
  <c r="AV42" i="2"/>
  <c r="AX42" i="2"/>
  <c r="B43" i="2"/>
  <c r="E43" i="2"/>
  <c r="K43" i="2"/>
  <c r="P43" i="2"/>
  <c r="R43" i="2"/>
  <c r="X43" i="2"/>
  <c r="Y43" i="2"/>
  <c r="AA43" i="2"/>
  <c r="AB43" i="2"/>
  <c r="AC43" i="2"/>
  <c r="AD43" i="2"/>
  <c r="AF43" i="2"/>
  <c r="AG43" i="2"/>
  <c r="AI43" i="2"/>
  <c r="AJ43" i="2"/>
  <c r="AL43" i="2"/>
  <c r="AM43" i="2"/>
  <c r="AO43" i="2"/>
  <c r="AP43" i="2"/>
  <c r="AQ43" i="2"/>
  <c r="AR43" i="2"/>
  <c r="AU43" i="2"/>
  <c r="AV43" i="2"/>
  <c r="AX43" i="2"/>
  <c r="B44" i="2"/>
  <c r="K44" i="2"/>
  <c r="P44" i="2"/>
  <c r="R44" i="2"/>
  <c r="X44" i="2"/>
  <c r="Y44" i="2"/>
  <c r="AA44" i="2"/>
  <c r="AB44" i="2"/>
  <c r="AC44" i="2"/>
  <c r="AD44" i="2"/>
  <c r="AF44" i="2"/>
  <c r="AG44" i="2"/>
  <c r="AI44" i="2"/>
  <c r="AJ44" i="2"/>
  <c r="AL44" i="2"/>
  <c r="AM44" i="2"/>
  <c r="AO44" i="2"/>
  <c r="AP44" i="2"/>
  <c r="AQ44" i="2"/>
  <c r="AR44" i="2"/>
  <c r="AU44" i="2"/>
  <c r="AV44" i="2"/>
  <c r="AX44" i="2"/>
  <c r="B45" i="2"/>
  <c r="C45" i="2"/>
  <c r="K45" i="2"/>
  <c r="P45" i="2"/>
  <c r="R45" i="2"/>
  <c r="X45" i="2"/>
  <c r="Y45" i="2"/>
  <c r="AA45" i="2"/>
  <c r="AB45" i="2"/>
  <c r="AC45" i="2"/>
  <c r="AD45" i="2"/>
  <c r="AF45" i="2"/>
  <c r="AG45" i="2"/>
  <c r="AI45" i="2"/>
  <c r="AJ45" i="2"/>
  <c r="AL45" i="2"/>
  <c r="AM45" i="2"/>
  <c r="AO45" i="2"/>
  <c r="AP45" i="2"/>
  <c r="AQ45" i="2"/>
  <c r="AR45" i="2"/>
  <c r="AU45" i="2"/>
  <c r="AV45" i="2"/>
  <c r="AX45" i="2"/>
  <c r="AD47" i="2"/>
  <c r="AP47" i="2"/>
  <c r="A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G51" i="2"/>
  <c r="G53" i="2"/>
  <c r="G55" i="2"/>
  <c r="G57" i="2"/>
  <c r="G59" i="2"/>
  <c r="G61" i="2"/>
  <c r="C19" i="7"/>
  <c r="E19" i="7"/>
  <c r="F19" i="7"/>
  <c r="C21" i="7"/>
  <c r="C23" i="7"/>
  <c r="F5" i="8"/>
  <c r="L5" i="8"/>
  <c r="N5" i="8"/>
  <c r="F7" i="8"/>
  <c r="L7" i="8"/>
  <c r="N7" i="8"/>
  <c r="F9" i="8"/>
  <c r="L9" i="8"/>
  <c r="N9" i="8"/>
  <c r="G11" i="8"/>
  <c r="N11" i="8"/>
  <c r="P11" i="8"/>
  <c r="D14" i="8"/>
  <c r="F14" i="8"/>
  <c r="H14" i="8"/>
  <c r="J14" i="8"/>
  <c r="L14" i="8"/>
  <c r="N14" i="8"/>
  <c r="D15" i="8"/>
  <c r="F15" i="8"/>
  <c r="H15" i="8"/>
  <c r="J15" i="8"/>
  <c r="L15" i="8"/>
  <c r="N15" i="8"/>
  <c r="D16" i="8"/>
  <c r="F16" i="8"/>
  <c r="H16" i="8"/>
  <c r="J16" i="8"/>
  <c r="L16" i="8"/>
  <c r="N16" i="8"/>
  <c r="D17" i="8"/>
  <c r="F17" i="8"/>
  <c r="H17" i="8"/>
  <c r="J17" i="8"/>
  <c r="L17" i="8"/>
  <c r="N17" i="8"/>
  <c r="D18" i="8"/>
  <c r="F18" i="8"/>
  <c r="H18" i="8"/>
  <c r="J18" i="8"/>
  <c r="L18" i="8"/>
  <c r="N18" i="8"/>
  <c r="D19" i="8"/>
  <c r="F19" i="8"/>
  <c r="H19" i="8"/>
  <c r="J19" i="8"/>
  <c r="L19" i="8"/>
  <c r="N19" i="8"/>
  <c r="D20" i="8"/>
  <c r="F20" i="8"/>
  <c r="H20" i="8"/>
  <c r="J20" i="8"/>
  <c r="L20" i="8"/>
  <c r="N20" i="8"/>
  <c r="D21" i="8"/>
  <c r="F21" i="8"/>
  <c r="H21" i="8"/>
  <c r="J21" i="8"/>
  <c r="L21" i="8"/>
  <c r="N21" i="8"/>
  <c r="D22" i="8"/>
  <c r="F22" i="8"/>
  <c r="H22" i="8"/>
  <c r="J22" i="8"/>
  <c r="L22" i="8"/>
  <c r="N22" i="8"/>
  <c r="D23" i="8"/>
  <c r="F23" i="8"/>
  <c r="H23" i="8"/>
  <c r="J23" i="8"/>
  <c r="L23" i="8"/>
  <c r="N23" i="8"/>
  <c r="D24" i="8"/>
  <c r="F24" i="8"/>
  <c r="H24" i="8"/>
  <c r="J24" i="8"/>
  <c r="L24" i="8"/>
  <c r="N24" i="8"/>
  <c r="D25" i="8"/>
  <c r="F25" i="8"/>
  <c r="H25" i="8"/>
  <c r="J25" i="8"/>
  <c r="L25" i="8"/>
  <c r="N25" i="8"/>
  <c r="D26" i="8"/>
  <c r="F26" i="8"/>
  <c r="H26" i="8"/>
  <c r="J26" i="8"/>
  <c r="L26" i="8"/>
  <c r="N26" i="8"/>
  <c r="D27" i="8"/>
  <c r="F27" i="8"/>
  <c r="H27" i="8"/>
  <c r="J27" i="8"/>
  <c r="L27" i="8"/>
  <c r="N27" i="8"/>
  <c r="D28" i="8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32" i="8"/>
  <c r="F32" i="8"/>
  <c r="H32" i="8"/>
  <c r="J32" i="8"/>
  <c r="L32" i="8"/>
  <c r="N32" i="8"/>
  <c r="D33" i="8"/>
  <c r="F33" i="8"/>
  <c r="H33" i="8"/>
  <c r="J33" i="8"/>
  <c r="L33" i="8"/>
  <c r="N33" i="8"/>
  <c r="D34" i="8"/>
  <c r="F34" i="8"/>
  <c r="H34" i="8"/>
  <c r="J34" i="8"/>
  <c r="L34" i="8"/>
  <c r="N34" i="8"/>
  <c r="D35" i="8"/>
  <c r="F35" i="8"/>
  <c r="H35" i="8"/>
  <c r="J35" i="8"/>
  <c r="L35" i="8"/>
  <c r="N35" i="8"/>
  <c r="D36" i="8"/>
  <c r="F36" i="8"/>
  <c r="H36" i="8"/>
  <c r="J36" i="8"/>
  <c r="L36" i="8"/>
  <c r="N36" i="8"/>
  <c r="D37" i="8"/>
  <c r="F37" i="8"/>
  <c r="H37" i="8"/>
  <c r="J37" i="8"/>
  <c r="L37" i="8"/>
  <c r="N37" i="8"/>
  <c r="D38" i="8"/>
  <c r="F38" i="8"/>
  <c r="H38" i="8"/>
  <c r="J38" i="8"/>
  <c r="L38" i="8"/>
  <c r="N38" i="8"/>
  <c r="D39" i="8"/>
  <c r="F39" i="8"/>
  <c r="H39" i="8"/>
  <c r="J39" i="8"/>
  <c r="L39" i="8"/>
  <c r="N39" i="8"/>
  <c r="D40" i="8"/>
  <c r="F40" i="8"/>
  <c r="H40" i="8"/>
  <c r="J40" i="8"/>
  <c r="L40" i="8"/>
  <c r="N40" i="8"/>
  <c r="D41" i="8"/>
  <c r="F41" i="8"/>
  <c r="H41" i="8"/>
  <c r="J41" i="8"/>
  <c r="L41" i="8"/>
  <c r="N41" i="8"/>
  <c r="D42" i="8"/>
  <c r="F42" i="8"/>
  <c r="H42" i="8"/>
  <c r="J42" i="8"/>
  <c r="L42" i="8"/>
  <c r="N42" i="8"/>
  <c r="D43" i="8"/>
  <c r="F43" i="8"/>
  <c r="H43" i="8"/>
  <c r="J43" i="8"/>
  <c r="L43" i="8"/>
  <c r="N43" i="8"/>
  <c r="D44" i="8"/>
  <c r="F44" i="8"/>
  <c r="H44" i="8"/>
  <c r="J44" i="8"/>
  <c r="L44" i="8"/>
  <c r="N44" i="8"/>
  <c r="F46" i="8"/>
  <c r="G46" i="8"/>
  <c r="H46" i="8"/>
  <c r="J46" i="8"/>
  <c r="N46" i="8"/>
</calcChain>
</file>

<file path=xl/comments1.xml><?xml version="1.0" encoding="utf-8"?>
<comments xmlns="http://schemas.openxmlformats.org/spreadsheetml/2006/main">
  <authors>
    <author>Steve Gillespie</author>
  </authors>
  <commentList>
    <comment ref="E46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HOPEWELL STORAGE PULL</t>
        </r>
      </text>
    </comment>
  </commentList>
</comments>
</file>

<file path=xl/comments2.xml><?xml version="1.0" encoding="utf-8"?>
<comments xmlns="http://schemas.openxmlformats.org/spreadsheetml/2006/main">
  <authors>
    <author>Steve Gillespie</author>
  </authors>
  <commentList>
    <comment ref="F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Special Trans Rate
$0.05 plus s/c for Tenn
</t>
        </r>
      </text>
    </comment>
    <comment ref="F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Same as above
</t>
        </r>
      </text>
    </comment>
  </commentList>
</comments>
</file>

<file path=xl/comments3.xml><?xml version="1.0" encoding="utf-8"?>
<comments xmlns="http://schemas.openxmlformats.org/spreadsheetml/2006/main">
  <authors>
    <author>Steve Gillespie</author>
  </authors>
  <commentList>
    <comment ref="E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6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6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</commentList>
</comments>
</file>

<file path=xl/comments4.xml><?xml version="1.0" encoding="utf-8"?>
<comments xmlns="http://schemas.openxmlformats.org/spreadsheetml/2006/main">
  <authors>
    <author>Steve Gillespie</author>
  </authors>
  <commentList>
    <comment ref="E3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from ss: vng daily tier quantity by month
</t>
        </r>
      </text>
    </comment>
    <comment ref="B5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Neg Number: T3 Volume
Pos Number: Amt Below T3
</t>
        </r>
      </text>
    </comment>
  </commentList>
</comments>
</file>

<file path=xl/sharedStrings.xml><?xml version="1.0" encoding="utf-8"?>
<sst xmlns="http://schemas.openxmlformats.org/spreadsheetml/2006/main" count="2942" uniqueCount="387">
  <si>
    <t>TCO / Col Gulf</t>
  </si>
  <si>
    <t>TCO Pool Sourced</t>
  </si>
  <si>
    <t>TCO / Transco Z1</t>
  </si>
  <si>
    <t>TCO / Transco Z2</t>
  </si>
  <si>
    <t>TCO / Transco Z3</t>
  </si>
  <si>
    <t>Path</t>
  </si>
  <si>
    <t>Index</t>
  </si>
  <si>
    <t>Commodity Rate ($/dth)</t>
  </si>
  <si>
    <t>Fuel (%)</t>
  </si>
  <si>
    <t>Net Cost at Delivery Point of FT ($/dth)</t>
  </si>
  <si>
    <t>Path 1 ----------------------------------------------------------------&gt;</t>
  </si>
  <si>
    <t>Path 2 ----------------------------------------------------------------&gt;</t>
  </si>
  <si>
    <t>Path 3 ----------------------------------------------------------------&gt;</t>
  </si>
  <si>
    <t>TGP Z1 - IF</t>
  </si>
  <si>
    <t>TGO Z0 - IF</t>
  </si>
  <si>
    <t>CNG South - IF</t>
  </si>
  <si>
    <t>CNG North - IF</t>
  </si>
  <si>
    <t>TCO Appalachia - IF</t>
  </si>
  <si>
    <t>Transco Z1 - IF</t>
  </si>
  <si>
    <t>Transco Z2 - IF</t>
  </si>
  <si>
    <t>Transco Z3 - IF</t>
  </si>
  <si>
    <t>TCO LNG</t>
  </si>
  <si>
    <t>Transco GSS</t>
  </si>
  <si>
    <t>Storage W/D Charges</t>
  </si>
  <si>
    <t>W/D Commodity ($/dth)</t>
  </si>
  <si>
    <t>W/D Fuel (%)</t>
  </si>
  <si>
    <t>CNG/Transco Z2</t>
  </si>
  <si>
    <t>CNG/Transco Z3</t>
  </si>
  <si>
    <t>Transport</t>
  </si>
  <si>
    <t>TGP Z1 to Z4</t>
  </si>
  <si>
    <t>TGP Z0 to Z4</t>
  </si>
  <si>
    <t>Transco Z2 to Leidy</t>
  </si>
  <si>
    <t>Transco Z3 to Leidy</t>
  </si>
  <si>
    <t>Transco Z1 to Emporia</t>
  </si>
  <si>
    <t>Transco Z2 to Emporia</t>
  </si>
  <si>
    <t>Transco Z3 to Emporia</t>
  </si>
  <si>
    <t>Col Gulf LA - IF</t>
  </si>
  <si>
    <t>Col Gulf IT-2 to Rayne</t>
  </si>
  <si>
    <t>CNG to Quantico</t>
  </si>
  <si>
    <t>VNG Pipeline</t>
  </si>
  <si>
    <t>CNG So Points</t>
  </si>
  <si>
    <t xml:space="preserve">CNG No Points </t>
  </si>
  <si>
    <t>TCO Shorthaul</t>
  </si>
  <si>
    <t>Col Gulf Rayne to Leach</t>
  </si>
  <si>
    <t>TCO to city gate</t>
  </si>
  <si>
    <t>Unitized Commodity Cost at Delivery Point ($/dth) 1/</t>
  </si>
  <si>
    <t>Gas Daily</t>
  </si>
  <si>
    <t>Invoice Month</t>
  </si>
  <si>
    <t>TCO Pool to VNG City Gate</t>
  </si>
  <si>
    <t xml:space="preserve">CNG / TGP Z1   </t>
  </si>
  <si>
    <t xml:space="preserve">CNG / TGP Z0   </t>
  </si>
  <si>
    <t xml:space="preserve">VNG </t>
  </si>
  <si>
    <t>Index Price ($/dth)</t>
  </si>
  <si>
    <t>Index Premium</t>
  </si>
  <si>
    <t>Transco FS Supply ZN1</t>
  </si>
  <si>
    <t>Transco FS Supply ZN2</t>
  </si>
  <si>
    <t>Transco FS Supply ZN3</t>
  </si>
  <si>
    <t xml:space="preserve"> Baseload Sales</t>
  </si>
  <si>
    <t>FS Supply</t>
  </si>
  <si>
    <t>STORAGE ACTIVITY</t>
  </si>
  <si>
    <t>CNG GSS</t>
  </si>
  <si>
    <t>TCO FSS</t>
  </si>
  <si>
    <t>TRANSCO</t>
  </si>
  <si>
    <t>COLUMBIA GAS</t>
  </si>
  <si>
    <t>VIRGINIA NATURAL GAS</t>
  </si>
  <si>
    <t>PIPELINE</t>
  </si>
  <si>
    <t>SERVICE</t>
  </si>
  <si>
    <t>MDQ</t>
  </si>
  <si>
    <t>Contract</t>
  </si>
  <si>
    <t>Expiration</t>
  </si>
  <si>
    <t>Rate Type</t>
  </si>
  <si>
    <t>Rate</t>
  </si>
  <si>
    <t>Total Cost</t>
  </si>
  <si>
    <t>dth/day</t>
  </si>
  <si>
    <t>Date</t>
  </si>
  <si>
    <t>FTNN</t>
  </si>
  <si>
    <t>Transport Demand Rate</t>
  </si>
  <si>
    <t>Gathering Demand Rate</t>
  </si>
  <si>
    <t>GSS</t>
  </si>
  <si>
    <t>Storage Capacity Charge</t>
  </si>
  <si>
    <t>Storage  Demand Charge</t>
  </si>
  <si>
    <t>3/31/2012-3/31-2017</t>
  </si>
  <si>
    <t>FTNN-GSS</t>
  </si>
  <si>
    <t>3/31/2012-10/31/17</t>
  </si>
  <si>
    <t>FT</t>
  </si>
  <si>
    <t>FTS</t>
  </si>
  <si>
    <t>SST</t>
  </si>
  <si>
    <t>COLUMBIA GULF</t>
  </si>
  <si>
    <t>TENNESSEE</t>
  </si>
  <si>
    <t>FT-A</t>
  </si>
  <si>
    <t>FSS</t>
  </si>
  <si>
    <t>WSS</t>
  </si>
  <si>
    <t>LNG X-133</t>
  </si>
  <si>
    <t>ESS</t>
  </si>
  <si>
    <t>LNG FPS-10</t>
  </si>
  <si>
    <t>Cove Point</t>
  </si>
  <si>
    <t>Demand Cost</t>
  </si>
  <si>
    <t>Difference</t>
  </si>
  <si>
    <r>
      <t xml:space="preserve">Total Cost </t>
    </r>
    <r>
      <rPr>
        <b/>
        <sz val="9"/>
        <rFont val="Arial"/>
        <family val="2"/>
      </rPr>
      <t>(Demand + Variable)</t>
    </r>
  </si>
  <si>
    <t xml:space="preserve"> </t>
  </si>
  <si>
    <t>(Seasonal)</t>
  </si>
  <si>
    <t>CNG South Point</t>
  </si>
  <si>
    <t>This is estimated ENA invoice  -- Includes FS invoice which is on the Williams invoice.</t>
  </si>
  <si>
    <t>Transco Z3</t>
  </si>
  <si>
    <t xml:space="preserve">TCO Appalachia </t>
  </si>
  <si>
    <t>Sendout</t>
  </si>
  <si>
    <t>TCO Total</t>
  </si>
  <si>
    <t>CNG Total</t>
  </si>
  <si>
    <t>Daily Gas Data - Monthly Summary</t>
  </si>
  <si>
    <t>(Dth)</t>
  </si>
  <si>
    <t>DATE</t>
  </si>
  <si>
    <t>COLUMBIA GAS TRANSMISSION</t>
  </si>
  <si>
    <t>CNG TRANSMISSION</t>
  </si>
  <si>
    <t>PROPANE</t>
  </si>
  <si>
    <t>TOTAL</t>
  </si>
  <si>
    <t xml:space="preserve"> VNG PIPELINE CUSTOMERS</t>
  </si>
  <si>
    <t xml:space="preserve">TOTAL </t>
  </si>
  <si>
    <t>Gas</t>
  </si>
  <si>
    <t>Distribution</t>
  </si>
  <si>
    <t>VNG</t>
  </si>
  <si>
    <t>Supply</t>
  </si>
  <si>
    <t>Customer</t>
  </si>
  <si>
    <t>SYSTEM</t>
  </si>
  <si>
    <t>Delivered</t>
  </si>
  <si>
    <t>Use</t>
  </si>
  <si>
    <t>(SENDOUT)</t>
  </si>
  <si>
    <t>Firm</t>
  </si>
  <si>
    <t>End User</t>
  </si>
  <si>
    <t>Chesapk.</t>
  </si>
  <si>
    <t>Cove Pt.</t>
  </si>
  <si>
    <t>Fuel</t>
  </si>
  <si>
    <t>To VNG</t>
  </si>
  <si>
    <t>(125,000)</t>
  </si>
  <si>
    <t>(42,500)</t>
  </si>
  <si>
    <t>(36,000)</t>
  </si>
  <si>
    <t>(10,000)</t>
  </si>
  <si>
    <t>Transport.</t>
  </si>
  <si>
    <t>Storage</t>
  </si>
  <si>
    <t>LNG</t>
  </si>
  <si>
    <t>Retain.</t>
  </si>
  <si>
    <t>Sales</t>
  </si>
  <si>
    <t>1200 btu/cf</t>
  </si>
  <si>
    <t>Doswell</t>
  </si>
  <si>
    <t>Va. Power</t>
  </si>
  <si>
    <t>Richmond</t>
  </si>
  <si>
    <t>Col. of  Va</t>
  </si>
  <si>
    <t/>
  </si>
  <si>
    <t>Sendout less 3rd party</t>
  </si>
  <si>
    <t>3rd party</t>
  </si>
  <si>
    <t>Transco Total</t>
  </si>
  <si>
    <t>Total DV</t>
  </si>
  <si>
    <t>Total ENA</t>
  </si>
  <si>
    <t>DV to VNG less 3rd</t>
  </si>
  <si>
    <t>Transco FS Price</t>
  </si>
  <si>
    <t>CNG South to Quantico</t>
  </si>
  <si>
    <t>CNG North to Quantico</t>
  </si>
  <si>
    <t>TCO to City Gate</t>
  </si>
  <si>
    <t>T2 Volume</t>
  </si>
  <si>
    <t>Tier 1 Volume / Pricing</t>
  </si>
  <si>
    <t>Tier 2 Volume / Pricing by Pipe</t>
  </si>
  <si>
    <t>ENRON TRANSPORTED VOLUMES:</t>
  </si>
  <si>
    <t>STORAGE W/D OR (INJ):</t>
  </si>
  <si>
    <t>3RD PARTY TRANSPORT:</t>
  </si>
  <si>
    <t>FS SUPPLY:</t>
  </si>
  <si>
    <t>FUEL RETAINAGE:</t>
  </si>
  <si>
    <t>Cgulf Onshore</t>
  </si>
  <si>
    <t>Tier 3 Price</t>
  </si>
  <si>
    <t>Downstream Variable Costs</t>
  </si>
  <si>
    <t>Path #1 ------------------------&gt;</t>
  </si>
  <si>
    <t>Path #2 ------------------------&gt;</t>
  </si>
  <si>
    <t>Market-Area Storage</t>
  </si>
  <si>
    <t>MSQ</t>
  </si>
  <si>
    <t>Net MSQ at City Gate (dth)</t>
  </si>
  <si>
    <t>Weighting</t>
  </si>
  <si>
    <t>Wtd Unitized Commodity Cost ($/dth)</t>
  </si>
  <si>
    <t>Cove Point LNG</t>
  </si>
  <si>
    <t>CNG GSS #1</t>
  </si>
  <si>
    <t>CNG GSS #2</t>
  </si>
  <si>
    <t>TCO FSS #1</t>
  </si>
  <si>
    <t>TCO FSS #2</t>
  </si>
  <si>
    <t>TCO to Boswell</t>
  </si>
  <si>
    <t>Transco 5-5</t>
  </si>
  <si>
    <t>Notes:     1/  Costs are grossed up for fuel on each leg of path.</t>
  </si>
  <si>
    <t>Storage W/D</t>
  </si>
  <si>
    <t>Tier 3</t>
  </si>
  <si>
    <t>Total Storage W/D</t>
  </si>
  <si>
    <t>Gas Daily Sales</t>
  </si>
  <si>
    <t>Gas Daily WACOG</t>
  </si>
  <si>
    <t>Beginning Inventory</t>
  </si>
  <si>
    <t>CNG GSS 1 &amp; 2</t>
  </si>
  <si>
    <t>TCO FSS 1 &amp; 2</t>
  </si>
  <si>
    <t>Ending Inventory</t>
  </si>
  <si>
    <t>Tier 1+Tier2 Max</t>
  </si>
  <si>
    <t>Weighting (Dth/day)</t>
  </si>
  <si>
    <t>TCO / Transco FS Z1</t>
  </si>
  <si>
    <t>TCO / Transco FS Z2</t>
  </si>
  <si>
    <t>TCO / Transco FS Z3</t>
  </si>
  <si>
    <t>Weighted Price ($/dth)</t>
  </si>
  <si>
    <t>Weighted Average Sales Price</t>
  </si>
  <si>
    <t>Pathing</t>
  </si>
  <si>
    <t>CNG / TGP Z1</t>
  </si>
  <si>
    <t>CNG / TGP Z0</t>
  </si>
  <si>
    <t>CNG So Points (2)</t>
  </si>
  <si>
    <t>CNG No Points (3)</t>
  </si>
  <si>
    <t xml:space="preserve">    Total City Gate:</t>
  </si>
  <si>
    <t xml:space="preserve">Baseload Quantity </t>
  </si>
  <si>
    <t>Dth/Day</t>
  </si>
  <si>
    <t>Dth/Month</t>
  </si>
  <si>
    <t>(Does not include FS Supply)</t>
  </si>
  <si>
    <t>Sub Total - Tier Cost</t>
  </si>
  <si>
    <t xml:space="preserve">PROPANE NOT INCLUDED IN THIS NUMBER </t>
  </si>
  <si>
    <t>TRCO WSS</t>
  </si>
  <si>
    <t>LNG / PROPANE</t>
  </si>
  <si>
    <t>Tier 1</t>
  </si>
  <si>
    <t>Tier 2</t>
  </si>
  <si>
    <t>FS</t>
  </si>
  <si>
    <t>T1</t>
  </si>
  <si>
    <t>T2</t>
  </si>
  <si>
    <t>Volume Under (Over) Max</t>
  </si>
  <si>
    <t>Total</t>
  </si>
  <si>
    <t>Cost Per Day</t>
  </si>
  <si>
    <t>see: VNG-ContractModel-Invoice           for Weightings by Month</t>
  </si>
  <si>
    <t>sheet: Tier 1 &amp; 2  Weightings</t>
  </si>
  <si>
    <t>From:  Gas Daily Publication</t>
  </si>
  <si>
    <t>T3 Estimate</t>
  </si>
  <si>
    <t>Release Credit</t>
  </si>
  <si>
    <t>Overrun Charge</t>
  </si>
  <si>
    <t>Transco First of Month Index</t>
  </si>
  <si>
    <t>Station 30</t>
  </si>
  <si>
    <t>Station 45</t>
  </si>
  <si>
    <t>Station 65</t>
  </si>
  <si>
    <t>Cost</t>
  </si>
  <si>
    <t>Commodity</t>
  </si>
  <si>
    <t>Volume</t>
  </si>
  <si>
    <t>to Zn 5</t>
  </si>
  <si>
    <t>S/C</t>
  </si>
  <si>
    <t>$ Amount</t>
  </si>
  <si>
    <t>Adjust Tenn as of April 1st</t>
  </si>
  <si>
    <t>FS Volumetric Charge</t>
  </si>
  <si>
    <t>Service Fee</t>
  </si>
  <si>
    <t xml:space="preserve">              Demand Charge</t>
  </si>
  <si>
    <t xml:space="preserve">              Service Fee (Changes Monthly)</t>
  </si>
  <si>
    <t>Delivered Volume by Day</t>
  </si>
  <si>
    <t>ADJUSTED TO STATEMENT</t>
  </si>
  <si>
    <t>Verify rates in Transportation Worksheet</t>
  </si>
  <si>
    <t>see: VNG Daily Tier Quantity Limits by Month           for Revised Tier Volumes</t>
  </si>
  <si>
    <t>sheet 1</t>
  </si>
  <si>
    <t>Thur</t>
  </si>
  <si>
    <t>Fri</t>
  </si>
  <si>
    <t>Sat</t>
  </si>
  <si>
    <t>Sun</t>
  </si>
  <si>
    <t>Mon</t>
  </si>
  <si>
    <t>Tue</t>
  </si>
  <si>
    <t>Wed</t>
  </si>
  <si>
    <t>Gas Daily Calculation</t>
  </si>
  <si>
    <t>Gas Day:</t>
  </si>
  <si>
    <t>Input Gas Daily Price($/dth)</t>
  </si>
  <si>
    <t>CNG South</t>
  </si>
  <si>
    <t>CNG North</t>
  </si>
  <si>
    <t>Transco Z2</t>
  </si>
  <si>
    <t xml:space="preserve">Col Gulf LA </t>
  </si>
  <si>
    <t>TCO Appalachia</t>
  </si>
  <si>
    <t>Transco Z1</t>
  </si>
  <si>
    <t xml:space="preserve">Max Tier II Quantity </t>
  </si>
  <si>
    <t>Transco Z2 to Leidy (z6)</t>
  </si>
  <si>
    <t>Transco Z3 to Leidy (z6)</t>
  </si>
  <si>
    <t>Transco Z1 to Emporia (z5)</t>
  </si>
  <si>
    <t>Transco Z2 to Emporia (z5)</t>
  </si>
  <si>
    <t>Transco Z3 to Emporia (z5)</t>
  </si>
  <si>
    <t>TGP Z1 - 500</t>
  </si>
  <si>
    <t xml:space="preserve">TGP Z0 </t>
  </si>
  <si>
    <t>ESTIMATED GAS DAILY WACOG</t>
  </si>
  <si>
    <t>ENA</t>
  </si>
  <si>
    <t>Evergreen</t>
  </si>
  <si>
    <t>Negative Number = T3</t>
  </si>
  <si>
    <t>Positive Number = T2 Short</t>
  </si>
  <si>
    <t>TRCO GSS</t>
  </si>
  <si>
    <t>Cap WkSheet</t>
  </si>
  <si>
    <t>FPS</t>
  </si>
  <si>
    <t>0.3767</t>
  </si>
  <si>
    <t>0.6558</t>
  </si>
  <si>
    <t>A&lt;B&lt;C</t>
  </si>
  <si>
    <t>Total Dominion</t>
  </si>
  <si>
    <t>DOMINION</t>
  </si>
  <si>
    <t>Total Cove Point</t>
  </si>
  <si>
    <t>Total Columbia</t>
  </si>
  <si>
    <t>Ford, US Gyp, Nabisco</t>
  </si>
  <si>
    <t>Total Gulf</t>
  </si>
  <si>
    <t>Total Tennessee</t>
  </si>
  <si>
    <t>Total Transco</t>
  </si>
  <si>
    <t>No demand or commodity charge</t>
  </si>
  <si>
    <t>STORAGE FILL (TRANSPORT)</t>
  </si>
  <si>
    <t>Days in Month:</t>
  </si>
  <si>
    <t>Gas Cost for Storage Injections</t>
  </si>
  <si>
    <t>Injection Costs  ------------------------------------&gt;</t>
  </si>
  <si>
    <t>Monthly Fill Quantity (dth)  1/</t>
  </si>
  <si>
    <t>Weighting By Storage</t>
  </si>
  <si>
    <t>Weighting by Path</t>
  </si>
  <si>
    <t>Injection Rate ($/dth)</t>
  </si>
  <si>
    <t>Injection Fuel (%)</t>
  </si>
  <si>
    <t>Transco Z3 to storage</t>
  </si>
  <si>
    <t>TCO FSS Storages</t>
  </si>
  <si>
    <t>TCO Leach to Storage</t>
  </si>
  <si>
    <t>TCO Pool to Storage</t>
  </si>
  <si>
    <t>TCO LNG Storage</t>
  </si>
  <si>
    <t>CNG GSS Storages</t>
  </si>
  <si>
    <t>CNG / TGP Z1    1/</t>
  </si>
  <si>
    <t>CNG to Storage</t>
  </si>
  <si>
    <t>CNG / TGP Z0   1/</t>
  </si>
  <si>
    <t>CNG So to Quantico</t>
  </si>
  <si>
    <t>CNG No to Quantico</t>
  </si>
  <si>
    <t>Cove Point (CNG)</t>
  </si>
  <si>
    <t>Net MSQ at City Gate (dth)  1/</t>
  </si>
  <si>
    <t>Buyer's Target Refill Level (dth)</t>
  </si>
  <si>
    <t>Buyer's Target Refill Level (% of MSQ)</t>
  </si>
  <si>
    <t>Required Fill Quantity (dth in storage)</t>
  </si>
  <si>
    <t>Ratable Fill Quantity per month (dth)</t>
  </si>
  <si>
    <t>CNG GSS #1 &amp; #2</t>
  </si>
  <si>
    <t>Transco GSS 2/</t>
  </si>
  <si>
    <t>VNG's Target Refill Levels</t>
  </si>
  <si>
    <t>Current VNG Inventory Level (dth - 3/28/01)</t>
  </si>
  <si>
    <t>Receipt Price ($/dth)</t>
  </si>
  <si>
    <t>Net Cost In Storage ($/dth)</t>
  </si>
  <si>
    <t>Capacity This Path (Dth/day)</t>
  </si>
  <si>
    <t>Weighted Cost ($/dth)</t>
  </si>
  <si>
    <t>Weighted Fill Price For Month ($/dth)</t>
  </si>
  <si>
    <t xml:space="preserve">                         Total:</t>
  </si>
  <si>
    <t>Col Gulf LA Plus IT - IF</t>
  </si>
  <si>
    <t>Notes:    1/  Monthly fill quantity is total fill quantity for summer (see Exhibit 7) divided by 7.</t>
  </si>
  <si>
    <t>TOTAL:</t>
  </si>
  <si>
    <t xml:space="preserve">                   See Exhibit 8a through 8d for backup supporting available capacity by path</t>
  </si>
  <si>
    <t xml:space="preserve"> Calculation of Storage Fill Pricing</t>
  </si>
  <si>
    <t>Total Strg Injected</t>
  </si>
  <si>
    <t>For Transport</t>
  </si>
  <si>
    <t>INJECTIONS</t>
  </si>
  <si>
    <t>Tier 3 Withdrawals</t>
  </si>
  <si>
    <t>May 1, 2001</t>
  </si>
  <si>
    <t>Revised Refill Quantities - Tier 3 sales to VNG in April - 42,401 Mmbtu</t>
  </si>
  <si>
    <t>Current Paper Inventory Level (dth -4/30/01)</t>
  </si>
  <si>
    <t>April 1, 2001</t>
  </si>
  <si>
    <t>GAS DAILY PRICING BELOW DOES NOT CALCULATE DIRECTLY INTO TIER 2 SHEET.  FOR TRACKING PURPOSES ONLY.</t>
  </si>
  <si>
    <t>Note:</t>
  </si>
  <si>
    <t>Total Strg W/D</t>
  </si>
  <si>
    <t>Strg W/D / (INJ)</t>
  </si>
  <si>
    <t>ESTIMATED ONLY</t>
  </si>
  <si>
    <t>FS Buy Back</t>
  </si>
  <si>
    <t>Oct 31, 2001</t>
  </si>
  <si>
    <t>to</t>
  </si>
  <si>
    <t>Enron Buy Back Volume</t>
  </si>
  <si>
    <t>Adjusted after Buy Back</t>
  </si>
  <si>
    <t>Market Adjust.</t>
  </si>
  <si>
    <t>Tco GDA</t>
  </si>
  <si>
    <t>Dollar Amount</t>
  </si>
  <si>
    <t>PRICE ESTIMATE</t>
  </si>
  <si>
    <t>NYMEX SETTLE</t>
  </si>
  <si>
    <t>Tier 0</t>
  </si>
  <si>
    <t>Exhibt 4</t>
  </si>
  <si>
    <t>Daily Tier Quantity Limits</t>
  </si>
  <si>
    <t>for</t>
  </si>
  <si>
    <t>&lt;----- Revised for 380 dth issue</t>
  </si>
  <si>
    <t xml:space="preserve">             Tier I  1/</t>
  </si>
  <si>
    <t xml:space="preserve">             Tier II 2/</t>
  </si>
  <si>
    <t xml:space="preserve">             Tier III 3/</t>
  </si>
  <si>
    <t xml:space="preserve">             Tier IV 4/</t>
  </si>
  <si>
    <t>From</t>
  </si>
  <si>
    <t>To</t>
  </si>
  <si>
    <t>Notes:</t>
  </si>
  <si>
    <t>1/  Tier I sales start after first 15,771 dth/day of VNG loads are served via Tier 0.</t>
  </si>
  <si>
    <t xml:space="preserve">2/  During Summer Period Tier II Quantity Limit extends from Tier I limit to lower of projected </t>
  </si>
  <si>
    <t xml:space="preserve">     peak day and extent of FT assets.</t>
  </si>
  <si>
    <t>3/  Tier III quantity limit is adjusted over course of each winter based on associated deliverability of logical storage.</t>
  </si>
  <si>
    <t xml:space="preserve">      April and October limits are set at monthly design day.</t>
  </si>
  <si>
    <t>4/   Tier IV quantity limit is based on the deliverability of Buyer's Propane Facility (Buyer's Propane Deliverability).</t>
  </si>
  <si>
    <t>5/   Buyer's requirement quantities net of 15,771 dth/day which represents Buyer's Transco FS service</t>
  </si>
  <si>
    <t>Invoice Date:</t>
  </si>
  <si>
    <t>Top of Tier</t>
  </si>
  <si>
    <t>VNG's Requirement Quantity</t>
  </si>
  <si>
    <t>FS Sale</t>
  </si>
  <si>
    <t>FS Buyback</t>
  </si>
  <si>
    <t>&lt;===should not exceed these volumes daily)</t>
  </si>
  <si>
    <t>Max of Tier 0 + Tier 1</t>
  </si>
  <si>
    <t>Max of Tier 1 + Tier 2</t>
  </si>
  <si>
    <t>check</t>
  </si>
  <si>
    <t>Rates Checked on 9/1/01 by sg</t>
  </si>
  <si>
    <t>rates checked 9/01/01</t>
  </si>
  <si>
    <t>Projected % Full:</t>
  </si>
  <si>
    <t>Max Storage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</si>
</sst>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&quot;$&quot;* #,##0.0000_);_(&quot;$&quot;* \(#,##0.0000\);_(&quot;$&quot;* &quot;-&quot;??_);_(@_)"/>
    <numFmt numFmtId="170" formatCode="0.000%"/>
    <numFmt numFmtId="183" formatCode="#,##0.000"/>
    <numFmt numFmtId="184" formatCode="#,##0.0000"/>
    <numFmt numFmtId="186" formatCode="#,##0.000000"/>
    <numFmt numFmtId="189" formatCode="0_);\(0\)"/>
    <numFmt numFmtId="191" formatCode="&quot;$&quot;#,##0.00"/>
    <numFmt numFmtId="192" formatCode="&quot;$&quot;#,##0.0000"/>
    <numFmt numFmtId="196" formatCode="mm/dd/yy"/>
    <numFmt numFmtId="200" formatCode="0.0000_);\(0.0000\)"/>
    <numFmt numFmtId="202" formatCode="&quot;$&quot;#,##0.000"/>
    <numFmt numFmtId="207" formatCode="0.000000%"/>
    <numFmt numFmtId="209" formatCode="dd\-mmm"/>
    <numFmt numFmtId="210" formatCode="hh:mm\ AM/PM"/>
    <numFmt numFmtId="212" formatCode="&quot;$&quot;#,##0.0000_);\(&quot;$&quot;#,##0.0000\)"/>
    <numFmt numFmtId="213" formatCode="_(&quot;$&quot;* #,##0.0000_);_(&quot;$&quot;* \(#,##0.0000\);_(&quot;$&quot;* &quot;-&quot;????_);_(@_)"/>
    <numFmt numFmtId="216" formatCode="mmmm\ d\,\ yyyy"/>
    <numFmt numFmtId="217" formatCode="mmmm\-yy"/>
  </numFmts>
  <fonts count="72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b/>
      <sz val="11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Arial"/>
    </font>
    <font>
      <b/>
      <sz val="14"/>
      <name val="Arial"/>
      <family val="2"/>
    </font>
    <font>
      <sz val="12"/>
      <name val="Arial MT"/>
    </font>
    <font>
      <b/>
      <sz val="14"/>
      <name val="Arial"/>
    </font>
    <font>
      <b/>
      <sz val="12"/>
      <name val="Arial"/>
    </font>
    <font>
      <b/>
      <u/>
      <sz val="12"/>
      <name val="Arial"/>
      <family val="2"/>
    </font>
    <font>
      <sz val="11"/>
      <name val="Arial"/>
    </font>
    <font>
      <sz val="11"/>
      <name val="Arial MT"/>
    </font>
    <font>
      <sz val="11"/>
      <name val="Arial"/>
      <family val="2"/>
    </font>
    <font>
      <u/>
      <sz val="11"/>
      <name val="Arial"/>
      <family val="2"/>
    </font>
    <font>
      <b/>
      <sz val="9"/>
      <name val="Arial"/>
      <family val="2"/>
    </font>
    <font>
      <sz val="24"/>
      <name val="Arial"/>
    </font>
    <font>
      <b/>
      <sz val="24"/>
      <name val="Arial"/>
    </font>
    <font>
      <b/>
      <i/>
      <sz val="12"/>
      <name val="Arial"/>
    </font>
    <font>
      <i/>
      <sz val="24"/>
      <name val="Arial"/>
    </font>
    <font>
      <u/>
      <sz val="12"/>
      <name val="Arial MT"/>
    </font>
    <font>
      <sz val="12"/>
      <color indexed="8"/>
      <name val="Arial"/>
    </font>
    <font>
      <u/>
      <sz val="12"/>
      <name val="Arial"/>
    </font>
    <font>
      <b/>
      <sz val="12"/>
      <name val="Arial MT"/>
    </font>
    <font>
      <sz val="10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i/>
      <sz val="10"/>
      <name val="Arial"/>
      <family val="2"/>
    </font>
    <font>
      <b/>
      <i/>
      <sz val="8"/>
      <color indexed="2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 MT"/>
    </font>
    <font>
      <sz val="12"/>
      <color indexed="10"/>
      <name val="Arial MT"/>
    </font>
    <font>
      <b/>
      <sz val="12"/>
      <color indexed="9"/>
      <name val="Arial MT"/>
    </font>
    <font>
      <sz val="12"/>
      <color indexed="9"/>
      <name val="Arial MT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1"/>
      <color indexed="10"/>
      <name val="Arial MT"/>
    </font>
    <font>
      <sz val="11"/>
      <color indexed="12"/>
      <name val="Arial"/>
      <family val="2"/>
    </font>
    <font>
      <u/>
      <sz val="11"/>
      <color indexed="12"/>
      <name val="Arial"/>
      <family val="2"/>
    </font>
    <font>
      <u/>
      <sz val="10"/>
      <color indexed="10"/>
      <name val="Arial"/>
      <family val="2"/>
    </font>
    <font>
      <sz val="10"/>
      <color indexed="22"/>
      <name val="Arial"/>
      <family val="2"/>
    </font>
    <font>
      <b/>
      <sz val="11"/>
      <name val="Arial MT"/>
    </font>
    <font>
      <i/>
      <sz val="11"/>
      <name val="Arial"/>
    </font>
    <font>
      <i/>
      <sz val="11"/>
      <color indexed="12"/>
      <name val="Arial"/>
      <family val="2"/>
    </font>
    <font>
      <i/>
      <sz val="10"/>
      <color indexed="10"/>
      <name val="Arial"/>
      <family val="2"/>
    </font>
    <font>
      <i/>
      <sz val="11"/>
      <name val="Arial MT"/>
    </font>
    <font>
      <i/>
      <sz val="11"/>
      <color indexed="10"/>
      <name val="Arial MT"/>
    </font>
    <font>
      <b/>
      <i/>
      <sz val="10"/>
      <color indexed="12"/>
      <name val="Arial"/>
      <family val="2"/>
    </font>
    <font>
      <sz val="11"/>
      <color indexed="8"/>
      <name val="Arial MT"/>
    </font>
    <font>
      <i/>
      <sz val="11"/>
      <color indexed="8"/>
      <name val="Arial MT"/>
    </font>
    <font>
      <sz val="11"/>
      <color indexed="8"/>
      <name val="Arial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b/>
      <i/>
      <u/>
      <sz val="12"/>
      <name val="Arial"/>
      <family val="2"/>
    </font>
    <font>
      <i/>
      <u/>
      <sz val="8"/>
      <name val="Arial"/>
      <family val="2"/>
    </font>
    <font>
      <b/>
      <sz val="8"/>
      <color indexed="10"/>
      <name val="Arial"/>
      <family val="2"/>
    </font>
    <font>
      <sz val="12"/>
      <color indexed="12"/>
      <name val="Arial MT"/>
    </font>
    <font>
      <b/>
      <u/>
      <sz val="10"/>
      <name val="Arial"/>
      <family val="2"/>
    </font>
    <font>
      <b/>
      <sz val="12"/>
      <color indexed="14"/>
      <name val="Arial MT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0"/>
        <bgColor indexed="64"/>
      </patternFill>
    </fill>
    <fill>
      <patternFill patternType="lightGray"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8"/>
      </right>
      <top/>
      <bottom style="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/>
      <diagonal/>
    </border>
    <border>
      <left style="dashed">
        <color indexed="8"/>
      </left>
      <right style="dashed">
        <color indexed="8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0" fontId="15" fillId="0" borderId="0"/>
    <xf numFmtId="9" fontId="1" fillId="0" borderId="0" applyFont="0" applyFill="0" applyBorder="0" applyAlignment="0" applyProtection="0"/>
  </cellStyleXfs>
  <cellXfs count="815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 wrapText="1"/>
    </xf>
    <xf numFmtId="167" fontId="0" fillId="2" borderId="0" xfId="2" applyNumberFormat="1" applyFont="1" applyFill="1"/>
    <xf numFmtId="167" fontId="3" fillId="2" borderId="0" xfId="2" applyNumberFormat="1" applyFont="1" applyFill="1"/>
    <xf numFmtId="10" fontId="3" fillId="2" borderId="0" xfId="5" applyNumberFormat="1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70" fontId="3" fillId="2" borderId="0" xfId="5" applyNumberFormat="1" applyFont="1" applyFill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167" fontId="3" fillId="2" borderId="0" xfId="2" applyNumberFormat="1" applyFont="1" applyFill="1" applyAlignment="1">
      <alignment horizontal="left"/>
    </xf>
    <xf numFmtId="0" fontId="0" fillId="0" borderId="0" xfId="0" applyBorder="1"/>
    <xf numFmtId="1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Fill="1"/>
    <xf numFmtId="44" fontId="3" fillId="0" borderId="0" xfId="2" applyFont="1"/>
    <xf numFmtId="167" fontId="5" fillId="2" borderId="0" xfId="2" applyNumberFormat="1" applyFont="1" applyFill="1" applyAlignment="1">
      <alignment horizontal="left"/>
    </xf>
    <xf numFmtId="17" fontId="8" fillId="0" borderId="0" xfId="0" applyNumberFormat="1" applyFont="1"/>
    <xf numFmtId="167" fontId="6" fillId="2" borderId="0" xfId="2" applyNumberFormat="1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17" fontId="10" fillId="2" borderId="0" xfId="0" quotePrefix="1" applyNumberFormat="1" applyFont="1" applyFill="1" applyAlignment="1">
      <alignment horizontal="left"/>
    </xf>
    <xf numFmtId="0" fontId="9" fillId="3" borderId="1" xfId="0" applyFont="1" applyFill="1" applyBorder="1"/>
    <xf numFmtId="0" fontId="11" fillId="3" borderId="2" xfId="0" applyFont="1" applyFill="1" applyBorder="1" applyAlignment="1">
      <alignment horizontal="center"/>
    </xf>
    <xf numFmtId="17" fontId="5" fillId="2" borderId="0" xfId="0" quotePrefix="1" applyNumberFormat="1" applyFont="1" applyFill="1" applyAlignment="1">
      <alignment horizontal="left"/>
    </xf>
    <xf numFmtId="165" fontId="6" fillId="2" borderId="0" xfId="0" applyNumberFormat="1" applyFont="1" applyFill="1"/>
    <xf numFmtId="44" fontId="3" fillId="0" borderId="0" xfId="2" applyFont="1" applyFill="1"/>
    <xf numFmtId="0" fontId="0" fillId="0" borderId="0" xfId="0" applyAlignment="1">
      <alignment horizontal="left"/>
    </xf>
    <xf numFmtId="17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3" fillId="2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2" borderId="0" xfId="0" applyFill="1" applyBorder="1"/>
    <xf numFmtId="166" fontId="3" fillId="2" borderId="0" xfId="2" applyNumberFormat="1" applyFont="1" applyFill="1"/>
    <xf numFmtId="3" fontId="0" fillId="0" borderId="0" xfId="0" applyNumberFormat="1"/>
    <xf numFmtId="3" fontId="0" fillId="0" borderId="0" xfId="0" applyNumberFormat="1" applyBorder="1"/>
    <xf numFmtId="3" fontId="2" fillId="0" borderId="0" xfId="0" applyNumberFormat="1" applyFont="1" applyAlignment="1">
      <alignment horizontal="center"/>
    </xf>
    <xf numFmtId="3" fontId="0" fillId="0" borderId="0" xfId="0" applyNumberFormat="1" applyAlignment="1"/>
    <xf numFmtId="3" fontId="0" fillId="0" borderId="0" xfId="0" applyNumberFormat="1" applyFill="1" applyBorder="1" applyAlignment="1">
      <alignment horizontal="center"/>
    </xf>
    <xf numFmtId="44" fontId="5" fillId="0" borderId="0" xfId="2" applyFont="1" applyAlignment="1">
      <alignment horizontal="center"/>
    </xf>
    <xf numFmtId="44" fontId="5" fillId="0" borderId="0" xfId="2" applyFont="1" applyFill="1" applyBorder="1" applyAlignment="1">
      <alignment horizontal="center"/>
    </xf>
    <xf numFmtId="44" fontId="0" fillId="0" borderId="0" xfId="2" applyFont="1"/>
    <xf numFmtId="0" fontId="14" fillId="0" borderId="0" xfId="0" applyFont="1" applyAlignment="1">
      <alignment horizontal="left"/>
    </xf>
    <xf numFmtId="44" fontId="2" fillId="0" borderId="0" xfId="2" applyFont="1" applyAlignment="1">
      <alignment horizontal="center"/>
    </xf>
    <xf numFmtId="192" fontId="15" fillId="0" borderId="0" xfId="4" applyNumberFormat="1" applyFont="1" applyAlignment="1"/>
    <xf numFmtId="0" fontId="16" fillId="0" borderId="0" xfId="0" applyNumberFormat="1" applyFont="1" applyAlignment="1">
      <alignment horizontal="left"/>
    </xf>
    <xf numFmtId="0" fontId="0" fillId="0" borderId="0" xfId="0" applyAlignment="1"/>
    <xf numFmtId="0" fontId="17" fillId="0" borderId="3" xfId="0" applyNumberFormat="1" applyFont="1" applyFill="1" applyBorder="1" applyAlignment="1">
      <alignment horizontal="center"/>
    </xf>
    <xf numFmtId="0" fontId="0" fillId="0" borderId="4" xfId="0" applyFill="1" applyBorder="1" applyAlignment="1"/>
    <xf numFmtId="0" fontId="17" fillId="0" borderId="4" xfId="0" applyNumberFormat="1" applyFont="1" applyFill="1" applyBorder="1" applyAlignment="1">
      <alignment horizontal="center"/>
    </xf>
    <xf numFmtId="0" fontId="17" fillId="0" borderId="4" xfId="0" applyNumberFormat="1" applyFont="1" applyFill="1" applyBorder="1" applyAlignment="1">
      <alignment horizontal="left"/>
    </xf>
    <xf numFmtId="0" fontId="17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6" xfId="0" applyFill="1" applyBorder="1" applyAlignment="1">
      <alignment horizontal="center"/>
    </xf>
    <xf numFmtId="0" fontId="17" fillId="0" borderId="6" xfId="0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18" fillId="0" borderId="0" xfId="0" applyFont="1" applyFill="1" applyBorder="1" applyAlignment="1"/>
    <xf numFmtId="196" fontId="0" fillId="0" borderId="0" xfId="0" applyNumberFormat="1" applyFont="1" applyAlignment="1">
      <alignment horizontal="center"/>
    </xf>
    <xf numFmtId="0" fontId="11" fillId="0" borderId="0" xfId="0" applyNumberFormat="1" applyFont="1" applyAlignment="1"/>
    <xf numFmtId="10" fontId="17" fillId="0" borderId="0" xfId="0" applyNumberFormat="1" applyFont="1" applyAlignment="1"/>
    <xf numFmtId="0" fontId="17" fillId="0" borderId="0" xfId="0" applyNumberFormat="1" applyFont="1" applyAlignment="1"/>
    <xf numFmtId="0" fontId="17" fillId="0" borderId="0" xfId="0" applyNumberFormat="1" applyFont="1" applyFill="1" applyBorder="1" applyAlignment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96" fontId="0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0" fontId="17" fillId="0" borderId="0" xfId="0" applyNumberFormat="1" applyFont="1" applyBorder="1" applyAlignment="1"/>
    <xf numFmtId="0" fontId="0" fillId="0" borderId="0" xfId="0" applyFill="1" applyAlignment="1"/>
    <xf numFmtId="0" fontId="0" fillId="0" borderId="0" xfId="0" applyNumberFormat="1" applyBorder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17" fillId="0" borderId="0" xfId="0" applyFont="1" applyFill="1" applyAlignment="1"/>
    <xf numFmtId="10" fontId="17" fillId="0" borderId="0" xfId="0" applyNumberFormat="1" applyFont="1" applyFill="1" applyBorder="1" applyAlignment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3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/>
    <xf numFmtId="200" fontId="1" fillId="0" borderId="0" xfId="1" applyNumberFormat="1" applyBorder="1" applyAlignment="1">
      <alignment horizontal="center"/>
    </xf>
    <xf numFmtId="196" fontId="0" fillId="0" borderId="0" xfId="0" applyNumberForma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196" fontId="19" fillId="0" borderId="0" xfId="0" applyNumberFormat="1" applyFont="1" applyBorder="1" applyAlignment="1">
      <alignment horizontal="center"/>
    </xf>
    <xf numFmtId="191" fontId="20" fillId="0" borderId="0" xfId="4" applyNumberFormat="1" applyFont="1" applyAlignment="1"/>
    <xf numFmtId="0" fontId="21" fillId="0" borderId="0" xfId="0" applyNumberFormat="1" applyFont="1" applyBorder="1" applyAlignment="1"/>
    <xf numFmtId="0" fontId="19" fillId="0" borderId="0" xfId="0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0" fontId="19" fillId="0" borderId="0" xfId="0" applyNumberFormat="1" applyFont="1" applyBorder="1" applyAlignment="1">
      <alignment horizontal="left"/>
    </xf>
    <xf numFmtId="196" fontId="19" fillId="0" borderId="0" xfId="0" applyNumberFormat="1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19" fillId="0" borderId="0" xfId="0" applyNumberFormat="1" applyFont="1" applyBorder="1" applyAlignment="1">
      <alignment horizontal="center"/>
    </xf>
    <xf numFmtId="0" fontId="19" fillId="0" borderId="0" xfId="0" applyFont="1"/>
    <xf numFmtId="0" fontId="19" fillId="0" borderId="0" xfId="0" applyFont="1" applyBorder="1"/>
    <xf numFmtId="0" fontId="19" fillId="0" borderId="0" xfId="0" applyFont="1" applyBorder="1" applyAlignment="1"/>
    <xf numFmtId="189" fontId="19" fillId="0" borderId="0" xfId="1" applyNumberFormat="1" applyFont="1" applyBorder="1" applyAlignment="1">
      <alignment horizontal="center"/>
    </xf>
    <xf numFmtId="200" fontId="19" fillId="0" borderId="0" xfId="1" applyNumberFormat="1" applyFont="1" applyBorder="1" applyAlignment="1">
      <alignment horizontal="center"/>
    </xf>
    <xf numFmtId="0" fontId="7" fillId="0" borderId="0" xfId="0" applyFont="1" applyFill="1" applyBorder="1" applyAlignment="1"/>
    <xf numFmtId="3" fontId="19" fillId="0" borderId="0" xfId="0" applyNumberFormat="1" applyFont="1" applyFill="1" applyBorder="1"/>
    <xf numFmtId="0" fontId="19" fillId="0" borderId="0" xfId="0" applyFont="1" applyFill="1" applyBorder="1" applyAlignment="1"/>
    <xf numFmtId="196" fontId="19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84" fontId="19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22" fillId="0" borderId="0" xfId="0" applyFont="1"/>
    <xf numFmtId="191" fontId="7" fillId="4" borderId="7" xfId="0" applyNumberFormat="1" applyFont="1" applyFill="1" applyBorder="1"/>
    <xf numFmtId="0" fontId="19" fillId="0" borderId="0" xfId="0" applyFont="1" applyFill="1"/>
    <xf numFmtId="191" fontId="20" fillId="0" borderId="0" xfId="4" applyNumberFormat="1" applyFont="1" applyFill="1" applyAlignment="1"/>
    <xf numFmtId="0" fontId="0" fillId="0" borderId="0" xfId="0" applyNumberFormat="1" applyBorder="1" applyAlignment="1">
      <alignment horizontal="center"/>
    </xf>
    <xf numFmtId="202" fontId="20" fillId="0" borderId="0" xfId="4" applyNumberFormat="1" applyFont="1" applyAlignment="1"/>
    <xf numFmtId="0" fontId="19" fillId="0" borderId="0" xfId="0" applyFont="1" applyFill="1" applyBorder="1"/>
    <xf numFmtId="0" fontId="2" fillId="5" borderId="7" xfId="0" applyFont="1" applyFill="1" applyBorder="1" applyAlignment="1">
      <alignment horizontal="center"/>
    </xf>
    <xf numFmtId="3" fontId="13" fillId="0" borderId="0" xfId="3" applyNumberFormat="1" applyFont="1" applyAlignment="1">
      <alignment vertical="center"/>
    </xf>
    <xf numFmtId="3" fontId="24" fillId="2" borderId="0" xfId="3" applyNumberFormat="1" applyFont="1" applyFill="1" applyAlignment="1">
      <alignment horizontal="centerContinuous" vertical="center"/>
    </xf>
    <xf numFmtId="0" fontId="13" fillId="2" borderId="0" xfId="3" applyNumberFormat="1" applyFont="1" applyFill="1" applyAlignment="1">
      <alignment horizontal="centerContinuous" vertical="center"/>
    </xf>
    <xf numFmtId="3" fontId="13" fillId="2" borderId="0" xfId="3" applyNumberFormat="1" applyFont="1" applyFill="1" applyAlignment="1">
      <alignment horizontal="centerContinuous" vertical="center"/>
    </xf>
    <xf numFmtId="0" fontId="25" fillId="2" borderId="0" xfId="3" applyNumberFormat="1" applyFont="1" applyFill="1" applyAlignment="1">
      <alignment horizontal="centerContinuous" vertical="center"/>
    </xf>
    <xf numFmtId="3" fontId="15" fillId="0" borderId="0" xfId="3" applyNumberFormat="1" applyFont="1" applyAlignment="1">
      <alignment horizontal="center"/>
    </xf>
    <xf numFmtId="3" fontId="15" fillId="0" borderId="0" xfId="3" applyNumberFormat="1" applyFont="1" applyAlignment="1">
      <alignment vertical="center"/>
    </xf>
    <xf numFmtId="3" fontId="15" fillId="0" borderId="0" xfId="3" applyNumberFormat="1"/>
    <xf numFmtId="10" fontId="26" fillId="2" borderId="0" xfId="3" applyNumberFormat="1" applyFont="1" applyFill="1" applyAlignment="1">
      <alignment horizontal="centerContinuous" vertical="center"/>
    </xf>
    <xf numFmtId="0" fontId="26" fillId="2" borderId="0" xfId="3" applyNumberFormat="1" applyFont="1" applyFill="1" applyAlignment="1">
      <alignment horizontal="centerContinuous" vertical="center"/>
    </xf>
    <xf numFmtId="0" fontId="17" fillId="2" borderId="0" xfId="3" applyNumberFormat="1" applyFont="1" applyFill="1" applyAlignment="1">
      <alignment horizontal="centerContinuous" vertical="center"/>
    </xf>
    <xf numFmtId="3" fontId="17" fillId="2" borderId="0" xfId="3" applyNumberFormat="1" applyFont="1" applyFill="1" applyAlignment="1">
      <alignment horizontal="centerContinuous" vertical="center"/>
    </xf>
    <xf numFmtId="0" fontId="1" fillId="2" borderId="0" xfId="3" applyNumberFormat="1" applyFont="1" applyFill="1" applyAlignment="1">
      <alignment horizontal="centerContinuous" vertical="center"/>
    </xf>
    <xf numFmtId="0" fontId="27" fillId="2" borderId="0" xfId="3" applyNumberFormat="1" applyFont="1" applyFill="1" applyAlignment="1">
      <alignment horizontal="centerContinuous" vertical="center"/>
    </xf>
    <xf numFmtId="3" fontId="13" fillId="2" borderId="0" xfId="3" applyNumberFormat="1" applyFont="1" applyFill="1" applyAlignment="1">
      <alignment horizontal="center" vertical="center"/>
    </xf>
    <xf numFmtId="3" fontId="13" fillId="2" borderId="0" xfId="3" applyNumberFormat="1" applyFont="1" applyFill="1" applyAlignment="1">
      <alignment vertical="center"/>
    </xf>
    <xf numFmtId="3" fontId="15" fillId="0" borderId="0" xfId="3" applyNumberFormat="1" applyFont="1" applyAlignment="1"/>
    <xf numFmtId="3" fontId="13" fillId="2" borderId="0" xfId="3" applyNumberFormat="1" applyFont="1" applyFill="1" applyAlignment="1">
      <alignment horizontal="right" vertical="center"/>
    </xf>
    <xf numFmtId="209" fontId="13" fillId="2" borderId="0" xfId="3" applyNumberFormat="1" applyFont="1" applyFill="1" applyAlignment="1">
      <alignment horizontal="right" vertical="center"/>
    </xf>
    <xf numFmtId="210" fontId="13" fillId="2" borderId="0" xfId="3" applyNumberFormat="1" applyFont="1" applyFill="1" applyAlignment="1">
      <alignment horizontal="right" vertical="center"/>
    </xf>
    <xf numFmtId="3" fontId="13" fillId="2" borderId="8" xfId="3" applyNumberFormat="1" applyFont="1" applyFill="1" applyBorder="1" applyAlignment="1">
      <alignment horizontal="center" vertical="center"/>
    </xf>
    <xf numFmtId="3" fontId="13" fillId="2" borderId="8" xfId="3" applyNumberFormat="1" applyFont="1" applyFill="1" applyBorder="1" applyAlignment="1">
      <alignment vertical="center"/>
    </xf>
    <xf numFmtId="3" fontId="13" fillId="2" borderId="9" xfId="3" applyNumberFormat="1" applyFont="1" applyFill="1" applyBorder="1" applyAlignment="1">
      <alignment vertical="center"/>
    </xf>
    <xf numFmtId="3" fontId="28" fillId="0" borderId="0" xfId="3" applyNumberFormat="1" applyFont="1" applyAlignment="1">
      <alignment horizontal="center"/>
    </xf>
    <xf numFmtId="3" fontId="13" fillId="2" borderId="10" xfId="3" applyNumberFormat="1" applyFont="1" applyFill="1" applyBorder="1" applyAlignment="1">
      <alignment horizontal="center" vertical="center"/>
    </xf>
    <xf numFmtId="0" fontId="13" fillId="2" borderId="10" xfId="3" applyNumberFormat="1" applyFont="1" applyFill="1" applyBorder="1" applyAlignment="1">
      <alignment horizontal="centerContinuous" vertical="center"/>
    </xf>
    <xf numFmtId="3" fontId="13" fillId="2" borderId="10" xfId="3" applyNumberFormat="1" applyFont="1" applyFill="1" applyBorder="1" applyAlignment="1">
      <alignment horizontal="centerContinuous" vertical="center"/>
    </xf>
    <xf numFmtId="3" fontId="13" fillId="2" borderId="10" xfId="3" applyNumberFormat="1" applyFont="1" applyFill="1" applyBorder="1" applyAlignment="1">
      <alignment vertical="center"/>
    </xf>
    <xf numFmtId="0" fontId="13" fillId="2" borderId="8" xfId="3" applyNumberFormat="1" applyFont="1" applyFill="1" applyBorder="1" applyAlignment="1">
      <alignment horizontal="centerContinuous" vertical="center"/>
    </xf>
    <xf numFmtId="3" fontId="13" fillId="2" borderId="9" xfId="3" applyNumberFormat="1" applyFont="1" applyFill="1" applyBorder="1" applyAlignment="1">
      <alignment horizontal="centerContinuous" vertical="center"/>
    </xf>
    <xf numFmtId="3" fontId="13" fillId="2" borderId="8" xfId="3" applyNumberFormat="1" applyFont="1" applyFill="1" applyBorder="1" applyAlignment="1">
      <alignment horizontal="centerContinuous" vertical="center"/>
    </xf>
    <xf numFmtId="0" fontId="13" fillId="2" borderId="9" xfId="3" applyNumberFormat="1" applyFont="1" applyFill="1" applyBorder="1" applyAlignment="1">
      <alignment horizontal="centerContinuous" vertical="center"/>
    </xf>
    <xf numFmtId="3" fontId="13" fillId="0" borderId="0" xfId="3" applyNumberFormat="1" applyFont="1" applyAlignment="1">
      <alignment horizontal="center" vertical="center"/>
    </xf>
    <xf numFmtId="9" fontId="13" fillId="2" borderId="0" xfId="3" applyNumberFormat="1" applyFont="1" applyFill="1" applyAlignment="1">
      <alignment horizontal="center" vertical="center"/>
    </xf>
    <xf numFmtId="9" fontId="13" fillId="2" borderId="0" xfId="3" applyNumberFormat="1" applyFont="1" applyFill="1" applyAlignment="1">
      <alignment horizontal="centerContinuous" vertical="center"/>
    </xf>
    <xf numFmtId="9" fontId="13" fillId="2" borderId="10" xfId="3" applyNumberFormat="1" applyFont="1" applyFill="1" applyBorder="1" applyAlignment="1">
      <alignment horizontal="center" vertical="center"/>
    </xf>
    <xf numFmtId="3" fontId="13" fillId="2" borderId="9" xfId="3" applyNumberFormat="1" applyFont="1" applyFill="1" applyBorder="1" applyAlignment="1">
      <alignment horizontal="center" vertical="center"/>
    </xf>
    <xf numFmtId="0" fontId="1" fillId="2" borderId="8" xfId="3" applyNumberFormat="1" applyFont="1" applyFill="1" applyBorder="1" applyAlignment="1">
      <alignment horizontal="centerContinuous" vertical="center"/>
    </xf>
    <xf numFmtId="3" fontId="1" fillId="2" borderId="9" xfId="3" applyNumberFormat="1" applyFont="1" applyFill="1" applyBorder="1" applyAlignment="1">
      <alignment horizontal="center" vertical="center"/>
    </xf>
    <xf numFmtId="10" fontId="13" fillId="2" borderId="8" xfId="3" applyNumberFormat="1" applyFont="1" applyFill="1" applyBorder="1" applyAlignment="1">
      <alignment horizontal="center" vertical="center"/>
    </xf>
    <xf numFmtId="3" fontId="29" fillId="2" borderId="0" xfId="3" applyNumberFormat="1" applyFont="1" applyFill="1" applyAlignment="1">
      <alignment horizontal="center" vertical="center"/>
    </xf>
    <xf numFmtId="4" fontId="13" fillId="0" borderId="0" xfId="3" applyNumberFormat="1" applyFont="1" applyAlignment="1">
      <alignment vertical="center"/>
    </xf>
    <xf numFmtId="3" fontId="30" fillId="0" borderId="0" xfId="3" applyNumberFormat="1" applyFont="1" applyAlignment="1">
      <alignment horizontal="center" vertical="center"/>
    </xf>
    <xf numFmtId="3" fontId="15" fillId="0" borderId="0" xfId="3" applyNumberFormat="1" applyFont="1" applyAlignment="1">
      <alignment horizontal="right"/>
    </xf>
    <xf numFmtId="3" fontId="28" fillId="0" borderId="0" xfId="3" applyNumberFormat="1" applyFont="1" applyAlignment="1"/>
    <xf numFmtId="3" fontId="13" fillId="0" borderId="0" xfId="3" applyNumberFormat="1" applyFont="1" applyAlignment="1"/>
    <xf numFmtId="3" fontId="13" fillId="0" borderId="0" xfId="3" applyNumberFormat="1" applyFont="1" applyAlignment="1">
      <alignment horizontal="center"/>
    </xf>
    <xf numFmtId="3" fontId="13" fillId="0" borderId="0" xfId="3" applyNumberFormat="1" applyFont="1" applyBorder="1" applyAlignment="1">
      <alignment vertical="center"/>
    </xf>
    <xf numFmtId="3" fontId="13" fillId="2" borderId="0" xfId="3" applyNumberFormat="1" applyFont="1" applyFill="1" applyBorder="1" applyAlignment="1">
      <alignment horizontal="center" vertical="center"/>
    </xf>
    <xf numFmtId="3" fontId="13" fillId="2" borderId="0" xfId="3" applyNumberFormat="1" applyFont="1" applyFill="1" applyBorder="1" applyAlignment="1">
      <alignment vertical="center"/>
    </xf>
    <xf numFmtId="3" fontId="13" fillId="0" borderId="0" xfId="3" applyNumberFormat="1" applyFont="1" applyBorder="1" applyAlignment="1">
      <alignment horizontal="center" vertical="center"/>
    </xf>
    <xf numFmtId="3" fontId="15" fillId="0" borderId="0" xfId="3" applyNumberFormat="1" applyFont="1" applyBorder="1" applyAlignment="1">
      <alignment vertical="center"/>
    </xf>
    <xf numFmtId="3" fontId="15" fillId="0" borderId="0" xfId="3" applyNumberFormat="1" applyBorder="1"/>
    <xf numFmtId="0" fontId="13" fillId="2" borderId="0" xfId="3" applyNumberFormat="1" applyFont="1" applyFill="1" applyBorder="1" applyAlignment="1">
      <alignment horizontal="centerContinuous" vertical="center"/>
    </xf>
    <xf numFmtId="3" fontId="13" fillId="2" borderId="0" xfId="3" applyNumberFormat="1" applyFont="1" applyFill="1" applyBorder="1" applyAlignment="1">
      <alignment horizontal="centerContinuous" vertical="center"/>
    </xf>
    <xf numFmtId="3" fontId="15" fillId="0" borderId="0" xfId="3" applyNumberFormat="1" applyFont="1" applyBorder="1" applyAlignment="1">
      <alignment horizontal="center"/>
    </xf>
    <xf numFmtId="184" fontId="13" fillId="0" borderId="0" xfId="3" applyNumberFormat="1" applyFont="1" applyBorder="1" applyAlignment="1">
      <alignment vertical="center"/>
    </xf>
    <xf numFmtId="186" fontId="13" fillId="2" borderId="0" xfId="3" applyNumberFormat="1" applyFont="1" applyFill="1" applyBorder="1" applyAlignment="1">
      <alignment vertical="center"/>
    </xf>
    <xf numFmtId="186" fontId="13" fillId="0" borderId="0" xfId="3" applyNumberFormat="1" applyFont="1" applyBorder="1" applyAlignment="1">
      <alignment vertical="center"/>
    </xf>
    <xf numFmtId="183" fontId="13" fillId="0" borderId="0" xfId="3" applyNumberFormat="1" applyFont="1" applyBorder="1" applyAlignment="1">
      <alignment vertical="center"/>
    </xf>
    <xf numFmtId="207" fontId="13" fillId="0" borderId="0" xfId="3" applyNumberFormat="1" applyFont="1" applyBorder="1" applyAlignment="1">
      <alignment vertical="center"/>
    </xf>
    <xf numFmtId="3" fontId="29" fillId="2" borderId="0" xfId="3" applyNumberFormat="1" applyFont="1" applyFill="1" applyBorder="1" applyAlignment="1">
      <alignment horizontal="right" vertical="center"/>
    </xf>
    <xf numFmtId="170" fontId="13" fillId="0" borderId="0" xfId="3" applyNumberFormat="1" applyFont="1" applyBorder="1" applyAlignment="1">
      <alignment vertical="center"/>
    </xf>
    <xf numFmtId="3" fontId="28" fillId="0" borderId="0" xfId="3" applyNumberFormat="1" applyFont="1" applyBorder="1" applyAlignment="1">
      <alignment horizontal="centerContinuous"/>
    </xf>
    <xf numFmtId="3" fontId="15" fillId="0" borderId="0" xfId="3" applyNumberFormat="1" applyFont="1" applyBorder="1" applyAlignment="1">
      <alignment horizontal="centerContinuous"/>
    </xf>
    <xf numFmtId="3" fontId="28" fillId="0" borderId="0" xfId="3" applyNumberFormat="1" applyFont="1" applyBorder="1" applyAlignment="1">
      <alignment horizontal="right"/>
    </xf>
    <xf numFmtId="3" fontId="28" fillId="0" borderId="0" xfId="3" applyNumberFormat="1" applyFont="1" applyBorder="1" applyAlignment="1">
      <alignment horizontal="center"/>
    </xf>
    <xf numFmtId="3" fontId="15" fillId="0" borderId="0" xfId="3" applyNumberFormat="1" applyFont="1"/>
    <xf numFmtId="3" fontId="15" fillId="0" borderId="0" xfId="3" applyNumberForma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3" fillId="0" borderId="0" xfId="0" applyFont="1" applyFill="1" applyBorder="1"/>
    <xf numFmtId="38" fontId="13" fillId="0" borderId="0" xfId="0" applyNumberFormat="1" applyFont="1" applyFill="1" applyBorder="1" applyAlignment="1">
      <alignment horizontal="center"/>
    </xf>
    <xf numFmtId="183" fontId="15" fillId="0" borderId="0" xfId="3" applyNumberFormat="1" applyFont="1" applyAlignment="1">
      <alignment horizontal="center"/>
    </xf>
    <xf numFmtId="3" fontId="31" fillId="0" borderId="0" xfId="3" applyNumberFormat="1" applyFont="1"/>
    <xf numFmtId="3" fontId="31" fillId="6" borderId="0" xfId="3" applyNumberFormat="1" applyFont="1" applyFill="1"/>
    <xf numFmtId="3" fontId="31" fillId="6" borderId="0" xfId="3" applyNumberFormat="1" applyFont="1" applyFill="1" applyAlignment="1">
      <alignment horizontal="center"/>
    </xf>
    <xf numFmtId="3" fontId="15" fillId="0" borderId="0" xfId="3" applyNumberFormat="1" applyFill="1"/>
    <xf numFmtId="3" fontId="15" fillId="0" borderId="11" xfId="3" applyNumberFormat="1" applyFont="1" applyBorder="1"/>
    <xf numFmtId="3" fontId="15" fillId="0" borderId="12" xfId="3" applyNumberFormat="1" applyFont="1" applyBorder="1"/>
    <xf numFmtId="3" fontId="13" fillId="0" borderId="11" xfId="0" applyNumberFormat="1" applyFont="1" applyFill="1" applyBorder="1" applyAlignment="1">
      <alignment horizontal="center"/>
    </xf>
    <xf numFmtId="3" fontId="13" fillId="0" borderId="12" xfId="0" applyNumberFormat="1" applyFont="1" applyFill="1" applyBorder="1"/>
    <xf numFmtId="38" fontId="13" fillId="0" borderId="12" xfId="0" applyNumberFormat="1" applyFont="1" applyFill="1" applyBorder="1" applyAlignment="1">
      <alignment horizontal="center"/>
    </xf>
    <xf numFmtId="3" fontId="15" fillId="0" borderId="11" xfId="3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3" fontId="15" fillId="6" borderId="13" xfId="3" applyNumberFormat="1" applyFill="1" applyBorder="1"/>
    <xf numFmtId="3" fontId="31" fillId="6" borderId="13" xfId="3" applyNumberFormat="1" applyFont="1" applyFill="1" applyBorder="1" applyAlignment="1">
      <alignment horizontal="center"/>
    </xf>
    <xf numFmtId="3" fontId="31" fillId="0" borderId="2" xfId="3" applyNumberFormat="1" applyFont="1" applyBorder="1" applyAlignment="1">
      <alignment horizontal="center" wrapText="1"/>
    </xf>
    <xf numFmtId="3" fontId="31" fillId="6" borderId="7" xfId="3" applyNumberFormat="1" applyFont="1" applyFill="1" applyBorder="1" applyAlignment="1">
      <alignment horizontal="center"/>
    </xf>
    <xf numFmtId="3" fontId="31" fillId="0" borderId="1" xfId="3" applyNumberFormat="1" applyFont="1" applyBorder="1" applyAlignment="1">
      <alignment horizontal="center" wrapText="1"/>
    </xf>
    <xf numFmtId="3" fontId="31" fillId="6" borderId="14" xfId="3" applyNumberFormat="1" applyFont="1" applyFill="1" applyBorder="1" applyAlignment="1">
      <alignment horizontal="center" wrapText="1"/>
    </xf>
    <xf numFmtId="3" fontId="31" fillId="0" borderId="14" xfId="3" applyNumberFormat="1" applyFont="1" applyBorder="1" applyAlignment="1">
      <alignment horizontal="center"/>
    </xf>
    <xf numFmtId="3" fontId="15" fillId="0" borderId="2" xfId="3" applyNumberFormat="1" applyFont="1" applyBorder="1"/>
    <xf numFmtId="3" fontId="15" fillId="0" borderId="3" xfId="3" applyNumberFormat="1" applyFont="1" applyBorder="1"/>
    <xf numFmtId="38" fontId="3" fillId="2" borderId="11" xfId="0" applyNumberFormat="1" applyFont="1" applyFill="1" applyBorder="1" applyAlignment="1">
      <alignment horizontal="center"/>
    </xf>
    <xf numFmtId="3" fontId="13" fillId="6" borderId="8" xfId="3" applyNumberFormat="1" applyFont="1" applyFill="1" applyBorder="1" applyAlignment="1">
      <alignment vertical="center"/>
    </xf>
    <xf numFmtId="3" fontId="9" fillId="6" borderId="10" xfId="3" applyNumberFormat="1" applyFont="1" applyFill="1" applyBorder="1" applyAlignment="1">
      <alignment horizontal="center" vertical="center"/>
    </xf>
    <xf numFmtId="0" fontId="9" fillId="6" borderId="10" xfId="3" applyNumberFormat="1" applyFont="1" applyFill="1" applyBorder="1" applyAlignment="1">
      <alignment horizontal="centerContinuous" vertical="center"/>
    </xf>
    <xf numFmtId="3" fontId="9" fillId="6" borderId="8" xfId="3" applyNumberFormat="1" applyFont="1" applyFill="1" applyBorder="1" applyAlignment="1">
      <alignment vertical="center"/>
    </xf>
    <xf numFmtId="3" fontId="9" fillId="6" borderId="10" xfId="3" applyNumberFormat="1" applyFont="1" applyFill="1" applyBorder="1" applyAlignment="1">
      <alignment vertical="center"/>
    </xf>
    <xf numFmtId="0" fontId="13" fillId="0" borderId="0" xfId="3" applyNumberFormat="1" applyFont="1" applyBorder="1" applyAlignment="1">
      <alignment horizontal="centerContinuous" vertical="center"/>
    </xf>
    <xf numFmtId="3" fontId="31" fillId="6" borderId="1" xfId="3" applyNumberFormat="1" applyFont="1" applyFill="1" applyBorder="1" applyAlignment="1">
      <alignment horizontal="center" wrapText="1"/>
    </xf>
    <xf numFmtId="3" fontId="17" fillId="6" borderId="3" xfId="3" applyNumberFormat="1" applyFont="1" applyFill="1" applyBorder="1" applyAlignment="1">
      <alignment vertical="center"/>
    </xf>
    <xf numFmtId="3" fontId="17" fillId="6" borderId="11" xfId="3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/>
    <xf numFmtId="3" fontId="15" fillId="0" borderId="11" xfId="3" applyNumberFormat="1" applyBorder="1" applyAlignment="1">
      <alignment horizontal="center"/>
    </xf>
    <xf numFmtId="3" fontId="13" fillId="7" borderId="10" xfId="3" applyNumberFormat="1" applyFont="1" applyFill="1" applyBorder="1" applyAlignment="1">
      <alignment vertical="center"/>
    </xf>
    <xf numFmtId="0" fontId="13" fillId="7" borderId="10" xfId="3" applyNumberFormat="1" applyFont="1" applyFill="1" applyBorder="1" applyAlignment="1">
      <alignment horizontal="centerContinuous" vertical="center"/>
    </xf>
    <xf numFmtId="38" fontId="13" fillId="7" borderId="11" xfId="0" applyNumberFormat="1" applyFont="1" applyFill="1" applyBorder="1" applyAlignment="1">
      <alignment horizontal="center"/>
    </xf>
    <xf numFmtId="0" fontId="0" fillId="0" borderId="5" xfId="0" applyBorder="1"/>
    <xf numFmtId="0" fontId="32" fillId="0" borderId="0" xfId="0" applyFont="1" applyBorder="1" applyAlignment="1">
      <alignment horizontal="center"/>
    </xf>
    <xf numFmtId="16" fontId="13" fillId="2" borderId="10" xfId="3" applyNumberFormat="1" applyFont="1" applyFill="1" applyBorder="1" applyAlignment="1">
      <alignment horizontal="center" vertical="center"/>
    </xf>
    <xf numFmtId="0" fontId="0" fillId="0" borderId="4" xfId="0" applyBorder="1"/>
    <xf numFmtId="0" fontId="12" fillId="0" borderId="0" xfId="0" applyFont="1"/>
    <xf numFmtId="0" fontId="33" fillId="0" borderId="0" xfId="0" applyFont="1" applyFill="1" applyBorder="1"/>
    <xf numFmtId="0" fontId="12" fillId="0" borderId="0" xfId="0" applyFont="1" applyBorder="1"/>
    <xf numFmtId="17" fontId="9" fillId="2" borderId="0" xfId="0" quotePrefix="1" applyNumberFormat="1" applyFont="1" applyFill="1" applyAlignment="1">
      <alignment horizontal="left"/>
    </xf>
    <xf numFmtId="165" fontId="2" fillId="2" borderId="0" xfId="0" applyNumberFormat="1" applyFont="1" applyFill="1"/>
    <xf numFmtId="165" fontId="32" fillId="2" borderId="0" xfId="0" applyNumberFormat="1" applyFont="1" applyFill="1"/>
    <xf numFmtId="3" fontId="32" fillId="2" borderId="0" xfId="0" applyNumberFormat="1" applyFont="1" applyFill="1" applyAlignment="1"/>
    <xf numFmtId="167" fontId="0" fillId="0" borderId="0" xfId="2" applyNumberFormat="1" applyFont="1" applyFill="1"/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15" xfId="0" applyBorder="1"/>
    <xf numFmtId="44" fontId="5" fillId="0" borderId="0" xfId="2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3" fontId="35" fillId="2" borderId="0" xfId="3" applyNumberFormat="1" applyFont="1" applyFill="1" applyAlignment="1">
      <alignment horizontal="center" vertical="center"/>
    </xf>
    <xf numFmtId="3" fontId="35" fillId="2" borderId="10" xfId="3" applyNumberFormat="1" applyFont="1" applyFill="1" applyBorder="1" applyAlignment="1">
      <alignment horizontal="center" vertical="center"/>
    </xf>
    <xf numFmtId="3" fontId="13" fillId="2" borderId="16" xfId="3" applyNumberFormat="1" applyFont="1" applyFill="1" applyBorder="1" applyAlignment="1">
      <alignment vertical="center"/>
    </xf>
    <xf numFmtId="3" fontId="13" fillId="2" borderId="17" xfId="3" applyNumberFormat="1" applyFont="1" applyFill="1" applyBorder="1" applyAlignment="1">
      <alignment vertical="center"/>
    </xf>
    <xf numFmtId="3" fontId="13" fillId="4" borderId="18" xfId="3" applyNumberFormat="1" applyFont="1" applyFill="1" applyBorder="1" applyAlignment="1">
      <alignment vertical="center"/>
    </xf>
    <xf numFmtId="3" fontId="13" fillId="4" borderId="19" xfId="3" applyNumberFormat="1" applyFont="1" applyFill="1" applyBorder="1" applyAlignment="1">
      <alignment vertical="center"/>
    </xf>
    <xf numFmtId="3" fontId="13" fillId="4" borderId="19" xfId="3" applyNumberFormat="1" applyFont="1" applyFill="1" applyBorder="1" applyAlignment="1">
      <alignment horizontal="right" vertical="center"/>
    </xf>
    <xf numFmtId="3" fontId="13" fillId="4" borderId="20" xfId="3" applyNumberFormat="1" applyFont="1" applyFill="1" applyBorder="1" applyAlignment="1">
      <alignment vertical="center"/>
    </xf>
    <xf numFmtId="3" fontId="13" fillId="7" borderId="18" xfId="3" applyNumberFormat="1" applyFont="1" applyFill="1" applyBorder="1" applyAlignment="1">
      <alignment vertical="center"/>
    </xf>
    <xf numFmtId="3" fontId="13" fillId="7" borderId="19" xfId="3" applyNumberFormat="1" applyFont="1" applyFill="1" applyBorder="1" applyAlignment="1">
      <alignment vertical="center"/>
    </xf>
    <xf numFmtId="3" fontId="13" fillId="7" borderId="19" xfId="3" applyNumberFormat="1" applyFont="1" applyFill="1" applyBorder="1" applyAlignment="1">
      <alignment horizontal="right" vertical="center"/>
    </xf>
    <xf numFmtId="3" fontId="13" fillId="7" borderId="20" xfId="3" applyNumberFormat="1" applyFont="1" applyFill="1" applyBorder="1" applyAlignment="1">
      <alignment vertical="center"/>
    </xf>
    <xf numFmtId="3" fontId="13" fillId="8" borderId="18" xfId="3" applyNumberFormat="1" applyFont="1" applyFill="1" applyBorder="1" applyAlignment="1">
      <alignment vertical="center"/>
    </xf>
    <xf numFmtId="3" fontId="13" fillId="8" borderId="19" xfId="3" applyNumberFormat="1" applyFont="1" applyFill="1" applyBorder="1" applyAlignment="1">
      <alignment vertical="center"/>
    </xf>
    <xf numFmtId="3" fontId="13" fillId="8" borderId="19" xfId="3" applyNumberFormat="1" applyFont="1" applyFill="1" applyBorder="1" applyAlignment="1">
      <alignment horizontal="right" vertical="center"/>
    </xf>
    <xf numFmtId="3" fontId="13" fillId="8" borderId="20" xfId="3" applyNumberFormat="1" applyFont="1" applyFill="1" applyBorder="1" applyAlignment="1">
      <alignment vertical="center"/>
    </xf>
    <xf numFmtId="3" fontId="15" fillId="3" borderId="18" xfId="3" applyNumberFormat="1" applyFill="1" applyBorder="1"/>
    <xf numFmtId="3" fontId="15" fillId="3" borderId="19" xfId="3" applyNumberFormat="1" applyFill="1" applyBorder="1"/>
    <xf numFmtId="3" fontId="15" fillId="3" borderId="19" xfId="3" applyNumberFormat="1" applyFont="1" applyFill="1" applyBorder="1" applyAlignment="1">
      <alignment horizontal="right"/>
    </xf>
    <xf numFmtId="3" fontId="15" fillId="3" borderId="20" xfId="3" applyNumberFormat="1" applyFill="1" applyBorder="1"/>
    <xf numFmtId="3" fontId="13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vertical="center"/>
    </xf>
    <xf numFmtId="3" fontId="14" fillId="6" borderId="7" xfId="3" applyNumberFormat="1" applyFont="1" applyFill="1" applyBorder="1" applyAlignment="1">
      <alignment vertical="center"/>
    </xf>
    <xf numFmtId="3" fontId="15" fillId="0" borderId="21" xfId="3" applyNumberFormat="1" applyBorder="1"/>
    <xf numFmtId="14" fontId="19" fillId="0" borderId="0" xfId="0" applyNumberFormat="1" applyFont="1" applyAlignment="1">
      <alignment horizontal="center"/>
    </xf>
    <xf numFmtId="3" fontId="0" fillId="0" borderId="4" xfId="1" applyNumberFormat="1" applyFont="1" applyBorder="1" applyAlignment="1">
      <alignment horizontal="center"/>
    </xf>
    <xf numFmtId="44" fontId="5" fillId="0" borderId="4" xfId="2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0" borderId="0" xfId="0" applyFont="1" applyBorder="1"/>
    <xf numFmtId="165" fontId="1" fillId="2" borderId="0" xfId="1" applyNumberFormat="1" applyFill="1" applyAlignment="1">
      <alignment horizontal="right"/>
    </xf>
    <xf numFmtId="165" fontId="2" fillId="2" borderId="0" xfId="1" applyNumberFormat="1" applyFont="1" applyFill="1" applyAlignment="1">
      <alignment horizontal="right"/>
    </xf>
    <xf numFmtId="167" fontId="5" fillId="2" borderId="0" xfId="2" applyNumberFormat="1" applyFont="1" applyFill="1"/>
    <xf numFmtId="165" fontId="5" fillId="2" borderId="0" xfId="1" applyNumberFormat="1" applyFont="1" applyFill="1"/>
    <xf numFmtId="9" fontId="5" fillId="2" borderId="0" xfId="5" applyFont="1" applyFill="1"/>
    <xf numFmtId="167" fontId="1" fillId="2" borderId="0" xfId="2" applyNumberFormat="1" applyFill="1"/>
    <xf numFmtId="165" fontId="1" fillId="2" borderId="0" xfId="1" applyNumberFormat="1" applyFont="1" applyFill="1" applyAlignment="1">
      <alignment horizontal="left"/>
    </xf>
    <xf numFmtId="3" fontId="31" fillId="0" borderId="0" xfId="3" applyNumberFormat="1" applyFont="1" applyFill="1" applyBorder="1" applyAlignment="1">
      <alignment horizontal="center"/>
    </xf>
    <xf numFmtId="3" fontId="15" fillId="0" borderId="0" xfId="3" applyNumberFormat="1" applyFill="1" applyBorder="1"/>
    <xf numFmtId="3" fontId="15" fillId="0" borderId="0" xfId="3" applyNumberFormat="1" applyFill="1" applyAlignment="1">
      <alignment horizontal="center"/>
    </xf>
    <xf numFmtId="191" fontId="0" fillId="0" borderId="0" xfId="0" applyNumberFormat="1"/>
    <xf numFmtId="3" fontId="5" fillId="0" borderId="0" xfId="0" applyNumberFormat="1" applyFont="1" applyBorder="1"/>
    <xf numFmtId="0" fontId="2" fillId="0" borderId="0" xfId="0" applyFont="1" applyBorder="1" applyAlignment="1">
      <alignment horizontal="center"/>
    </xf>
    <xf numFmtId="3" fontId="34" fillId="0" borderId="0" xfId="1" applyNumberFormat="1" applyFont="1" applyBorder="1" applyAlignment="1">
      <alignment horizontal="center"/>
    </xf>
    <xf numFmtId="44" fontId="34" fillId="0" borderId="0" xfId="2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3" fontId="15" fillId="7" borderId="22" xfId="3" applyNumberFormat="1" applyFill="1" applyBorder="1"/>
    <xf numFmtId="3" fontId="31" fillId="7" borderId="13" xfId="3" applyNumberFormat="1" applyFont="1" applyFill="1" applyBorder="1" applyAlignment="1">
      <alignment horizontal="center"/>
    </xf>
    <xf numFmtId="3" fontId="31" fillId="7" borderId="7" xfId="3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3" fontId="2" fillId="6" borderId="0" xfId="0" applyNumberFormat="1" applyFont="1" applyFill="1" applyAlignment="1">
      <alignment horizontal="center"/>
    </xf>
    <xf numFmtId="191" fontId="0" fillId="0" borderId="0" xfId="0" applyNumberFormat="1" applyBorder="1"/>
    <xf numFmtId="2" fontId="2" fillId="0" borderId="0" xfId="0" applyNumberFormat="1" applyFont="1" applyAlignment="1">
      <alignment wrapText="1"/>
    </xf>
    <xf numFmtId="3" fontId="8" fillId="0" borderId="0" xfId="0" applyNumberFormat="1" applyFont="1" applyBorder="1"/>
    <xf numFmtId="3" fontId="0" fillId="0" borderId="6" xfId="1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3" fontId="0" fillId="0" borderId="6" xfId="1" applyNumberFormat="1" applyFont="1" applyBorder="1" applyAlignment="1">
      <alignment horizontal="center"/>
    </xf>
    <xf numFmtId="7" fontId="0" fillId="0" borderId="6" xfId="2" applyNumberFormat="1" applyFont="1" applyFill="1" applyBorder="1" applyAlignment="1">
      <alignment horizontal="center"/>
    </xf>
    <xf numFmtId="7" fontId="0" fillId="0" borderId="0" xfId="2" applyNumberFormat="1" applyFont="1" applyFill="1" applyBorder="1" applyAlignment="1">
      <alignment horizontal="center"/>
    </xf>
    <xf numFmtId="38" fontId="3" fillId="2" borderId="3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0" fontId="39" fillId="0" borderId="0" xfId="0" applyFont="1" applyBorder="1"/>
    <xf numFmtId="0" fontId="2" fillId="2" borderId="2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38" fontId="8" fillId="0" borderId="1" xfId="0" applyNumberFormat="1" applyFont="1" applyBorder="1" applyAlignment="1">
      <alignment horizontal="center"/>
    </xf>
    <xf numFmtId="38" fontId="8" fillId="0" borderId="14" xfId="0" applyNumberFormat="1" applyFont="1" applyBorder="1" applyAlignment="1">
      <alignment horizontal="center"/>
    </xf>
    <xf numFmtId="0" fontId="21" fillId="0" borderId="0" xfId="0" applyFont="1"/>
    <xf numFmtId="0" fontId="7" fillId="0" borderId="0" xfId="0" applyFont="1"/>
    <xf numFmtId="9" fontId="2" fillId="0" borderId="1" xfId="0" applyNumberFormat="1" applyFont="1" applyBorder="1" applyAlignment="1">
      <alignment horizontal="center"/>
    </xf>
    <xf numFmtId="9" fontId="2" fillId="0" borderId="14" xfId="0" applyNumberFormat="1" applyFont="1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38" fontId="0" fillId="2" borderId="0" xfId="2" applyNumberFormat="1" applyFont="1" applyFill="1" applyAlignment="1"/>
    <xf numFmtId="0" fontId="2" fillId="0" borderId="0" xfId="0" applyFont="1" applyFill="1" applyBorder="1" applyAlignment="1"/>
    <xf numFmtId="0" fontId="2" fillId="9" borderId="18" xfId="0" applyFont="1" applyFill="1" applyBorder="1"/>
    <xf numFmtId="0" fontId="0" fillId="9" borderId="19" xfId="0" applyFill="1" applyBorder="1"/>
    <xf numFmtId="167" fontId="2" fillId="9" borderId="23" xfId="2" applyNumberFormat="1" applyFont="1" applyFill="1" applyBorder="1"/>
    <xf numFmtId="44" fontId="2" fillId="7" borderId="2" xfId="2" applyNumberFormat="1" applyFont="1" applyFill="1" applyBorder="1"/>
    <xf numFmtId="3" fontId="2" fillId="9" borderId="1" xfId="0" applyNumberFormat="1" applyFont="1" applyFill="1" applyBorder="1"/>
    <xf numFmtId="0" fontId="0" fillId="9" borderId="14" xfId="0" applyFill="1" applyBorder="1"/>
    <xf numFmtId="3" fontId="2" fillId="9" borderId="14" xfId="0" applyNumberFormat="1" applyFont="1" applyFill="1" applyBorder="1"/>
    <xf numFmtId="3" fontId="2" fillId="9" borderId="2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37" fillId="0" borderId="0" xfId="0" applyNumberFormat="1" applyFont="1" applyFill="1" applyBorder="1" applyAlignment="1">
      <alignment horizontal="center"/>
    </xf>
    <xf numFmtId="167" fontId="2" fillId="2" borderId="7" xfId="2" applyNumberFormat="1" applyFont="1" applyFill="1" applyBorder="1"/>
    <xf numFmtId="3" fontId="3" fillId="0" borderId="0" xfId="1" applyNumberFormat="1" applyFont="1" applyFill="1" applyBorder="1" applyAlignment="1">
      <alignment horizontal="center"/>
    </xf>
    <xf numFmtId="0" fontId="38" fillId="0" borderId="0" xfId="0" applyFont="1" applyFill="1" applyBorder="1"/>
    <xf numFmtId="3" fontId="0" fillId="0" borderId="4" xfId="0" applyNumberFormat="1" applyBorder="1" applyAlignment="1">
      <alignment horizontal="center"/>
    </xf>
    <xf numFmtId="7" fontId="0" fillId="0" borderId="4" xfId="2" applyNumberFormat="1" applyFont="1" applyFill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44" fontId="5" fillId="0" borderId="6" xfId="2" applyFont="1" applyBorder="1" applyAlignment="1">
      <alignment horizontal="center"/>
    </xf>
    <xf numFmtId="44" fontId="0" fillId="0" borderId="24" xfId="2" applyFont="1" applyBorder="1"/>
    <xf numFmtId="44" fontId="0" fillId="0" borderId="15" xfId="2" applyFont="1" applyBorder="1"/>
    <xf numFmtId="0" fontId="2" fillId="0" borderId="6" xfId="0" applyFont="1" applyBorder="1"/>
    <xf numFmtId="0" fontId="2" fillId="0" borderId="0" xfId="0" applyFont="1" applyBorder="1" applyAlignment="1">
      <alignment horizontal="left"/>
    </xf>
    <xf numFmtId="3" fontId="15" fillId="0" borderId="4" xfId="3" applyNumberFormat="1" applyFill="1" applyBorder="1"/>
    <xf numFmtId="16" fontId="2" fillId="0" borderId="0" xfId="0" applyNumberFormat="1" applyFont="1" applyFill="1" applyAlignment="1">
      <alignment horizontal="center"/>
    </xf>
    <xf numFmtId="0" fontId="2" fillId="3" borderId="25" xfId="0" applyFont="1" applyFill="1" applyBorder="1"/>
    <xf numFmtId="0" fontId="2" fillId="3" borderId="26" xfId="0" applyFont="1" applyFill="1" applyBorder="1"/>
    <xf numFmtId="0" fontId="0" fillId="3" borderId="26" xfId="0" applyFill="1" applyBorder="1"/>
    <xf numFmtId="0" fontId="0" fillId="3" borderId="27" xfId="0" applyFill="1" applyBorder="1"/>
    <xf numFmtId="216" fontId="2" fillId="3" borderId="28" xfId="0" applyNumberFormat="1" applyFont="1" applyFill="1" applyBorder="1"/>
    <xf numFmtId="0" fontId="0" fillId="3" borderId="29" xfId="0" applyFill="1" applyBorder="1"/>
    <xf numFmtId="0" fontId="0" fillId="3" borderId="30" xfId="0" applyFill="1" applyBorder="1"/>
    <xf numFmtId="0" fontId="39" fillId="3" borderId="30" xfId="0" applyFont="1" applyFill="1" applyBorder="1"/>
    <xf numFmtId="0" fontId="39" fillId="3" borderId="31" xfId="0" applyFont="1" applyFill="1" applyBorder="1"/>
    <xf numFmtId="38" fontId="2" fillId="0" borderId="7" xfId="0" applyNumberFormat="1" applyFont="1" applyFill="1" applyBorder="1"/>
    <xf numFmtId="38" fontId="2" fillId="0" borderId="32" xfId="0" applyNumberFormat="1" applyFont="1" applyFill="1" applyBorder="1"/>
    <xf numFmtId="213" fontId="2" fillId="9" borderId="14" xfId="2" applyNumberFormat="1" applyFont="1" applyFill="1" applyBorder="1"/>
    <xf numFmtId="3" fontId="43" fillId="0" borderId="0" xfId="3" applyNumberFormat="1" applyFont="1" applyAlignment="1">
      <alignment horizontal="center"/>
    </xf>
    <xf numFmtId="0" fontId="9" fillId="0" borderId="15" xfId="0" applyFont="1" applyFill="1" applyBorder="1" applyAlignment="1">
      <alignment horizontal="center"/>
    </xf>
    <xf numFmtId="3" fontId="15" fillId="0" borderId="12" xfId="3" applyNumberFormat="1" applyFont="1" applyBorder="1" applyAlignment="1">
      <alignment horizontal="center"/>
    </xf>
    <xf numFmtId="3" fontId="44" fillId="0" borderId="0" xfId="3" applyNumberFormat="1" applyFont="1" applyAlignment="1">
      <alignment horizontal="center"/>
    </xf>
    <xf numFmtId="0" fontId="0" fillId="0" borderId="0" xfId="0" applyAlignment="1">
      <alignment horizontal="right"/>
    </xf>
    <xf numFmtId="3" fontId="45" fillId="10" borderId="1" xfId="3" applyNumberFormat="1" applyFont="1" applyFill="1" applyBorder="1" applyAlignment="1">
      <alignment horizontal="center"/>
    </xf>
    <xf numFmtId="3" fontId="45" fillId="10" borderId="11" xfId="3" applyNumberFormat="1" applyFont="1" applyFill="1" applyBorder="1" applyAlignment="1">
      <alignment horizontal="center"/>
    </xf>
    <xf numFmtId="3" fontId="46" fillId="10" borderId="11" xfId="3" applyNumberFormat="1" applyFont="1" applyFill="1" applyBorder="1" applyAlignment="1">
      <alignment horizontal="center"/>
    </xf>
    <xf numFmtId="3" fontId="13" fillId="0" borderId="10" xfId="3" applyNumberFormat="1" applyFont="1" applyFill="1" applyBorder="1" applyAlignment="1">
      <alignment horizontal="center" vertical="center"/>
    </xf>
    <xf numFmtId="3" fontId="13" fillId="0" borderId="0" xfId="3" applyNumberFormat="1" applyFont="1" applyFill="1" applyAlignment="1">
      <alignment horizontal="center" vertical="center"/>
    </xf>
    <xf numFmtId="38" fontId="15" fillId="0" borderId="0" xfId="3" applyNumberFormat="1"/>
    <xf numFmtId="3" fontId="33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2" fillId="0" borderId="0" xfId="0" applyFont="1"/>
    <xf numFmtId="217" fontId="9" fillId="2" borderId="0" xfId="3" quotePrefix="1" applyNumberFormat="1" applyFont="1" applyFill="1" applyAlignment="1">
      <alignment vertical="center"/>
    </xf>
    <xf numFmtId="217" fontId="24" fillId="2" borderId="0" xfId="3" quotePrefix="1" applyNumberFormat="1" applyFont="1" applyFill="1" applyAlignment="1">
      <alignment horizontal="centerContinuous" vertical="center"/>
    </xf>
    <xf numFmtId="3" fontId="13" fillId="11" borderId="8" xfId="3" applyNumberFormat="1" applyFont="1" applyFill="1" applyBorder="1" applyAlignment="1">
      <alignment vertical="center"/>
    </xf>
    <xf numFmtId="3" fontId="9" fillId="11" borderId="10" xfId="3" applyNumberFormat="1" applyFont="1" applyFill="1" applyBorder="1" applyAlignment="1">
      <alignment horizontal="center" vertical="center"/>
    </xf>
    <xf numFmtId="0" fontId="9" fillId="11" borderId="10" xfId="3" applyNumberFormat="1" applyFont="1" applyFill="1" applyBorder="1" applyAlignment="1">
      <alignment horizontal="centerContinuous" vertical="center"/>
    </xf>
    <xf numFmtId="3" fontId="9" fillId="11" borderId="8" xfId="3" applyNumberFormat="1" applyFont="1" applyFill="1" applyBorder="1" applyAlignment="1">
      <alignment vertical="center"/>
    </xf>
    <xf numFmtId="3" fontId="9" fillId="11" borderId="10" xfId="3" applyNumberFormat="1" applyFont="1" applyFill="1" applyBorder="1" applyAlignment="1">
      <alignment vertical="center"/>
    </xf>
    <xf numFmtId="1" fontId="19" fillId="0" borderId="0" xfId="0" applyNumberFormat="1" applyFont="1" applyFill="1" applyBorder="1" applyAlignment="1">
      <alignment horizontal="center"/>
    </xf>
    <xf numFmtId="202" fontId="0" fillId="0" borderId="0" xfId="0" applyNumberFormat="1"/>
    <xf numFmtId="3" fontId="2" fillId="0" borderId="0" xfId="0" applyNumberFormat="1" applyFont="1"/>
    <xf numFmtId="191" fontId="2" fillId="0" borderId="0" xfId="0" applyNumberFormat="1" applyFont="1"/>
    <xf numFmtId="0" fontId="34" fillId="0" borderId="0" xfId="0" applyFont="1" applyAlignment="1">
      <alignment horizontal="center"/>
    </xf>
    <xf numFmtId="0" fontId="34" fillId="0" borderId="7" xfId="0" applyFont="1" applyBorder="1" applyAlignment="1">
      <alignment horizontal="center"/>
    </xf>
    <xf numFmtId="0" fontId="0" fillId="0" borderId="7" xfId="0" applyBorder="1"/>
    <xf numFmtId="202" fontId="0" fillId="6" borderId="7" xfId="0" applyNumberFormat="1" applyFill="1" applyBorder="1"/>
    <xf numFmtId="202" fontId="0" fillId="0" borderId="7" xfId="0" applyNumberFormat="1" applyBorder="1"/>
    <xf numFmtId="3" fontId="0" fillId="6" borderId="7" xfId="0" applyNumberFormat="1" applyFill="1" applyBorder="1"/>
    <xf numFmtId="10" fontId="0" fillId="6" borderId="7" xfId="0" applyNumberFormat="1" applyFill="1" applyBorder="1"/>
    <xf numFmtId="0" fontId="0" fillId="6" borderId="7" xfId="0" applyFill="1" applyBorder="1"/>
    <xf numFmtId="3" fontId="0" fillId="0" borderId="7" xfId="0" applyNumberFormat="1" applyBorder="1"/>
    <xf numFmtId="191" fontId="0" fillId="6" borderId="7" xfId="0" applyNumberFormat="1" applyFill="1" applyBorder="1"/>
    <xf numFmtId="192" fontId="47" fillId="0" borderId="33" xfId="0" applyNumberFormat="1" applyFont="1" applyBorder="1"/>
    <xf numFmtId="38" fontId="0" fillId="6" borderId="0" xfId="2" applyNumberFormat="1" applyFont="1" applyFill="1" applyAlignment="1"/>
    <xf numFmtId="0" fontId="0" fillId="6" borderId="2" xfId="0" applyFill="1" applyBorder="1"/>
    <xf numFmtId="192" fontId="0" fillId="0" borderId="0" xfId="0" applyNumberFormat="1"/>
    <xf numFmtId="192" fontId="47" fillId="0" borderId="0" xfId="0" applyNumberFormat="1" applyFont="1"/>
    <xf numFmtId="0" fontId="17" fillId="0" borderId="0" xfId="3" applyNumberFormat="1" applyFont="1" applyFill="1" applyBorder="1" applyAlignment="1">
      <alignment horizontal="centerContinuous" vertical="center"/>
    </xf>
    <xf numFmtId="9" fontId="35" fillId="2" borderId="0" xfId="3" applyNumberFormat="1" applyFont="1" applyFill="1" applyAlignment="1">
      <alignment horizontal="center" vertical="center"/>
    </xf>
    <xf numFmtId="0" fontId="35" fillId="2" borderId="9" xfId="3" applyNumberFormat="1" applyFont="1" applyFill="1" applyBorder="1" applyAlignment="1">
      <alignment horizontal="centerContinuous" vertical="center"/>
    </xf>
    <xf numFmtId="3" fontId="35" fillId="2" borderId="9" xfId="3" applyNumberFormat="1" applyFont="1" applyFill="1" applyBorder="1" applyAlignment="1">
      <alignment horizontal="center" vertical="center"/>
    </xf>
    <xf numFmtId="3" fontId="13" fillId="0" borderId="0" xfId="3" applyNumberFormat="1" applyFont="1" applyFill="1" applyBorder="1" applyAlignment="1">
      <alignment horizontal="center" vertical="center"/>
    </xf>
    <xf numFmtId="0" fontId="48" fillId="12" borderId="0" xfId="0" applyFont="1" applyFill="1"/>
    <xf numFmtId="165" fontId="3" fillId="2" borderId="0" xfId="1" applyNumberFormat="1" applyFont="1" applyFill="1"/>
    <xf numFmtId="0" fontId="32" fillId="0" borderId="3" xfId="0" applyFont="1" applyBorder="1"/>
    <xf numFmtId="0" fontId="32" fillId="0" borderId="6" xfId="0" applyFont="1" applyBorder="1"/>
    <xf numFmtId="0" fontId="0" fillId="0" borderId="24" xfId="0" applyBorder="1"/>
    <xf numFmtId="44" fontId="32" fillId="0" borderId="0" xfId="2" applyFont="1" applyAlignment="1">
      <alignment horizontal="center"/>
    </xf>
    <xf numFmtId="0" fontId="32" fillId="0" borderId="0" xfId="0" applyFont="1" applyAlignment="1">
      <alignment horizontal="center"/>
    </xf>
    <xf numFmtId="38" fontId="2" fillId="6" borderId="0" xfId="2" applyNumberFormat="1" applyFont="1" applyFill="1" applyAlignment="1"/>
    <xf numFmtId="0" fontId="47" fillId="2" borderId="0" xfId="0" applyFont="1" applyFill="1" applyAlignment="1">
      <alignment horizontal="right"/>
    </xf>
    <xf numFmtId="167" fontId="6" fillId="2" borderId="7" xfId="2" applyNumberFormat="1" applyFont="1" applyFill="1" applyBorder="1" applyAlignment="1">
      <alignment horizontal="center"/>
    </xf>
    <xf numFmtId="167" fontId="40" fillId="13" borderId="7" xfId="2" applyNumberFormat="1" applyFont="1" applyFill="1" applyBorder="1" applyAlignment="1">
      <alignment horizontal="center"/>
    </xf>
    <xf numFmtId="16" fontId="47" fillId="0" borderId="0" xfId="0" applyNumberFormat="1" applyFont="1" applyFill="1" applyBorder="1" applyAlignment="1">
      <alignment horizontal="left"/>
    </xf>
    <xf numFmtId="167" fontId="3" fillId="6" borderId="0" xfId="2" applyNumberFormat="1" applyFont="1" applyFill="1"/>
    <xf numFmtId="170" fontId="3" fillId="6" borderId="0" xfId="5" applyNumberFormat="1" applyFont="1" applyFill="1"/>
    <xf numFmtId="0" fontId="19" fillId="0" borderId="7" xfId="0" applyFont="1" applyFill="1" applyBorder="1" applyAlignment="1"/>
    <xf numFmtId="192" fontId="20" fillId="0" borderId="7" xfId="4" applyNumberFormat="1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0" fillId="0" borderId="7" xfId="0" applyFill="1" applyBorder="1"/>
    <xf numFmtId="0" fontId="19" fillId="0" borderId="7" xfId="0" applyFont="1" applyFill="1" applyBorder="1"/>
    <xf numFmtId="192" fontId="49" fillId="0" borderId="7" xfId="4" applyNumberFormat="1" applyFont="1" applyFill="1" applyBorder="1" applyAlignment="1">
      <alignment horizontal="center"/>
    </xf>
    <xf numFmtId="16" fontId="47" fillId="2" borderId="1" xfId="0" applyNumberFormat="1" applyFont="1" applyFill="1" applyBorder="1" applyAlignment="1">
      <alignment horizontal="center"/>
    </xf>
    <xf numFmtId="167" fontId="47" fillId="2" borderId="33" xfId="0" applyNumberFormat="1" applyFont="1" applyFill="1" applyBorder="1"/>
    <xf numFmtId="167" fontId="10" fillId="2" borderId="0" xfId="0" quotePrefix="1" applyNumberFormat="1" applyFont="1" applyFill="1" applyAlignment="1">
      <alignment horizontal="left"/>
    </xf>
    <xf numFmtId="17" fontId="10" fillId="2" borderId="0" xfId="0" quotePrefix="1" applyNumberFormat="1" applyFont="1" applyFill="1" applyAlignment="1">
      <alignment horizontal="center"/>
    </xf>
    <xf numFmtId="192" fontId="20" fillId="6" borderId="7" xfId="4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0" fillId="0" borderId="4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3" fontId="50" fillId="0" borderId="0" xfId="0" applyNumberFormat="1" applyFont="1" applyFill="1" applyBorder="1" applyAlignment="1">
      <alignment horizontal="center"/>
    </xf>
    <xf numFmtId="1" fontId="50" fillId="0" borderId="0" xfId="0" applyNumberFormat="1" applyFont="1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center"/>
    </xf>
    <xf numFmtId="0" fontId="50" fillId="0" borderId="0" xfId="0" applyFont="1" applyBorder="1" applyAlignment="1"/>
    <xf numFmtId="189" fontId="50" fillId="0" borderId="0" xfId="1" applyNumberFormat="1" applyFont="1" applyBorder="1" applyAlignment="1">
      <alignment horizontal="center"/>
    </xf>
    <xf numFmtId="200" fontId="50" fillId="0" borderId="0" xfId="1" applyNumberFormat="1" applyFont="1" applyBorder="1" applyAlignment="1">
      <alignment horizontal="center"/>
    </xf>
    <xf numFmtId="3" fontId="50" fillId="0" borderId="0" xfId="0" applyNumberFormat="1" applyFont="1" applyFill="1" applyBorder="1"/>
    <xf numFmtId="184" fontId="50" fillId="0" borderId="0" xfId="0" applyNumberFormat="1" applyFont="1" applyFill="1" applyBorder="1" applyAlignment="1">
      <alignment horizontal="center"/>
    </xf>
    <xf numFmtId="0" fontId="51" fillId="0" borderId="0" xfId="0" applyFont="1"/>
    <xf numFmtId="0" fontId="50" fillId="0" borderId="0" xfId="0" applyFont="1" applyBorder="1"/>
    <xf numFmtId="200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2" fillId="0" borderId="4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12" fillId="0" borderId="22" xfId="0" applyFont="1" applyBorder="1" applyAlignment="1">
      <alignment horizontal="center"/>
    </xf>
    <xf numFmtId="0" fontId="33" fillId="2" borderId="22" xfId="0" applyFont="1" applyFill="1" applyBorder="1" applyAlignment="1">
      <alignment horizontal="center"/>
    </xf>
    <xf numFmtId="3" fontId="53" fillId="0" borderId="22" xfId="0" applyNumberFormat="1" applyFont="1" applyBorder="1" applyAlignment="1">
      <alignment horizontal="center"/>
    </xf>
    <xf numFmtId="3" fontId="53" fillId="0" borderId="1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0" fontId="19" fillId="0" borderId="0" xfId="0" quotePrefix="1" applyFont="1" applyFill="1" applyBorder="1" applyAlignment="1">
      <alignment horizontal="center"/>
    </xf>
    <xf numFmtId="0" fontId="17" fillId="6" borderId="0" xfId="0" applyFont="1" applyFill="1" applyAlignment="1"/>
    <xf numFmtId="0" fontId="19" fillId="6" borderId="0" xfId="0" applyFont="1" applyFill="1" applyBorder="1" applyAlignment="1">
      <alignment horizontal="center"/>
    </xf>
    <xf numFmtId="0" fontId="50" fillId="6" borderId="0" xfId="0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/>
    </xf>
    <xf numFmtId="0" fontId="19" fillId="6" borderId="0" xfId="0" applyNumberFormat="1" applyFont="1" applyFill="1" applyBorder="1" applyAlignment="1">
      <alignment horizontal="center"/>
    </xf>
    <xf numFmtId="3" fontId="19" fillId="6" borderId="0" xfId="0" applyNumberFormat="1" applyFont="1" applyFill="1" applyBorder="1" applyAlignment="1">
      <alignment horizontal="center"/>
    </xf>
    <xf numFmtId="196" fontId="19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0" xfId="0" applyNumberFormat="1" applyFont="1" applyFill="1" applyBorder="1" applyAlignment="1">
      <alignment horizontal="center"/>
    </xf>
    <xf numFmtId="191" fontId="54" fillId="6" borderId="0" xfId="4" applyNumberFormat="1" applyFont="1" applyFill="1" applyAlignment="1"/>
    <xf numFmtId="0" fontId="7" fillId="6" borderId="0" xfId="0" applyNumberFormat="1" applyFont="1" applyFill="1" applyBorder="1" applyAlignment="1">
      <alignment horizontal="left"/>
    </xf>
    <xf numFmtId="0" fontId="32" fillId="6" borderId="0" xfId="0" applyFont="1" applyFill="1" applyAlignment="1">
      <alignment horizontal="center"/>
    </xf>
    <xf numFmtId="0" fontId="19" fillId="6" borderId="7" xfId="0" applyFont="1" applyFill="1" applyBorder="1" applyAlignment="1">
      <alignment horizontal="center"/>
    </xf>
    <xf numFmtId="191" fontId="7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/>
    <xf numFmtId="191" fontId="49" fillId="0" borderId="0" xfId="4" applyNumberFormat="1" applyFont="1" applyAlignment="1"/>
    <xf numFmtId="0" fontId="0" fillId="6" borderId="0" xfId="0" applyFont="1" applyFill="1" applyBorder="1" applyAlignment="1"/>
    <xf numFmtId="0" fontId="19" fillId="6" borderId="0" xfId="0" applyFont="1" applyFill="1" applyBorder="1" applyAlignment="1"/>
    <xf numFmtId="0" fontId="50" fillId="6" borderId="0" xfId="0" applyFont="1" applyFill="1" applyBorder="1" applyAlignment="1"/>
    <xf numFmtId="0" fontId="19" fillId="6" borderId="7" xfId="0" applyFont="1" applyFill="1" applyBorder="1" applyAlignment="1"/>
    <xf numFmtId="3" fontId="0" fillId="6" borderId="0" xfId="0" applyNumberFormat="1" applyFill="1" applyBorder="1" applyAlignment="1"/>
    <xf numFmtId="0" fontId="7" fillId="6" borderId="0" xfId="0" applyFont="1" applyFill="1" applyBorder="1" applyAlignment="1">
      <alignment horizontal="left"/>
    </xf>
    <xf numFmtId="0" fontId="17" fillId="6" borderId="0" xfId="0" applyNumberFormat="1" applyFont="1" applyFill="1" applyBorder="1" applyAlignment="1"/>
    <xf numFmtId="189" fontId="19" fillId="6" borderId="0" xfId="1" applyNumberFormat="1" applyFont="1" applyFill="1" applyBorder="1" applyAlignment="1">
      <alignment horizontal="center"/>
    </xf>
    <xf numFmtId="189" fontId="50" fillId="6" borderId="0" xfId="1" applyNumberFormat="1" applyFont="1" applyFill="1" applyBorder="1" applyAlignment="1">
      <alignment horizontal="center"/>
    </xf>
    <xf numFmtId="0" fontId="0" fillId="6" borderId="0" xfId="0" applyNumberFormat="1" applyFont="1" applyFill="1" applyBorder="1" applyAlignment="1"/>
    <xf numFmtId="192" fontId="20" fillId="0" borderId="0" xfId="4" applyNumberFormat="1" applyFont="1" applyFill="1" applyBorder="1" applyAlignment="1">
      <alignment horizontal="center"/>
    </xf>
    <xf numFmtId="184" fontId="19" fillId="6" borderId="0" xfId="0" applyNumberFormat="1" applyFont="1" applyFill="1" applyBorder="1" applyAlignment="1">
      <alignment horizontal="center"/>
    </xf>
    <xf numFmtId="0" fontId="50" fillId="6" borderId="0" xfId="0" applyFont="1" applyFill="1"/>
    <xf numFmtId="0" fontId="19" fillId="6" borderId="0" xfId="0" applyFont="1" applyFill="1"/>
    <xf numFmtId="192" fontId="20" fillId="6" borderId="0" xfId="4" applyNumberFormat="1" applyFont="1" applyFill="1" applyBorder="1" applyAlignment="1">
      <alignment horizontal="center"/>
    </xf>
    <xf numFmtId="0" fontId="0" fillId="6" borderId="0" xfId="0" applyFill="1" applyBorder="1"/>
    <xf numFmtId="0" fontId="7" fillId="6" borderId="0" xfId="0" applyFont="1" applyFill="1"/>
    <xf numFmtId="0" fontId="55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3" fontId="55" fillId="0" borderId="0" xfId="0" applyNumberFormat="1" applyFont="1" applyBorder="1" applyAlignment="1">
      <alignment horizontal="center"/>
    </xf>
    <xf numFmtId="196" fontId="55" fillId="0" borderId="0" xfId="0" applyNumberFormat="1" applyFont="1" applyBorder="1" applyAlignment="1">
      <alignment horizontal="center"/>
    </xf>
    <xf numFmtId="191" fontId="58" fillId="0" borderId="0" xfId="4" applyNumberFormat="1" applyFont="1" applyAlignment="1"/>
    <xf numFmtId="0" fontId="55" fillId="0" borderId="0" xfId="0" applyFont="1"/>
    <xf numFmtId="0" fontId="56" fillId="0" borderId="0" xfId="0" applyFont="1"/>
    <xf numFmtId="14" fontId="55" fillId="0" borderId="0" xfId="0" applyNumberFormat="1" applyFont="1" applyAlignment="1">
      <alignment horizontal="center"/>
    </xf>
    <xf numFmtId="192" fontId="59" fillId="0" borderId="7" xfId="4" applyNumberFormat="1" applyFont="1" applyFill="1" applyBorder="1" applyAlignment="1">
      <alignment horizontal="center"/>
    </xf>
    <xf numFmtId="3" fontId="15" fillId="6" borderId="0" xfId="3" applyNumberFormat="1" applyFill="1"/>
    <xf numFmtId="3" fontId="15" fillId="6" borderId="0" xfId="3" applyNumberFormat="1" applyFont="1" applyFill="1"/>
    <xf numFmtId="3" fontId="9" fillId="2" borderId="0" xfId="3" applyNumberFormat="1" applyFont="1" applyFill="1" applyAlignment="1">
      <alignment horizontal="center" vertical="center"/>
    </xf>
    <xf numFmtId="3" fontId="9" fillId="2" borderId="10" xfId="3" applyNumberFormat="1" applyFont="1" applyFill="1" applyBorder="1" applyAlignment="1">
      <alignment horizontal="center" vertical="center"/>
    </xf>
    <xf numFmtId="216" fontId="2" fillId="0" borderId="0" xfId="0" applyNumberFormat="1" applyFont="1" applyAlignment="1">
      <alignment horizontal="center"/>
    </xf>
    <xf numFmtId="17" fontId="0" fillId="2" borderId="0" xfId="0" applyNumberFormat="1" applyFill="1"/>
    <xf numFmtId="0" fontId="47" fillId="2" borderId="11" xfId="0" applyFont="1" applyFill="1" applyBorder="1" applyAlignment="1">
      <alignment horizontal="center"/>
    </xf>
    <xf numFmtId="0" fontId="2" fillId="0" borderId="11" xfId="0" applyFont="1" applyBorder="1"/>
    <xf numFmtId="0" fontId="7" fillId="6" borderId="1" xfId="0" applyFont="1" applyFill="1" applyBorder="1"/>
    <xf numFmtId="0" fontId="12" fillId="6" borderId="14" xfId="0" applyFont="1" applyFill="1" applyBorder="1"/>
    <xf numFmtId="0" fontId="0" fillId="6" borderId="14" xfId="0" applyFill="1" applyBorder="1"/>
    <xf numFmtId="0" fontId="2" fillId="7" borderId="3" xfId="0" applyFont="1" applyFill="1" applyBorder="1"/>
    <xf numFmtId="0" fontId="2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14" borderId="3" xfId="0" applyFont="1" applyFill="1" applyBorder="1"/>
    <xf numFmtId="0" fontId="5" fillId="14" borderId="4" xfId="0" applyFont="1" applyFill="1" applyBorder="1" applyAlignment="1">
      <alignment horizontal="left"/>
    </xf>
    <xf numFmtId="0" fontId="2" fillId="15" borderId="3" xfId="0" applyFont="1" applyFill="1" applyBorder="1"/>
    <xf numFmtId="0" fontId="0" fillId="15" borderId="4" xfId="0" applyFill="1" applyBorder="1"/>
    <xf numFmtId="0" fontId="2" fillId="9" borderId="3" xfId="0" applyFont="1" applyFill="1" applyBorder="1"/>
    <xf numFmtId="0" fontId="0" fillId="9" borderId="4" xfId="0" applyFill="1" applyBorder="1"/>
    <xf numFmtId="165" fontId="1" fillId="2" borderId="0" xfId="1" applyNumberFormat="1" applyFill="1"/>
    <xf numFmtId="9" fontId="1" fillId="2" borderId="0" xfId="5" applyFill="1"/>
    <xf numFmtId="0" fontId="3" fillId="2" borderId="0" xfId="0" applyFont="1" applyFill="1"/>
    <xf numFmtId="43" fontId="2" fillId="2" borderId="0" xfId="0" applyNumberFormat="1" applyFont="1" applyFill="1" applyAlignment="1">
      <alignment horizontal="right" wrapText="1"/>
    </xf>
    <xf numFmtId="167" fontId="60" fillId="2" borderId="0" xfId="2" applyNumberFormat="1" applyFont="1" applyFill="1"/>
    <xf numFmtId="10" fontId="60" fillId="2" borderId="0" xfId="5" applyNumberFormat="1" applyFont="1" applyFill="1"/>
    <xf numFmtId="165" fontId="5" fillId="2" borderId="0" xfId="1" applyNumberFormat="1" applyFont="1" applyFill="1" applyAlignment="1">
      <alignment horizontal="right" wrapText="1"/>
    </xf>
    <xf numFmtId="0" fontId="8" fillId="2" borderId="0" xfId="0" applyFont="1" applyFill="1"/>
    <xf numFmtId="0" fontId="5" fillId="2" borderId="0" xfId="0" applyFont="1" applyFill="1"/>
    <xf numFmtId="0" fontId="2" fillId="2" borderId="3" xfId="0" applyFont="1" applyFill="1" applyBorder="1"/>
    <xf numFmtId="0" fontId="0" fillId="2" borderId="4" xfId="0" applyFill="1" applyBorder="1"/>
    <xf numFmtId="165" fontId="2" fillId="2" borderId="3" xfId="1" applyNumberFormat="1" applyFont="1" applyFill="1" applyBorder="1"/>
    <xf numFmtId="0" fontId="0" fillId="2" borderId="15" xfId="0" applyFill="1" applyBorder="1"/>
    <xf numFmtId="165" fontId="2" fillId="5" borderId="22" xfId="1" applyNumberFormat="1" applyFont="1" applyFill="1" applyBorder="1"/>
    <xf numFmtId="165" fontId="2" fillId="2" borderId="22" xfId="1" applyNumberFormat="1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2" borderId="13" xfId="0" applyFill="1" applyBorder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2" borderId="24" xfId="0" applyFont="1" applyFill="1" applyBorder="1" applyAlignment="1">
      <alignment horizontal="right" wrapText="1"/>
    </xf>
    <xf numFmtId="0" fontId="2" fillId="5" borderId="34" xfId="0" applyFont="1" applyFill="1" applyBorder="1" applyAlignment="1">
      <alignment horizontal="right" wrapText="1"/>
    </xf>
    <xf numFmtId="0" fontId="2" fillId="2" borderId="34" xfId="0" applyFont="1" applyFill="1" applyBorder="1" applyAlignment="1">
      <alignment horizontal="right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15" xfId="0" applyFont="1" applyFill="1" applyBorder="1"/>
    <xf numFmtId="0" fontId="5" fillId="5" borderId="22" xfId="0" applyFont="1" applyFill="1" applyBorder="1"/>
    <xf numFmtId="0" fontId="5" fillId="2" borderId="22" xfId="0" applyFont="1" applyFill="1" applyBorder="1"/>
    <xf numFmtId="165" fontId="3" fillId="2" borderId="0" xfId="1" applyNumberFormat="1" applyFont="1" applyFill="1" applyBorder="1" applyAlignment="1">
      <alignment horizontal="center"/>
    </xf>
    <xf numFmtId="165" fontId="1" fillId="2" borderId="0" xfId="1" applyNumberFormat="1" applyFill="1" applyBorder="1" applyAlignment="1">
      <alignment horizontal="center"/>
    </xf>
    <xf numFmtId="165" fontId="3" fillId="2" borderId="11" xfId="1" applyNumberFormat="1" applyFont="1" applyFill="1" applyBorder="1" applyAlignment="1">
      <alignment horizontal="center"/>
    </xf>
    <xf numFmtId="9" fontId="5" fillId="2" borderId="12" xfId="5" applyFont="1" applyFill="1" applyBorder="1" applyAlignment="1">
      <alignment horizontal="right"/>
    </xf>
    <xf numFmtId="165" fontId="3" fillId="5" borderId="13" xfId="1" applyNumberFormat="1" applyFont="1" applyFill="1" applyBorder="1" applyAlignment="1">
      <alignment horizontal="center"/>
    </xf>
    <xf numFmtId="165" fontId="5" fillId="2" borderId="13" xfId="1" applyNumberFormat="1" applyFont="1" applyFill="1" applyBorder="1" applyAlignment="1">
      <alignment horizontal="center"/>
    </xf>
    <xf numFmtId="165" fontId="1" fillId="2" borderId="11" xfId="1" applyNumberFormat="1" applyFill="1" applyBorder="1"/>
    <xf numFmtId="165" fontId="1" fillId="5" borderId="13" xfId="1" applyNumberFormat="1" applyFill="1" applyBorder="1"/>
    <xf numFmtId="165" fontId="1" fillId="2" borderId="13" xfId="1" applyNumberFormat="1" applyFill="1" applyBorder="1"/>
    <xf numFmtId="0" fontId="0" fillId="2" borderId="5" xfId="0" applyFill="1" applyBorder="1"/>
    <xf numFmtId="165" fontId="3" fillId="2" borderId="6" xfId="1" applyNumberFormat="1" applyFont="1" applyFill="1" applyBorder="1" applyAlignment="1">
      <alignment horizontal="center"/>
    </xf>
    <xf numFmtId="165" fontId="1" fillId="2" borderId="6" xfId="1" applyNumberFormat="1" applyFill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9" fontId="5" fillId="2" borderId="24" xfId="5" applyFont="1" applyFill="1" applyBorder="1" applyAlignment="1">
      <alignment horizontal="right"/>
    </xf>
    <xf numFmtId="165" fontId="3" fillId="5" borderId="34" xfId="1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165" fontId="5" fillId="2" borderId="4" xfId="1" applyNumberFormat="1" applyFont="1" applyFill="1" applyBorder="1" applyAlignment="1">
      <alignment horizontal="center"/>
    </xf>
    <xf numFmtId="43" fontId="1" fillId="2" borderId="4" xfId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165" fontId="5" fillId="2" borderId="15" xfId="1" applyNumberFormat="1" applyFont="1" applyFill="1" applyBorder="1" applyAlignment="1">
      <alignment horizontal="center"/>
    </xf>
    <xf numFmtId="165" fontId="5" fillId="5" borderId="22" xfId="1" applyNumberFormat="1" applyFont="1" applyFill="1" applyBorder="1" applyAlignment="1">
      <alignment horizontal="center"/>
    </xf>
    <xf numFmtId="165" fontId="5" fillId="2" borderId="22" xfId="1" applyNumberFormat="1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24" xfId="0" applyNumberFormat="1" applyFill="1" applyBorder="1" applyAlignment="1">
      <alignment horizontal="center"/>
    </xf>
    <xf numFmtId="165" fontId="0" fillId="5" borderId="34" xfId="0" applyNumberFormat="1" applyFill="1" applyBorder="1" applyAlignment="1">
      <alignment horizontal="center"/>
    </xf>
    <xf numFmtId="165" fontId="0" fillId="2" borderId="34" xfId="0" applyNumberFormat="1" applyFill="1" applyBorder="1" applyAlignment="1">
      <alignment horizontal="center"/>
    </xf>
    <xf numFmtId="167" fontId="1" fillId="2" borderId="0" xfId="2" applyNumberFormat="1" applyFont="1" applyFill="1"/>
    <xf numFmtId="0" fontId="2" fillId="4" borderId="1" xfId="0" applyFont="1" applyFill="1" applyBorder="1"/>
    <xf numFmtId="9" fontId="1" fillId="4" borderId="14" xfId="5" applyFill="1" applyBorder="1"/>
    <xf numFmtId="167" fontId="2" fillId="4" borderId="35" xfId="2" applyNumberFormat="1" applyFont="1" applyFill="1" applyBorder="1"/>
    <xf numFmtId="17" fontId="7" fillId="2" borderId="0" xfId="0" applyNumberFormat="1" applyFont="1" applyFill="1"/>
    <xf numFmtId="167" fontId="2" fillId="4" borderId="35" xfId="0" applyNumberFormat="1" applyFont="1" applyFill="1" applyBorder="1" applyAlignment="1">
      <alignment horizontal="center"/>
    </xf>
    <xf numFmtId="7" fontId="0" fillId="0" borderId="4" xfId="0" applyNumberFormat="1" applyBorder="1" applyAlignment="1">
      <alignment horizontal="center"/>
    </xf>
    <xf numFmtId="38" fontId="8" fillId="0" borderId="2" xfId="0" applyNumberFormat="1" applyFont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38" fontId="3" fillId="0" borderId="22" xfId="1" applyNumberFormat="1" applyFont="1" applyBorder="1" applyAlignment="1">
      <alignment horizontal="center"/>
    </xf>
    <xf numFmtId="38" fontId="3" fillId="0" borderId="13" xfId="1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11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3" xfId="0" applyNumberFormat="1" applyFont="1" applyBorder="1" applyAlignment="1">
      <alignment horizontal="center"/>
    </xf>
    <xf numFmtId="38" fontId="8" fillId="6" borderId="5" xfId="0" applyNumberFormat="1" applyFont="1" applyFill="1" applyBorder="1" applyAlignment="1">
      <alignment horizontal="center"/>
    </xf>
    <xf numFmtId="38" fontId="8" fillId="6" borderId="7" xfId="0" applyNumberFormat="1" applyFont="1" applyFill="1" applyBorder="1" applyAlignment="1">
      <alignment horizontal="center"/>
    </xf>
    <xf numFmtId="165" fontId="2" fillId="4" borderId="14" xfId="1" applyNumberFormat="1" applyFont="1" applyFill="1" applyBorder="1"/>
    <xf numFmtId="170" fontId="32" fillId="2" borderId="0" xfId="5" applyNumberFormat="1" applyFont="1" applyFill="1"/>
    <xf numFmtId="167" fontId="32" fillId="2" borderId="0" xfId="2" applyNumberFormat="1" applyFont="1" applyFill="1"/>
    <xf numFmtId="165" fontId="0" fillId="0" borderId="7" xfId="0" applyNumberFormat="1" applyBorder="1"/>
    <xf numFmtId="0" fontId="2" fillId="2" borderId="1" xfId="0" applyFont="1" applyFill="1" applyBorder="1"/>
    <xf numFmtId="0" fontId="0" fillId="0" borderId="14" xfId="0" applyBorder="1"/>
    <xf numFmtId="17" fontId="2" fillId="0" borderId="1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3" fontId="13" fillId="0" borderId="36" xfId="3" applyNumberFormat="1" applyFont="1" applyBorder="1" applyAlignment="1">
      <alignment vertical="center"/>
    </xf>
    <xf numFmtId="3" fontId="13" fillId="0" borderId="37" xfId="3" applyNumberFormat="1" applyFont="1" applyBorder="1" applyAlignment="1">
      <alignment vertical="center"/>
    </xf>
    <xf numFmtId="3" fontId="15" fillId="0" borderId="37" xfId="3" applyNumberFormat="1" applyBorder="1"/>
    <xf numFmtId="3" fontId="13" fillId="2" borderId="38" xfId="3" applyNumberFormat="1" applyFont="1" applyFill="1" applyBorder="1" applyAlignment="1">
      <alignment vertical="center"/>
    </xf>
    <xf numFmtId="3" fontId="13" fillId="2" borderId="39" xfId="3" applyNumberFormat="1" applyFont="1" applyFill="1" applyBorder="1" applyAlignment="1">
      <alignment vertical="center"/>
    </xf>
    <xf numFmtId="0" fontId="13" fillId="2" borderId="39" xfId="3" applyNumberFormat="1" applyFont="1" applyFill="1" applyBorder="1" applyAlignment="1">
      <alignment horizontal="centerContinuous" vertical="center"/>
    </xf>
    <xf numFmtId="3" fontId="15" fillId="0" borderId="39" xfId="3" applyNumberFormat="1" applyBorder="1"/>
    <xf numFmtId="0" fontId="32" fillId="2" borderId="0" xfId="0" applyFont="1" applyFill="1"/>
    <xf numFmtId="3" fontId="6" fillId="0" borderId="0" xfId="0" applyNumberFormat="1" applyFont="1"/>
    <xf numFmtId="38" fontId="8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38" fontId="2" fillId="0" borderId="0" xfId="0" applyNumberFormat="1" applyFont="1" applyFill="1" applyBorder="1"/>
    <xf numFmtId="38" fontId="5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39" fillId="0" borderId="0" xfId="0" applyFont="1" applyFill="1" applyBorder="1"/>
    <xf numFmtId="165" fontId="5" fillId="2" borderId="0" xfId="1" applyNumberFormat="1" applyFont="1" applyFill="1" applyBorder="1"/>
    <xf numFmtId="165" fontId="2" fillId="2" borderId="14" xfId="0" applyNumberFormat="1" applyFont="1" applyFill="1" applyBorder="1"/>
    <xf numFmtId="165" fontId="0" fillId="2" borderId="0" xfId="1" applyNumberFormat="1" applyFont="1" applyFill="1" applyBorder="1" applyAlignment="1">
      <alignment horizontal="center"/>
    </xf>
    <xf numFmtId="165" fontId="0" fillId="2" borderId="11" xfId="1" applyNumberFormat="1" applyFont="1" applyFill="1" applyBorder="1"/>
    <xf numFmtId="165" fontId="0" fillId="5" borderId="13" xfId="1" applyNumberFormat="1" applyFont="1" applyFill="1" applyBorder="1"/>
    <xf numFmtId="165" fontId="0" fillId="2" borderId="13" xfId="1" applyNumberFormat="1" applyFont="1" applyFill="1" applyBorder="1"/>
    <xf numFmtId="165" fontId="0" fillId="2" borderId="6" xfId="1" applyNumberFormat="1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5" fillId="2" borderId="11" xfId="1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0" xfId="0" quotePrefix="1" applyFont="1" applyFill="1"/>
    <xf numFmtId="0" fontId="47" fillId="0" borderId="0" xfId="0" applyFont="1"/>
    <xf numFmtId="0" fontId="2" fillId="0" borderId="0" xfId="0" applyFont="1" applyAlignment="1">
      <alignment horizontal="right"/>
    </xf>
    <xf numFmtId="167" fontId="6" fillId="2" borderId="7" xfId="2" quotePrefix="1" applyNumberFormat="1" applyFont="1" applyFill="1" applyBorder="1" applyAlignment="1">
      <alignment horizontal="center"/>
    </xf>
    <xf numFmtId="38" fontId="5" fillId="0" borderId="15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3" fillId="0" borderId="15" xfId="0" applyNumberFormat="1" applyFont="1" applyBorder="1" applyAlignment="1">
      <alignment horizontal="center"/>
    </xf>
    <xf numFmtId="38" fontId="3" fillId="0" borderId="12" xfId="0" applyNumberFormat="1" applyFont="1" applyBorder="1" applyAlignment="1">
      <alignment horizontal="center"/>
    </xf>
    <xf numFmtId="38" fontId="3" fillId="2" borderId="22" xfId="0" applyNumberFormat="1" applyFont="1" applyFill="1" applyBorder="1" applyAlignment="1">
      <alignment horizontal="center"/>
    </xf>
    <xf numFmtId="38" fontId="3" fillId="2" borderId="13" xfId="0" applyNumberFormat="1" applyFont="1" applyFill="1" applyBorder="1" applyAlignment="1">
      <alignment horizontal="center"/>
    </xf>
    <xf numFmtId="38" fontId="3" fillId="0" borderId="3" xfId="1" applyNumberFormat="1" applyFont="1" applyBorder="1" applyAlignment="1">
      <alignment horizontal="center"/>
    </xf>
    <xf numFmtId="38" fontId="3" fillId="0" borderId="11" xfId="1" applyNumberFormat="1" applyFont="1" applyBorder="1" applyAlignment="1">
      <alignment horizontal="center"/>
    </xf>
    <xf numFmtId="192" fontId="61" fillId="0" borderId="7" xfId="4" applyNumberFormat="1" applyFont="1" applyFill="1" applyBorder="1" applyAlignment="1">
      <alignment horizontal="center"/>
    </xf>
    <xf numFmtId="192" fontId="62" fillId="0" borderId="7" xfId="4" applyNumberFormat="1" applyFont="1" applyFill="1" applyBorder="1" applyAlignment="1">
      <alignment horizontal="center"/>
    </xf>
    <xf numFmtId="0" fontId="63" fillId="0" borderId="7" xfId="0" applyFont="1" applyFill="1" applyBorder="1" applyAlignment="1">
      <alignment horizontal="center"/>
    </xf>
    <xf numFmtId="165" fontId="6" fillId="2" borderId="0" xfId="1" applyNumberFormat="1" applyFont="1" applyFill="1" applyBorder="1"/>
    <xf numFmtId="165" fontId="3" fillId="2" borderId="0" xfId="1" applyNumberFormat="1" applyFont="1" applyFill="1" applyBorder="1"/>
    <xf numFmtId="192" fontId="0" fillId="0" borderId="15" xfId="0" applyNumberFormat="1" applyBorder="1"/>
    <xf numFmtId="192" fontId="0" fillId="0" borderId="24" xfId="2" applyNumberFormat="1" applyFont="1" applyFill="1" applyBorder="1" applyAlignment="1">
      <alignment horizontal="center"/>
    </xf>
    <xf numFmtId="192" fontId="0" fillId="0" borderId="0" xfId="2" applyNumberFormat="1" applyFont="1" applyBorder="1"/>
    <xf numFmtId="192" fontId="0" fillId="0" borderId="0" xfId="2" applyNumberFormat="1" applyFont="1" applyAlignment="1">
      <alignment horizontal="center"/>
    </xf>
    <xf numFmtId="192" fontId="0" fillId="0" borderId="0" xfId="2" applyNumberFormat="1" applyFont="1" applyBorder="1" applyAlignment="1">
      <alignment horizontal="center"/>
    </xf>
    <xf numFmtId="192" fontId="0" fillId="0" borderId="15" xfId="2" applyNumberFormat="1" applyFont="1" applyBorder="1" applyAlignment="1">
      <alignment horizontal="center"/>
    </xf>
    <xf numFmtId="192" fontId="0" fillId="0" borderId="0" xfId="2" applyNumberFormat="1" applyFont="1" applyFill="1" applyBorder="1" applyAlignment="1">
      <alignment horizontal="center"/>
    </xf>
    <xf numFmtId="192" fontId="0" fillId="0" borderId="15" xfId="2" applyNumberFormat="1" applyFont="1" applyFill="1" applyBorder="1" applyAlignment="1">
      <alignment horizontal="center"/>
    </xf>
    <xf numFmtId="192" fontId="0" fillId="0" borderId="12" xfId="2" applyNumberFormat="1" applyFont="1" applyFill="1" applyBorder="1" applyAlignment="1">
      <alignment horizontal="center"/>
    </xf>
    <xf numFmtId="192" fontId="0" fillId="0" borderId="0" xfId="2" applyNumberFormat="1" applyFont="1"/>
    <xf numFmtId="192" fontId="0" fillId="0" borderId="24" xfId="2" applyNumberFormat="1" applyFont="1" applyBorder="1"/>
    <xf numFmtId="38" fontId="0" fillId="0" borderId="0" xfId="0" applyNumberFormat="1"/>
    <xf numFmtId="0" fontId="0" fillId="2" borderId="40" xfId="0" applyFill="1" applyBorder="1"/>
    <xf numFmtId="0" fontId="0" fillId="2" borderId="40" xfId="0" applyFill="1" applyBorder="1" applyAlignment="1">
      <alignment horizontal="center"/>
    </xf>
    <xf numFmtId="167" fontId="5" fillId="2" borderId="40" xfId="2" applyNumberFormat="1" applyFont="1" applyFill="1" applyBorder="1" applyAlignment="1">
      <alignment horizontal="left"/>
    </xf>
    <xf numFmtId="167" fontId="0" fillId="2" borderId="40" xfId="2" applyNumberFormat="1" applyFont="1" applyFill="1" applyBorder="1"/>
    <xf numFmtId="38" fontId="2" fillId="0" borderId="40" xfId="2" applyNumberFormat="1" applyFont="1" applyFill="1" applyBorder="1" applyAlignment="1"/>
    <xf numFmtId="0" fontId="32" fillId="0" borderId="5" xfId="0" applyFont="1" applyBorder="1"/>
    <xf numFmtId="15" fontId="2" fillId="0" borderId="0" xfId="0" quotePrefix="1" applyNumberFormat="1" applyFont="1" applyFill="1" applyBorder="1"/>
    <xf numFmtId="165" fontId="2" fillId="0" borderId="0" xfId="1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0" fontId="5" fillId="0" borderId="0" xfId="0" applyFont="1" applyFill="1" applyBorder="1"/>
    <xf numFmtId="165" fontId="3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9" fontId="5" fillId="0" borderId="0" xfId="5" applyFont="1" applyFill="1" applyBorder="1" applyAlignment="1">
      <alignment horizontal="right"/>
    </xf>
    <xf numFmtId="165" fontId="5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0" fontId="5" fillId="0" borderId="0" xfId="0" applyFont="1" applyFill="1" applyBorder="1" applyAlignment="1">
      <alignment horizontal="left"/>
    </xf>
    <xf numFmtId="43" fontId="0" fillId="0" borderId="0" xfId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92" fontId="47" fillId="0" borderId="41" xfId="0" applyNumberFormat="1" applyFont="1" applyFill="1" applyBorder="1"/>
    <xf numFmtId="38" fontId="47" fillId="0" borderId="2" xfId="0" applyNumberFormat="1" applyFont="1" applyBorder="1" applyAlignment="1">
      <alignment horizontal="center"/>
    </xf>
    <xf numFmtId="38" fontId="8" fillId="6" borderId="1" xfId="0" applyNumberFormat="1" applyFont="1" applyFill="1" applyBorder="1" applyAlignment="1">
      <alignment horizontal="center"/>
    </xf>
    <xf numFmtId="15" fontId="2" fillId="2" borderId="0" xfId="0" quotePrefix="1" applyNumberFormat="1" applyFont="1" applyFill="1" applyAlignment="1">
      <alignment horizontal="left"/>
    </xf>
    <xf numFmtId="165" fontId="64" fillId="10" borderId="42" xfId="1" applyNumberFormat="1" applyFont="1" applyFill="1" applyBorder="1" applyAlignment="1">
      <alignment horizontal="center"/>
    </xf>
    <xf numFmtId="165" fontId="65" fillId="10" borderId="43" xfId="0" applyNumberFormat="1" applyFont="1" applyFill="1" applyBorder="1" applyAlignment="1">
      <alignment horizontal="center"/>
    </xf>
    <xf numFmtId="0" fontId="2" fillId="16" borderId="3" xfId="0" applyFont="1" applyFill="1" applyBorder="1"/>
    <xf numFmtId="0" fontId="0" fillId="16" borderId="4" xfId="0" applyFill="1" applyBorder="1"/>
    <xf numFmtId="44" fontId="32" fillId="0" borderId="24" xfId="2" applyFont="1" applyBorder="1"/>
    <xf numFmtId="7" fontId="2" fillId="6" borderId="14" xfId="2" applyNumberFormat="1" applyFont="1" applyFill="1" applyBorder="1"/>
    <xf numFmtId="44" fontId="0" fillId="0" borderId="3" xfId="2" applyFont="1" applyBorder="1"/>
    <xf numFmtId="7" fontId="0" fillId="0" borderId="5" xfId="2" applyNumberFormat="1" applyFont="1" applyBorder="1"/>
    <xf numFmtId="3" fontId="13" fillId="16" borderId="44" xfId="3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0" fillId="0" borderId="26" xfId="0" applyBorder="1"/>
    <xf numFmtId="0" fontId="12" fillId="0" borderId="26" xfId="0" applyFont="1" applyBorder="1" applyAlignment="1">
      <alignment horizontal="center"/>
    </xf>
    <xf numFmtId="3" fontId="0" fillId="4" borderId="45" xfId="0" applyNumberFormat="1" applyFill="1" applyBorder="1" applyAlignment="1">
      <alignment horizontal="center"/>
    </xf>
    <xf numFmtId="3" fontId="0" fillId="4" borderId="46" xfId="0" applyNumberFormat="1" applyFill="1" applyBorder="1" applyAlignment="1">
      <alignment horizontal="center"/>
    </xf>
    <xf numFmtId="3" fontId="0" fillId="4" borderId="47" xfId="0" applyNumberFormat="1" applyFill="1" applyBorder="1" applyAlignment="1">
      <alignment horizontal="center"/>
    </xf>
    <xf numFmtId="3" fontId="2" fillId="0" borderId="29" xfId="0" applyNumberFormat="1" applyFont="1" applyBorder="1"/>
    <xf numFmtId="0" fontId="0" fillId="0" borderId="30" xfId="0" applyBorder="1"/>
    <xf numFmtId="192" fontId="47" fillId="0" borderId="30" xfId="0" applyNumberFormat="1" applyFont="1" applyBorder="1"/>
    <xf numFmtId="202" fontId="0" fillId="7" borderId="7" xfId="0" applyNumberFormat="1" applyFill="1" applyBorder="1"/>
    <xf numFmtId="0" fontId="12" fillId="0" borderId="27" xfId="0" applyFont="1" applyBorder="1" applyAlignment="1">
      <alignment horizontal="center"/>
    </xf>
    <xf numFmtId="3" fontId="5" fillId="0" borderId="6" xfId="0" applyNumberFormat="1" applyFont="1" applyBorder="1"/>
    <xf numFmtId="191" fontId="0" fillId="16" borderId="32" xfId="0" applyNumberFormat="1" applyFill="1" applyBorder="1"/>
    <xf numFmtId="191" fontId="0" fillId="0" borderId="48" xfId="0" applyNumberFormat="1" applyBorder="1"/>
    <xf numFmtId="191" fontId="2" fillId="0" borderId="31" xfId="0" applyNumberFormat="1" applyFont="1" applyBorder="1"/>
    <xf numFmtId="0" fontId="66" fillId="0" borderId="0" xfId="0" applyFont="1" applyAlignment="1">
      <alignment horizontal="center"/>
    </xf>
    <xf numFmtId="0" fontId="67" fillId="0" borderId="0" xfId="0" applyFont="1"/>
    <xf numFmtId="212" fontId="0" fillId="0" borderId="6" xfId="2" applyNumberFormat="1" applyFont="1" applyFill="1" applyBorder="1" applyAlignment="1">
      <alignment horizontal="center"/>
    </xf>
    <xf numFmtId="0" fontId="68" fillId="0" borderId="0" xfId="0" applyFont="1" applyAlignment="1">
      <alignment horizontal="center"/>
    </xf>
    <xf numFmtId="202" fontId="68" fillId="0" borderId="0" xfId="0" applyNumberFormat="1" applyFont="1" applyAlignment="1">
      <alignment horizontal="center"/>
    </xf>
    <xf numFmtId="165" fontId="0" fillId="2" borderId="0" xfId="0" applyNumberFormat="1" applyFill="1"/>
    <xf numFmtId="0" fontId="4" fillId="2" borderId="0" xfId="0" applyFont="1" applyFill="1" applyAlignment="1">
      <alignment horizontal="left"/>
    </xf>
    <xf numFmtId="0" fontId="70" fillId="2" borderId="0" xfId="0" applyFont="1" applyFill="1" applyAlignment="1">
      <alignment horizontal="right"/>
    </xf>
    <xf numFmtId="17" fontId="0" fillId="2" borderId="0" xfId="0" applyNumberFormat="1" applyFill="1" applyAlignment="1">
      <alignment horizontal="left"/>
    </xf>
    <xf numFmtId="0" fontId="6" fillId="2" borderId="0" xfId="0" applyFont="1" applyFill="1"/>
    <xf numFmtId="165" fontId="6" fillId="2" borderId="0" xfId="1" applyNumberFormat="1" applyFont="1" applyFill="1"/>
    <xf numFmtId="3" fontId="29" fillId="2" borderId="0" xfId="3" applyNumberFormat="1" applyFont="1" applyFill="1" applyBorder="1" applyAlignment="1">
      <alignment horizontal="center" vertical="center"/>
    </xf>
    <xf numFmtId="3" fontId="13" fillId="0" borderId="0" xfId="3" applyNumberFormat="1" applyFont="1" applyBorder="1" applyAlignment="1"/>
    <xf numFmtId="3" fontId="31" fillId="0" borderId="0" xfId="3" applyNumberFormat="1" applyFont="1" applyFill="1" applyBorder="1"/>
    <xf numFmtId="3" fontId="43" fillId="0" borderId="0" xfId="3" applyNumberFormat="1" applyFont="1" applyFill="1" applyBorder="1" applyAlignment="1">
      <alignment horizontal="center"/>
    </xf>
    <xf numFmtId="3" fontId="25" fillId="2" borderId="0" xfId="3" applyNumberFormat="1" applyFont="1" applyFill="1" applyBorder="1" applyAlignment="1">
      <alignment horizontal="centerContinuous" vertical="center"/>
    </xf>
    <xf numFmtId="217" fontId="25" fillId="2" borderId="0" xfId="3" quotePrefix="1" applyNumberFormat="1" applyFont="1" applyFill="1" applyBorder="1" applyAlignment="1">
      <alignment horizontal="centerContinuous" vertical="center"/>
    </xf>
    <xf numFmtId="3" fontId="17" fillId="2" borderId="0" xfId="3" applyNumberFormat="1" applyFont="1" applyFill="1" applyBorder="1" applyAlignment="1">
      <alignment horizontal="center" vertical="center"/>
    </xf>
    <xf numFmtId="0" fontId="17" fillId="2" borderId="0" xfId="3" applyNumberFormat="1" applyFont="1" applyFill="1" applyBorder="1" applyAlignment="1">
      <alignment horizontal="centerContinuous" vertical="center"/>
    </xf>
    <xf numFmtId="16" fontId="17" fillId="2" borderId="0" xfId="3" applyNumberFormat="1" applyFont="1" applyFill="1" applyBorder="1" applyAlignment="1">
      <alignment horizontal="center" vertical="center"/>
    </xf>
    <xf numFmtId="3" fontId="17" fillId="0" borderId="0" xfId="3" applyNumberFormat="1" applyFont="1" applyBorder="1" applyAlignment="1">
      <alignment horizontal="center" vertical="center"/>
    </xf>
    <xf numFmtId="3" fontId="31" fillId="0" borderId="0" xfId="3" applyNumberFormat="1" applyFont="1" applyBorder="1"/>
    <xf numFmtId="3" fontId="17" fillId="0" borderId="0" xfId="3" applyNumberFormat="1" applyFont="1" applyBorder="1" applyAlignment="1">
      <alignment horizontal="center"/>
    </xf>
    <xf numFmtId="3" fontId="31" fillId="0" borderId="1" xfId="3" applyNumberFormat="1" applyFont="1" applyFill="1" applyBorder="1"/>
    <xf numFmtId="17" fontId="9" fillId="2" borderId="2" xfId="0" quotePrefix="1" applyNumberFormat="1" applyFont="1" applyFill="1" applyBorder="1" applyAlignment="1">
      <alignment horizontal="left"/>
    </xf>
    <xf numFmtId="3" fontId="31" fillId="0" borderId="3" xfId="3" applyNumberFormat="1" applyFont="1" applyBorder="1" applyAlignment="1">
      <alignment horizontal="center"/>
    </xf>
    <xf numFmtId="3" fontId="31" fillId="0" borderId="11" xfId="3" applyNumberFormat="1" applyFont="1" applyBorder="1" applyAlignment="1">
      <alignment horizontal="center"/>
    </xf>
    <xf numFmtId="3" fontId="31" fillId="0" borderId="5" xfId="3" applyNumberFormat="1" applyFont="1" applyBorder="1" applyAlignment="1">
      <alignment horizontal="center"/>
    </xf>
    <xf numFmtId="3" fontId="31" fillId="0" borderId="22" xfId="3" applyNumberFormat="1" applyFont="1" applyBorder="1"/>
    <xf numFmtId="3" fontId="69" fillId="0" borderId="13" xfId="3" applyNumberFormat="1" applyFont="1" applyBorder="1" applyAlignment="1">
      <alignment horizontal="center"/>
    </xf>
    <xf numFmtId="3" fontId="69" fillId="0" borderId="34" xfId="3" applyNumberFormat="1" applyFont="1" applyBorder="1" applyAlignment="1">
      <alignment horizontal="center"/>
    </xf>
    <xf numFmtId="3" fontId="31" fillId="0" borderId="0" xfId="3" applyNumberFormat="1" applyFont="1" applyFill="1" applyAlignment="1">
      <alignment horizontal="center"/>
    </xf>
    <xf numFmtId="3" fontId="31" fillId="0" borderId="1" xfId="3" applyNumberFormat="1" applyFont="1" applyFill="1" applyBorder="1" applyAlignment="1">
      <alignment horizontal="center"/>
    </xf>
    <xf numFmtId="3" fontId="15" fillId="0" borderId="0" xfId="3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9" fillId="17" borderId="14" xfId="0" applyFont="1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3" fontId="71" fillId="0" borderId="0" xfId="3" applyNumberFormat="1" applyFont="1" applyAlignment="1">
      <alignment horizontal="center"/>
    </xf>
    <xf numFmtId="3" fontId="71" fillId="0" borderId="0" xfId="3" applyNumberFormat="1" applyFont="1"/>
    <xf numFmtId="3" fontId="17" fillId="2" borderId="1" xfId="3" applyNumberFormat="1" applyFont="1" applyFill="1" applyBorder="1" applyAlignment="1">
      <alignment horizontal="center" vertical="center"/>
    </xf>
    <xf numFmtId="3" fontId="15" fillId="0" borderId="14" xfId="3" applyNumberFormat="1" applyFill="1" applyBorder="1" applyAlignment="1">
      <alignment horizontal="center"/>
    </xf>
    <xf numFmtId="3" fontId="15" fillId="0" borderId="2" xfId="3" applyNumberFormat="1" applyFill="1" applyBorder="1" applyAlignment="1">
      <alignment horizontal="center"/>
    </xf>
    <xf numFmtId="3" fontId="31" fillId="0" borderId="0" xfId="3" applyNumberFormat="1" applyFont="1" applyAlignment="1">
      <alignment horizontal="center"/>
    </xf>
    <xf numFmtId="192" fontId="2" fillId="16" borderId="33" xfId="1" applyNumberFormat="1" applyFont="1" applyFill="1" applyBorder="1" applyAlignment="1">
      <alignment horizontal="center"/>
    </xf>
    <xf numFmtId="17" fontId="0" fillId="6" borderId="0" xfId="0" applyNumberFormat="1" applyFill="1" applyAlignment="1">
      <alignment horizontal="left"/>
    </xf>
    <xf numFmtId="165" fontId="6" fillId="6" borderId="0" xfId="0" applyNumberFormat="1" applyFont="1" applyFill="1"/>
    <xf numFmtId="0" fontId="6" fillId="6" borderId="0" xfId="0" applyFont="1" applyFill="1"/>
    <xf numFmtId="165" fontId="5" fillId="6" borderId="0" xfId="1" applyNumberFormat="1" applyFont="1" applyFill="1"/>
    <xf numFmtId="165" fontId="6" fillId="6" borderId="0" xfId="1" applyNumberFormat="1" applyFont="1" applyFill="1"/>
    <xf numFmtId="165" fontId="0" fillId="6" borderId="0" xfId="0" applyNumberFormat="1" applyFill="1"/>
    <xf numFmtId="167" fontId="3" fillId="0" borderId="0" xfId="2" applyNumberFormat="1" applyFont="1" applyFill="1"/>
    <xf numFmtId="170" fontId="3" fillId="0" borderId="0" xfId="5" applyNumberFormat="1" applyFont="1" applyFill="1"/>
    <xf numFmtId="10" fontId="3" fillId="0" borderId="0" xfId="5" applyNumberFormat="1" applyFont="1" applyFill="1"/>
    <xf numFmtId="17" fontId="0" fillId="0" borderId="0" xfId="0" applyNumberFormat="1" applyFill="1" applyAlignment="1">
      <alignment horizontal="left"/>
    </xf>
    <xf numFmtId="165" fontId="6" fillId="0" borderId="0" xfId="0" applyNumberFormat="1" applyFont="1" applyFill="1"/>
    <xf numFmtId="0" fontId="6" fillId="0" borderId="0" xfId="0" applyFont="1" applyFill="1"/>
    <xf numFmtId="165" fontId="5" fillId="0" borderId="0" xfId="1" applyNumberFormat="1" applyFont="1" applyFill="1"/>
    <xf numFmtId="165" fontId="6" fillId="0" borderId="0" xfId="1" applyNumberFormat="1" applyFont="1" applyFill="1"/>
    <xf numFmtId="165" fontId="0" fillId="0" borderId="0" xfId="0" applyNumberFormat="1" applyFill="1"/>
    <xf numFmtId="17" fontId="2" fillId="2" borderId="4" xfId="0" applyNumberFormat="1" applyFont="1" applyFill="1" applyBorder="1"/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7" xfId="0" applyBorder="1" applyAlignment="1">
      <alignment horizontal="center"/>
    </xf>
    <xf numFmtId="9" fontId="0" fillId="0" borderId="49" xfId="0" applyNumberFormat="1" applyBorder="1"/>
    <xf numFmtId="0" fontId="0" fillId="0" borderId="50" xfId="0" applyBorder="1"/>
    <xf numFmtId="3" fontId="35" fillId="0" borderId="0" xfId="3" applyNumberFormat="1" applyFont="1" applyFill="1" applyBorder="1" applyAlignment="1">
      <alignment horizontal="center" vertical="center"/>
    </xf>
    <xf numFmtId="3" fontId="35" fillId="16" borderId="0" xfId="3" applyNumberFormat="1" applyFont="1" applyFill="1" applyBorder="1" applyAlignment="1">
      <alignment horizontal="center" vertical="center"/>
    </xf>
    <xf numFmtId="0" fontId="0" fillId="0" borderId="0" xfId="0" quotePrefix="1"/>
    <xf numFmtId="17" fontId="0" fillId="7" borderId="3" xfId="0" applyNumberFormat="1" applyFill="1" applyBorder="1" applyAlignment="1">
      <alignment horizontal="left"/>
    </xf>
    <xf numFmtId="165" fontId="6" fillId="7" borderId="4" xfId="0" applyNumberFormat="1" applyFont="1" applyFill="1" applyBorder="1"/>
    <xf numFmtId="0" fontId="6" fillId="7" borderId="4" xfId="0" applyFont="1" applyFill="1" applyBorder="1"/>
    <xf numFmtId="165" fontId="5" fillId="7" borderId="4" xfId="1" applyNumberFormat="1" applyFont="1" applyFill="1" applyBorder="1"/>
    <xf numFmtId="165" fontId="6" fillId="7" borderId="4" xfId="1" applyNumberFormat="1" applyFont="1" applyFill="1" applyBorder="1"/>
    <xf numFmtId="165" fontId="0" fillId="7" borderId="4" xfId="0" applyNumberFormat="1" applyFill="1" applyBorder="1"/>
    <xf numFmtId="165" fontId="0" fillId="7" borderId="15" xfId="0" applyNumberFormat="1" applyFill="1" applyBorder="1"/>
    <xf numFmtId="17" fontId="0" fillId="7" borderId="11" xfId="0" applyNumberFormat="1" applyFill="1" applyBorder="1" applyAlignment="1">
      <alignment horizontal="left"/>
    </xf>
    <xf numFmtId="165" fontId="6" fillId="7" borderId="0" xfId="0" applyNumberFormat="1" applyFont="1" applyFill="1" applyBorder="1"/>
    <xf numFmtId="0" fontId="6" fillId="7" borderId="0" xfId="0" applyFont="1" applyFill="1" applyBorder="1"/>
    <xf numFmtId="165" fontId="5" fillId="7" borderId="0" xfId="1" applyNumberFormat="1" applyFont="1" applyFill="1" applyBorder="1"/>
    <xf numFmtId="165" fontId="6" fillId="7" borderId="0" xfId="1" applyNumberFormat="1" applyFont="1" applyFill="1" applyBorder="1"/>
    <xf numFmtId="165" fontId="0" fillId="7" borderId="0" xfId="0" applyNumberFormat="1" applyFill="1" applyBorder="1"/>
    <xf numFmtId="165" fontId="0" fillId="7" borderId="12" xfId="0" applyNumberFormat="1" applyFill="1" applyBorder="1"/>
    <xf numFmtId="17" fontId="0" fillId="7" borderId="5" xfId="0" applyNumberFormat="1" applyFill="1" applyBorder="1" applyAlignment="1">
      <alignment horizontal="left"/>
    </xf>
    <xf numFmtId="165" fontId="6" fillId="7" borderId="6" xfId="0" applyNumberFormat="1" applyFont="1" applyFill="1" applyBorder="1"/>
    <xf numFmtId="0" fontId="6" fillId="7" borderId="6" xfId="0" applyFont="1" applyFill="1" applyBorder="1"/>
    <xf numFmtId="165" fontId="5" fillId="7" borderId="6" xfId="1" applyNumberFormat="1" applyFont="1" applyFill="1" applyBorder="1"/>
    <xf numFmtId="165" fontId="6" fillId="7" borderId="6" xfId="1" applyNumberFormat="1" applyFont="1" applyFill="1" applyBorder="1"/>
    <xf numFmtId="165" fontId="0" fillId="7" borderId="6" xfId="0" applyNumberFormat="1" applyFill="1" applyBorder="1"/>
    <xf numFmtId="165" fontId="0" fillId="7" borderId="24" xfId="0" applyNumberFormat="1" applyFill="1" applyBorder="1"/>
    <xf numFmtId="0" fontId="2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~0063334" xfId="3"/>
    <cellStyle name="Normal_enronmb3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1190625</xdr:colOff>
      <xdr:row>21</xdr:row>
      <xdr:rowOff>47625</xdr:rowOff>
    </xdr:from>
    <xdr:ext cx="114300" cy="243254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5CEE4FE-510A-549B-6218-B06F6057110E}"/>
            </a:ext>
          </a:extLst>
        </xdr:cNvPr>
        <xdr:cNvSpPr txBox="1">
          <a:spLocks noChangeArrowheads="1"/>
        </xdr:cNvSpPr>
      </xdr:nvSpPr>
      <xdr:spPr bwMode="auto">
        <a:xfrm>
          <a:off x="7305675" y="4162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27</xdr:row>
      <xdr:rowOff>85725</xdr:rowOff>
    </xdr:from>
    <xdr:ext cx="114300" cy="252779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12D8FFB2-B7C6-15E2-9047-1F46A215FA94}"/>
            </a:ext>
          </a:extLst>
        </xdr:cNvPr>
        <xdr:cNvSpPr txBox="1">
          <a:spLocks noChangeArrowheads="1"/>
        </xdr:cNvSpPr>
      </xdr:nvSpPr>
      <xdr:spPr bwMode="auto">
        <a:xfrm>
          <a:off x="8677275" y="53625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27</xdr:row>
      <xdr:rowOff>85725</xdr:rowOff>
    </xdr:from>
    <xdr:ext cx="114300" cy="252779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7535C218-EB09-6461-A633-BF9D34EF108C}"/>
            </a:ext>
          </a:extLst>
        </xdr:cNvPr>
        <xdr:cNvSpPr txBox="1">
          <a:spLocks noChangeArrowheads="1"/>
        </xdr:cNvSpPr>
      </xdr:nvSpPr>
      <xdr:spPr bwMode="auto">
        <a:xfrm>
          <a:off x="8677275" y="53625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904875</xdr:colOff>
      <xdr:row>9</xdr:row>
      <xdr:rowOff>114300</xdr:rowOff>
    </xdr:from>
    <xdr:ext cx="123825" cy="256443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147E4129-E9CB-0A80-D796-1341A0CE1924}"/>
            </a:ext>
          </a:extLst>
        </xdr:cNvPr>
        <xdr:cNvSpPr txBox="1">
          <a:spLocks noChangeArrowheads="1"/>
        </xdr:cNvSpPr>
      </xdr:nvSpPr>
      <xdr:spPr bwMode="auto">
        <a:xfrm>
          <a:off x="7019925" y="1866900"/>
          <a:ext cx="1238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1190625</xdr:colOff>
      <xdr:row>23</xdr:row>
      <xdr:rowOff>142875</xdr:rowOff>
    </xdr:from>
    <xdr:ext cx="114300" cy="25717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6DA2019B-50B9-5B66-C921-3AA5AB148261}"/>
            </a:ext>
          </a:extLst>
        </xdr:cNvPr>
        <xdr:cNvSpPr txBox="1">
          <a:spLocks noChangeArrowheads="1"/>
        </xdr:cNvSpPr>
      </xdr:nvSpPr>
      <xdr:spPr bwMode="auto">
        <a:xfrm>
          <a:off x="7305675" y="4638675"/>
          <a:ext cx="1143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1190625</xdr:colOff>
      <xdr:row>23</xdr:row>
      <xdr:rowOff>104775</xdr:rowOff>
    </xdr:from>
    <xdr:ext cx="114300" cy="242521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48C63817-40BA-5B04-E5C8-49297AE849A2}"/>
            </a:ext>
          </a:extLst>
        </xdr:cNvPr>
        <xdr:cNvSpPr txBox="1">
          <a:spLocks noChangeArrowheads="1"/>
        </xdr:cNvSpPr>
      </xdr:nvSpPr>
      <xdr:spPr bwMode="auto">
        <a:xfrm>
          <a:off x="7305675" y="46005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27</xdr:row>
      <xdr:rowOff>171450</xdr:rowOff>
    </xdr:from>
    <xdr:ext cx="114300" cy="257907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FCEEE84C-7270-DE85-CD29-5C65044FF472}"/>
            </a:ext>
          </a:extLst>
        </xdr:cNvPr>
        <xdr:cNvSpPr txBox="1">
          <a:spLocks noChangeArrowheads="1"/>
        </xdr:cNvSpPr>
      </xdr:nvSpPr>
      <xdr:spPr bwMode="auto">
        <a:xfrm>
          <a:off x="8677275" y="5448300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27</xdr:row>
      <xdr:rowOff>171450</xdr:rowOff>
    </xdr:from>
    <xdr:ext cx="114300" cy="257907"/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8B98E72D-517B-C8A6-C9EC-CB3CC8945CF1}"/>
            </a:ext>
          </a:extLst>
        </xdr:cNvPr>
        <xdr:cNvSpPr txBox="1">
          <a:spLocks noChangeArrowheads="1"/>
        </xdr:cNvSpPr>
      </xdr:nvSpPr>
      <xdr:spPr bwMode="auto">
        <a:xfrm>
          <a:off x="8677275" y="5448300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904875</xdr:colOff>
      <xdr:row>11</xdr:row>
      <xdr:rowOff>28575</xdr:rowOff>
    </xdr:from>
    <xdr:ext cx="123825" cy="252778"/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05228CF6-96C7-CB6A-E86B-0FE8AEB1B607}"/>
            </a:ext>
          </a:extLst>
        </xdr:cNvPr>
        <xdr:cNvSpPr txBox="1">
          <a:spLocks noChangeArrowheads="1"/>
        </xdr:cNvSpPr>
      </xdr:nvSpPr>
      <xdr:spPr bwMode="auto">
        <a:xfrm>
          <a:off x="7019925" y="2143125"/>
          <a:ext cx="1238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1190625</xdr:colOff>
      <xdr:row>22</xdr:row>
      <xdr:rowOff>47625</xdr:rowOff>
    </xdr:from>
    <xdr:ext cx="114300" cy="242521"/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6747B775-B042-B8A0-8EFA-690FEA6761FE}"/>
            </a:ext>
          </a:extLst>
        </xdr:cNvPr>
        <xdr:cNvSpPr txBox="1">
          <a:spLocks noChangeArrowheads="1"/>
        </xdr:cNvSpPr>
      </xdr:nvSpPr>
      <xdr:spPr bwMode="auto">
        <a:xfrm>
          <a:off x="7305675" y="4362450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28</xdr:row>
      <xdr:rowOff>85725</xdr:rowOff>
    </xdr:from>
    <xdr:ext cx="114300" cy="252778"/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DF60C050-DA0B-2462-AF96-89B2F9ADE9DE}"/>
            </a:ext>
          </a:extLst>
        </xdr:cNvPr>
        <xdr:cNvSpPr txBox="1">
          <a:spLocks noChangeArrowheads="1"/>
        </xdr:cNvSpPr>
      </xdr:nvSpPr>
      <xdr:spPr bwMode="auto">
        <a:xfrm>
          <a:off x="8677275" y="5562600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28</xdr:row>
      <xdr:rowOff>85725</xdr:rowOff>
    </xdr:from>
    <xdr:ext cx="114300" cy="252778"/>
    <xdr:sp macro="" textlink="">
      <xdr:nvSpPr>
        <xdr:cNvPr id="2060" name="Text Box 12">
          <a:extLst>
            <a:ext uri="{FF2B5EF4-FFF2-40B4-BE49-F238E27FC236}">
              <a16:creationId xmlns:a16="http://schemas.microsoft.com/office/drawing/2014/main" id="{84EC1E83-2C6C-936E-428B-7B26BFD79438}"/>
            </a:ext>
          </a:extLst>
        </xdr:cNvPr>
        <xdr:cNvSpPr txBox="1">
          <a:spLocks noChangeArrowheads="1"/>
        </xdr:cNvSpPr>
      </xdr:nvSpPr>
      <xdr:spPr bwMode="auto">
        <a:xfrm>
          <a:off x="8677275" y="5562600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29</xdr:row>
      <xdr:rowOff>85725</xdr:rowOff>
    </xdr:from>
    <xdr:ext cx="114300" cy="252779"/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22FB6C94-4FFA-DFBE-E932-F9FC618F66AE}"/>
            </a:ext>
          </a:extLst>
        </xdr:cNvPr>
        <xdr:cNvSpPr txBox="1">
          <a:spLocks noChangeArrowheads="1"/>
        </xdr:cNvSpPr>
      </xdr:nvSpPr>
      <xdr:spPr bwMode="auto">
        <a:xfrm>
          <a:off x="8677275" y="576262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29</xdr:row>
      <xdr:rowOff>85725</xdr:rowOff>
    </xdr:from>
    <xdr:ext cx="114300" cy="252779"/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06542D13-A9F1-B464-EECC-F76F3228287C}"/>
            </a:ext>
          </a:extLst>
        </xdr:cNvPr>
        <xdr:cNvSpPr txBox="1">
          <a:spLocks noChangeArrowheads="1"/>
        </xdr:cNvSpPr>
      </xdr:nvSpPr>
      <xdr:spPr bwMode="auto">
        <a:xfrm>
          <a:off x="8677275" y="576262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30</xdr:row>
      <xdr:rowOff>85725</xdr:rowOff>
    </xdr:from>
    <xdr:ext cx="114300" cy="252779"/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F1623F28-030F-9663-5F44-EAF42DF1A423}"/>
            </a:ext>
          </a:extLst>
        </xdr:cNvPr>
        <xdr:cNvSpPr txBox="1">
          <a:spLocks noChangeArrowheads="1"/>
        </xdr:cNvSpPr>
      </xdr:nvSpPr>
      <xdr:spPr bwMode="auto">
        <a:xfrm>
          <a:off x="8677275" y="5962650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866775</xdr:colOff>
      <xdr:row>30</xdr:row>
      <xdr:rowOff>85725</xdr:rowOff>
    </xdr:from>
    <xdr:ext cx="114300" cy="252779"/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69830850-4E8F-1909-9A17-F2D9B0D97338}"/>
            </a:ext>
          </a:extLst>
        </xdr:cNvPr>
        <xdr:cNvSpPr txBox="1">
          <a:spLocks noChangeArrowheads="1"/>
        </xdr:cNvSpPr>
      </xdr:nvSpPr>
      <xdr:spPr bwMode="auto">
        <a:xfrm>
          <a:off x="8677275" y="5962650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NATTS/ADM/VNG/Contract%20Brief/Project%20Commonweal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er 1 price"/>
      <sheetName val="Tier 2 price"/>
      <sheetName val="Tier 3 Price"/>
      <sheetName val="Strg Ratchets"/>
      <sheetName val="Ex Strg Ratchets"/>
      <sheetName val="Strg Inj Qnty"/>
      <sheetName val="Refill Example"/>
      <sheetName val="Storage Fill Price"/>
      <sheetName val="Tier 1 &amp; 2 Weigh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1">
          <cell r="L31">
            <v>999.95708512723297</v>
          </cell>
        </row>
        <row r="32">
          <cell r="L32">
            <v>1222.5357680755535</v>
          </cell>
        </row>
        <row r="33">
          <cell r="L33">
            <v>18492.2281652741</v>
          </cell>
        </row>
        <row r="34">
          <cell r="L34">
            <v>622.15913605951459</v>
          </cell>
        </row>
        <row r="35">
          <cell r="L35">
            <v>255.51844575251178</v>
          </cell>
        </row>
        <row r="36">
          <cell r="L36">
            <v>6.1173845207783666</v>
          </cell>
        </row>
        <row r="40">
          <cell r="L40">
            <v>27084.517749057424</v>
          </cell>
        </row>
        <row r="41">
          <cell r="L41">
            <v>4847.2514585955869</v>
          </cell>
        </row>
        <row r="44">
          <cell r="L44">
            <v>311.82728410513141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showGridLines="0" zoomScale="80" workbookViewId="0">
      <selection activeCell="A3" sqref="A3"/>
    </sheetView>
  </sheetViews>
  <sheetFormatPr defaultRowHeight="12.75"/>
  <cols>
    <col min="1" max="1" width="13.140625" customWidth="1"/>
    <col min="2" max="2" width="19.5703125" customWidth="1"/>
    <col min="3" max="3" width="16.42578125" customWidth="1"/>
    <col min="4" max="4" width="18.42578125" customWidth="1"/>
    <col min="5" max="5" width="18.140625" customWidth="1"/>
  </cols>
  <sheetData>
    <row r="1" spans="1:5" ht="18">
      <c r="A1" s="52" t="s">
        <v>51</v>
      </c>
    </row>
    <row r="2" spans="1:5" ht="15.75">
      <c r="A2" s="243">
        <v>37165</v>
      </c>
      <c r="B2" s="32"/>
      <c r="D2" s="31"/>
    </row>
    <row r="4" spans="1:5">
      <c r="C4" s="46"/>
      <c r="D4" s="49"/>
      <c r="E4" s="11"/>
    </row>
    <row r="5" spans="1:5">
      <c r="A5" s="523" t="s">
        <v>158</v>
      </c>
      <c r="B5" s="524"/>
      <c r="C5" s="239"/>
      <c r="D5" s="239"/>
      <c r="E5" s="663"/>
    </row>
    <row r="6" spans="1:5">
      <c r="A6" s="236"/>
      <c r="B6" s="249"/>
      <c r="C6" s="311">
        <f>'Tier Volume Calc'!F48</f>
        <v>69980.332976550635</v>
      </c>
      <c r="D6" s="314">
        <f>C6*E6</f>
        <v>143565.84378549139</v>
      </c>
      <c r="E6" s="664">
        <f>'Baseload - Tier 1'!R25</f>
        <v>2.0515170145531911</v>
      </c>
    </row>
    <row r="7" spans="1:5">
      <c r="A7" s="16"/>
      <c r="B7" s="74"/>
      <c r="C7" s="75"/>
      <c r="D7" s="251"/>
      <c r="E7" s="665"/>
    </row>
    <row r="8" spans="1:5">
      <c r="A8" s="16"/>
      <c r="B8" s="74"/>
      <c r="C8" s="75"/>
      <c r="D8" s="251"/>
      <c r="E8" s="665"/>
    </row>
    <row r="9" spans="1:5">
      <c r="B9" s="12"/>
      <c r="C9" s="33"/>
      <c r="D9" s="49"/>
      <c r="E9" s="666"/>
    </row>
    <row r="10" spans="1:5">
      <c r="A10" s="523" t="s">
        <v>159</v>
      </c>
      <c r="B10" s="525"/>
      <c r="C10" s="239"/>
      <c r="D10" s="239"/>
      <c r="E10" s="663"/>
    </row>
    <row r="11" spans="1:5">
      <c r="A11" s="253"/>
      <c r="B11" s="254"/>
      <c r="C11" s="311">
        <f>'Tier Volume Calc'!G48</f>
        <v>766230.81702344946</v>
      </c>
      <c r="D11" s="314">
        <f>C11*E11</f>
        <v>2242359.7803550544</v>
      </c>
      <c r="E11" s="664">
        <f>'Gas Daily - Tier 2'!E39</f>
        <v>2.9264808077882751</v>
      </c>
    </row>
    <row r="12" spans="1:5">
      <c r="A12" s="283"/>
      <c r="B12" s="296"/>
      <c r="C12" s="297"/>
      <c r="D12" s="298"/>
      <c r="E12" s="667"/>
    </row>
    <row r="13" spans="1:5">
      <c r="A13" s="283"/>
      <c r="B13" s="296"/>
      <c r="C13" s="297"/>
      <c r="D13" s="298"/>
      <c r="E13" s="667"/>
    </row>
    <row r="14" spans="1:5">
      <c r="A14" s="11"/>
      <c r="B14" s="13"/>
      <c r="C14" s="34"/>
      <c r="D14" s="49"/>
      <c r="E14" s="666"/>
    </row>
    <row r="15" spans="1:5">
      <c r="A15" s="523" t="s">
        <v>166</v>
      </c>
      <c r="B15" s="525"/>
      <c r="C15" s="280"/>
      <c r="D15" s="281"/>
      <c r="E15" s="668"/>
    </row>
    <row r="16" spans="1:5">
      <c r="A16" s="236"/>
      <c r="B16" s="312" t="s">
        <v>185</v>
      </c>
      <c r="C16" s="313">
        <f>'Tier Volume Calc'!H48</f>
        <v>0</v>
      </c>
      <c r="D16" s="314">
        <f>C16*E16</f>
        <v>0</v>
      </c>
      <c r="E16" s="664">
        <f>'Strg WD - Tier 3'!P19</f>
        <v>5.6338282368276454E-2</v>
      </c>
    </row>
    <row r="17" spans="1:5">
      <c r="A17" s="16"/>
      <c r="B17" s="282"/>
      <c r="C17" s="252"/>
      <c r="D17" s="50"/>
      <c r="E17" s="667"/>
    </row>
    <row r="18" spans="1:5">
      <c r="A18" s="16"/>
      <c r="B18" s="353" t="s">
        <v>209</v>
      </c>
      <c r="C18" s="252">
        <f>C6+C11+C16</f>
        <v>836211.15000000014</v>
      </c>
      <c r="D18" s="315">
        <f>D6+D11+D16</f>
        <v>2385925.6241405457</v>
      </c>
      <c r="E18" s="669">
        <f>D18/C18</f>
        <v>2.8532573670424575</v>
      </c>
    </row>
    <row r="19" spans="1:5">
      <c r="A19" s="16"/>
      <c r="B19" s="282"/>
      <c r="C19" s="252"/>
      <c r="D19" s="315"/>
      <c r="E19" s="669"/>
    </row>
    <row r="20" spans="1:5">
      <c r="A20" s="16"/>
      <c r="B20" s="282"/>
      <c r="C20" s="252"/>
      <c r="D20" s="315"/>
      <c r="E20" s="669"/>
    </row>
    <row r="21" spans="1:5">
      <c r="A21" s="526" t="s">
        <v>293</v>
      </c>
      <c r="B21" s="527"/>
      <c r="C21" s="280">
        <f>'Strg Refill Quantity'!I44</f>
        <v>759201.375</v>
      </c>
      <c r="D21" s="596">
        <f>C21*E21</f>
        <v>1570218.5544760658</v>
      </c>
      <c r="E21" s="670">
        <f>'Storage Fill Price'!C6</f>
        <v>2.0682504091566822</v>
      </c>
    </row>
    <row r="22" spans="1:5">
      <c r="A22" s="519"/>
      <c r="B22" s="282"/>
      <c r="C22" s="252"/>
      <c r="D22" s="315"/>
      <c r="E22" s="671"/>
    </row>
    <row r="23" spans="1:5">
      <c r="A23" s="236"/>
      <c r="B23" s="312"/>
      <c r="C23" s="313"/>
      <c r="D23" s="314"/>
      <c r="E23" s="664"/>
    </row>
    <row r="24" spans="1:5">
      <c r="C24" s="33"/>
      <c r="D24" s="49"/>
      <c r="E24" s="672"/>
    </row>
    <row r="25" spans="1:5">
      <c r="A25" s="528" t="s">
        <v>238</v>
      </c>
      <c r="B25" s="529"/>
      <c r="C25" s="345">
        <f>'Williams FS Price'!G46</f>
        <v>488901</v>
      </c>
      <c r="D25" s="346">
        <f>C25*E25</f>
        <v>953997.68456112989</v>
      </c>
      <c r="E25" s="670">
        <f>'Williams FS Price'!F46</f>
        <v>1.951310560954324</v>
      </c>
    </row>
    <row r="26" spans="1:5">
      <c r="A26" s="680" t="s">
        <v>344</v>
      </c>
      <c r="B26" s="347"/>
      <c r="C26" s="348"/>
      <c r="D26" s="349"/>
      <c r="E26" s="673"/>
    </row>
    <row r="27" spans="1:5">
      <c r="C27" s="33"/>
      <c r="D27" s="49"/>
      <c r="E27" s="51"/>
    </row>
    <row r="28" spans="1:5">
      <c r="C28" s="33"/>
      <c r="D28" s="49"/>
      <c r="E28" s="51"/>
    </row>
    <row r="29" spans="1:5">
      <c r="C29" s="33"/>
      <c r="D29" s="49"/>
      <c r="E29" s="51"/>
    </row>
    <row r="30" spans="1:5">
      <c r="A30" s="530" t="s">
        <v>96</v>
      </c>
      <c r="B30" s="531"/>
      <c r="C30" s="345"/>
      <c r="D30" s="239"/>
      <c r="E30" s="351"/>
    </row>
    <row r="31" spans="1:5">
      <c r="A31" s="680" t="s">
        <v>344</v>
      </c>
      <c r="B31" s="249"/>
      <c r="C31" s="352"/>
      <c r="D31" s="314">
        <f>Demand!J81</f>
        <v>2346213.3446560022</v>
      </c>
      <c r="E31" s="350"/>
    </row>
    <row r="32" spans="1:5">
      <c r="C32" s="46"/>
      <c r="D32" s="53"/>
      <c r="E32" s="51"/>
    </row>
    <row r="33" spans="1:6">
      <c r="C33" s="46"/>
      <c r="D33" s="53"/>
      <c r="E33" s="51"/>
    </row>
    <row r="34" spans="1:6">
      <c r="E34" s="705" t="s">
        <v>349</v>
      </c>
      <c r="F34" s="250"/>
    </row>
    <row r="35" spans="1:6" ht="15">
      <c r="A35" s="520" t="s">
        <v>98</v>
      </c>
      <c r="B35" s="521"/>
      <c r="C35" s="522"/>
      <c r="D35" s="704">
        <f>D18+D31+D25+D21</f>
        <v>7256355.2078337427</v>
      </c>
      <c r="E35" s="706">
        <f>D35-E40</f>
        <v>7256355.2078337427</v>
      </c>
      <c r="F35" s="417"/>
    </row>
    <row r="36" spans="1:6">
      <c r="E36" s="51"/>
    </row>
    <row r="37" spans="1:6">
      <c r="B37" t="s">
        <v>102</v>
      </c>
    </row>
    <row r="38" spans="1:6">
      <c r="A38" s="11"/>
      <c r="D38" s="51"/>
    </row>
    <row r="39" spans="1:6">
      <c r="A39" s="701" t="s">
        <v>348</v>
      </c>
      <c r="B39" s="702"/>
      <c r="C39" s="345"/>
      <c r="D39" s="239"/>
      <c r="E39" s="351"/>
    </row>
    <row r="40" spans="1:6">
      <c r="A40" s="680" t="s">
        <v>344</v>
      </c>
      <c r="B40" s="249"/>
      <c r="C40" s="719">
        <f>'Williams FS Price'!J46</f>
        <v>0</v>
      </c>
      <c r="D40" s="725">
        <f>'Williams FS Price'!L46</f>
        <v>0</v>
      </c>
      <c r="E40" s="703">
        <f>C40*D40</f>
        <v>0</v>
      </c>
    </row>
    <row r="43" spans="1:6">
      <c r="A43" s="11"/>
      <c r="B43" s="11"/>
      <c r="C43" s="11"/>
      <c r="D43" s="11"/>
      <c r="E43" s="11"/>
    </row>
  </sheetData>
  <phoneticPr fontId="0" type="noConversion"/>
  <pageMargins left="0.79" right="1.37" top="1" bottom="1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S626"/>
  <sheetViews>
    <sheetView workbookViewId="0">
      <pane ySplit="5" topLeftCell="A605" activePane="bottomLeft" state="frozen"/>
      <selection pane="bottomLeft" activeCell="C620" sqref="C620"/>
    </sheetView>
  </sheetViews>
  <sheetFormatPr defaultColWidth="16.140625" defaultRowHeight="12.75"/>
  <cols>
    <col min="1" max="1" width="23.42578125" style="1" customWidth="1"/>
    <col min="2" max="2" width="20.85546875" style="8" customWidth="1"/>
    <col min="3" max="3" width="12.85546875" style="1" customWidth="1"/>
    <col min="4" max="4" width="24.7109375" style="1" customWidth="1"/>
    <col min="5" max="5" width="15.42578125" style="1" customWidth="1"/>
    <col min="6" max="6" width="12.85546875" style="1" customWidth="1"/>
    <col min="7" max="7" width="16.140625" style="1" customWidth="1"/>
    <col min="8" max="8" width="20.140625" style="1" customWidth="1"/>
    <col min="9" max="9" width="14.85546875" style="1" customWidth="1"/>
    <col min="10" max="10" width="10.42578125" style="1" customWidth="1"/>
    <col min="11" max="11" width="16.140625" style="1" customWidth="1"/>
    <col min="12" max="12" width="19.140625" style="1" customWidth="1"/>
    <col min="13" max="13" width="15.140625" style="1" customWidth="1"/>
    <col min="14" max="14" width="11.42578125" style="1" customWidth="1"/>
    <col min="15" max="15" width="18.85546875" style="1" customWidth="1"/>
    <col min="16" max="16384" width="16.140625" style="1"/>
  </cols>
  <sheetData>
    <row r="2" spans="1:19">
      <c r="A2" s="2"/>
    </row>
    <row r="3" spans="1:19" ht="15.75">
      <c r="A3" s="26" t="s">
        <v>254</v>
      </c>
      <c r="B3" s="27"/>
      <c r="E3" s="35"/>
      <c r="F3" s="35"/>
    </row>
    <row r="5" spans="1:19" ht="15.75">
      <c r="A5" s="2" t="s">
        <v>47</v>
      </c>
      <c r="B5" s="25">
        <v>37165</v>
      </c>
    </row>
    <row r="6" spans="1:19" ht="13.5" thickBot="1">
      <c r="A6" s="2"/>
      <c r="B6" s="28"/>
      <c r="D6" s="3" t="s">
        <v>10</v>
      </c>
      <c r="H6" s="3" t="s">
        <v>11</v>
      </c>
      <c r="L6" s="3" t="s">
        <v>12</v>
      </c>
    </row>
    <row r="7" spans="1:19" ht="14.25" thickTop="1" thickBot="1">
      <c r="A7" s="421" t="s">
        <v>255</v>
      </c>
      <c r="B7" s="433">
        <f>B5</f>
        <v>37165</v>
      </c>
      <c r="C7" s="434">
        <f>Q22</f>
        <v>2.018083716208019</v>
      </c>
      <c r="E7" s="624" t="s">
        <v>384</v>
      </c>
    </row>
    <row r="8" spans="1:19" ht="54" customHeight="1" thickTop="1">
      <c r="A8" s="2" t="s">
        <v>5</v>
      </c>
      <c r="B8" s="9" t="s">
        <v>46</v>
      </c>
      <c r="C8" s="18" t="s">
        <v>256</v>
      </c>
      <c r="D8" s="14" t="s">
        <v>28</v>
      </c>
      <c r="E8" s="4" t="s">
        <v>7</v>
      </c>
      <c r="F8" s="4" t="s">
        <v>8</v>
      </c>
      <c r="G8" s="4" t="s">
        <v>9</v>
      </c>
      <c r="H8" s="14" t="s">
        <v>28</v>
      </c>
      <c r="I8" s="4" t="s">
        <v>7</v>
      </c>
      <c r="J8" s="4" t="s">
        <v>8</v>
      </c>
      <c r="K8" s="4" t="s">
        <v>9</v>
      </c>
      <c r="L8" s="14" t="s">
        <v>28</v>
      </c>
      <c r="M8" s="4" t="s">
        <v>7</v>
      </c>
      <c r="N8" s="4" t="s">
        <v>8</v>
      </c>
      <c r="O8" s="4" t="s">
        <v>9</v>
      </c>
      <c r="P8" s="4" t="s">
        <v>193</v>
      </c>
      <c r="Q8" s="4" t="s">
        <v>197</v>
      </c>
      <c r="R8" s="4"/>
      <c r="S8" s="4"/>
    </row>
    <row r="9" spans="1:19">
      <c r="A9" s="1" t="s">
        <v>49</v>
      </c>
      <c r="B9" s="8" t="s">
        <v>269</v>
      </c>
      <c r="C9" s="422">
        <v>1.7949999999999999</v>
      </c>
      <c r="D9" s="21" t="s">
        <v>29</v>
      </c>
      <c r="E9" s="6">
        <v>5.2200000000000003E-2</v>
      </c>
      <c r="F9" s="10">
        <v>5.0599999999999999E-2</v>
      </c>
      <c r="G9" s="5">
        <f t="shared" ref="G9:G19" si="0">+C9/(1-F9)+E9</f>
        <v>1.9428677901832736</v>
      </c>
      <c r="H9" s="21" t="s">
        <v>38</v>
      </c>
      <c r="I9" s="6">
        <f>E11</f>
        <v>0.1043</v>
      </c>
      <c r="J9" s="7">
        <v>2.2800000000000001E-2</v>
      </c>
      <c r="K9" s="5">
        <f>+G9/(1-J9)+I9</f>
        <v>2.0924987210225887</v>
      </c>
      <c r="L9" s="21" t="s">
        <v>39</v>
      </c>
      <c r="M9" s="6">
        <v>0</v>
      </c>
      <c r="N9" s="7">
        <v>2.5000000000000001E-3</v>
      </c>
      <c r="O9" s="5">
        <f>+K9/(1-N9)+M9</f>
        <v>2.0977430787193869</v>
      </c>
      <c r="P9" s="329">
        <f>Weightings!$C$4</f>
        <v>1071.401539872767</v>
      </c>
      <c r="Q9" s="5">
        <f t="shared" ref="Q9:Q19" si="1">+P9/SUM($P$9:$P$19)*O9</f>
        <v>2.8228938261662947E-2</v>
      </c>
      <c r="R9" s="5"/>
      <c r="S9" s="245"/>
    </row>
    <row r="10" spans="1:19">
      <c r="A10" s="1" t="s">
        <v>50</v>
      </c>
      <c r="B10" s="8" t="s">
        <v>270</v>
      </c>
      <c r="C10" s="422">
        <v>1.68</v>
      </c>
      <c r="D10" s="21" t="s">
        <v>30</v>
      </c>
      <c r="E10" s="6">
        <v>5.2200000000000003E-2</v>
      </c>
      <c r="F10" s="10">
        <v>5.8000000000000003E-2</v>
      </c>
      <c r="G10" s="5">
        <f t="shared" si="0"/>
        <v>1.8356394904458599</v>
      </c>
      <c r="H10" s="21" t="s">
        <v>38</v>
      </c>
      <c r="I10" s="6">
        <f>E11</f>
        <v>0.1043</v>
      </c>
      <c r="J10" s="7">
        <v>2.2800000000000001E-2</v>
      </c>
      <c r="K10" s="5">
        <f t="shared" ref="K10:K19" si="2">+G10/(1-J10)+I10</f>
        <v>1.9827685739314982</v>
      </c>
      <c r="L10" s="21" t="s">
        <v>39</v>
      </c>
      <c r="M10" s="6">
        <v>0</v>
      </c>
      <c r="N10" s="7">
        <v>2.5000000000000001E-3</v>
      </c>
      <c r="O10" s="5">
        <f t="shared" ref="O10:O19" si="3">+K10/(1-N10)+M10</f>
        <v>1.9877379187283188</v>
      </c>
      <c r="P10" s="329">
        <f>Weightings!$C$5</f>
        <v>1309.8829179244465</v>
      </c>
      <c r="Q10" s="5">
        <f t="shared" si="1"/>
        <v>3.2702547258541104E-2</v>
      </c>
      <c r="R10" s="5"/>
      <c r="S10" s="29"/>
    </row>
    <row r="11" spans="1:19">
      <c r="A11" s="1" t="s">
        <v>40</v>
      </c>
      <c r="B11" s="8" t="s">
        <v>257</v>
      </c>
      <c r="C11" s="422">
        <v>1.98</v>
      </c>
      <c r="D11" s="21" t="s">
        <v>154</v>
      </c>
      <c r="E11" s="6">
        <f>0.0951+0.0022+0.007</f>
        <v>0.1043</v>
      </c>
      <c r="F11" s="10">
        <v>2.2800000000000001E-2</v>
      </c>
      <c r="G11" s="5">
        <f t="shared" si="0"/>
        <v>2.1304972984036019</v>
      </c>
      <c r="H11" s="21" t="s">
        <v>39</v>
      </c>
      <c r="I11" s="6">
        <v>0</v>
      </c>
      <c r="J11" s="7">
        <v>2.5000000000000001E-3</v>
      </c>
      <c r="K11" s="5">
        <f t="shared" si="2"/>
        <v>2.1358368906301775</v>
      </c>
      <c r="L11" s="21"/>
      <c r="M11" s="6">
        <v>0</v>
      </c>
      <c r="N11" s="7">
        <v>0</v>
      </c>
      <c r="O11" s="5">
        <f t="shared" si="3"/>
        <v>2.1358368906301775</v>
      </c>
      <c r="P11" s="329">
        <f>Weightings!$C$6</f>
        <v>19813.452023725906</v>
      </c>
      <c r="Q11" s="5">
        <f t="shared" si="1"/>
        <v>0.53151828798943812</v>
      </c>
      <c r="R11" s="5"/>
      <c r="S11" s="29"/>
    </row>
    <row r="12" spans="1:19">
      <c r="A12" s="1" t="s">
        <v>41</v>
      </c>
      <c r="B12" s="8" t="s">
        <v>258</v>
      </c>
      <c r="C12" s="422">
        <v>2.0350000000000001</v>
      </c>
      <c r="D12" s="21" t="s">
        <v>155</v>
      </c>
      <c r="E12" s="6">
        <f>0.0951+0.0022+0.007</f>
        <v>0.1043</v>
      </c>
      <c r="F12" s="10">
        <v>2.2800000000000001E-2</v>
      </c>
      <c r="G12" s="5">
        <f t="shared" si="0"/>
        <v>2.1867805566925913</v>
      </c>
      <c r="H12" s="21" t="s">
        <v>39</v>
      </c>
      <c r="I12" s="6">
        <v>0</v>
      </c>
      <c r="J12" s="7">
        <v>2.5000000000000001E-3</v>
      </c>
      <c r="K12" s="5">
        <f t="shared" si="2"/>
        <v>2.1922612097168832</v>
      </c>
      <c r="L12" s="21"/>
      <c r="M12" s="6">
        <v>0</v>
      </c>
      <c r="N12" s="7">
        <v>0</v>
      </c>
      <c r="O12" s="5">
        <f t="shared" si="3"/>
        <v>2.1922612097168832</v>
      </c>
      <c r="P12" s="329">
        <f>Weightings!$C$7</f>
        <v>669.60336394048545</v>
      </c>
      <c r="Q12" s="5">
        <f t="shared" si="1"/>
        <v>1.843740973144968E-2</v>
      </c>
      <c r="R12" s="5"/>
      <c r="S12" s="245"/>
    </row>
    <row r="13" spans="1:19">
      <c r="A13" s="1" t="s">
        <v>26</v>
      </c>
      <c r="B13" s="8" t="s">
        <v>259</v>
      </c>
      <c r="C13" s="423">
        <f>C18</f>
        <v>1.7749999999999999</v>
      </c>
      <c r="D13" s="21" t="s">
        <v>31</v>
      </c>
      <c r="E13" s="609">
        <f>0.0331+0.0022+0.0097</f>
        <v>4.4999999999999998E-2</v>
      </c>
      <c r="F13" s="608">
        <v>5.04E-2</v>
      </c>
      <c r="G13" s="5">
        <f t="shared" si="0"/>
        <v>1.914208087615838</v>
      </c>
      <c r="H13" s="21" t="s">
        <v>38</v>
      </c>
      <c r="I13" s="6">
        <f>E11</f>
        <v>0.1043</v>
      </c>
      <c r="J13" s="7">
        <v>2.2800000000000001E-2</v>
      </c>
      <c r="K13" s="5">
        <f t="shared" si="2"/>
        <v>2.0631703311664329</v>
      </c>
      <c r="L13" s="21" t="s">
        <v>39</v>
      </c>
      <c r="M13" s="6">
        <v>0</v>
      </c>
      <c r="N13" s="7">
        <v>2.5000000000000001E-3</v>
      </c>
      <c r="O13" s="5">
        <f t="shared" si="3"/>
        <v>2.0683411841267496</v>
      </c>
      <c r="P13" s="329">
        <f>Weightings!$C$8</f>
        <v>273.77460524748824</v>
      </c>
      <c r="Q13" s="5">
        <f t="shared" si="1"/>
        <v>7.1122222886696815E-3</v>
      </c>
      <c r="R13" s="5"/>
      <c r="S13" s="29"/>
    </row>
    <row r="14" spans="1:19">
      <c r="A14" s="1" t="s">
        <v>27</v>
      </c>
      <c r="B14" s="8" t="s">
        <v>103</v>
      </c>
      <c r="C14" s="423">
        <f>C19</f>
        <v>1.865</v>
      </c>
      <c r="D14" s="21" t="s">
        <v>32</v>
      </c>
      <c r="E14" s="609">
        <f>0.0305+0.0022+0.0097</f>
        <v>4.24E-2</v>
      </c>
      <c r="F14" s="608">
        <v>4.6199999999999998E-2</v>
      </c>
      <c r="G14" s="5">
        <f t="shared" si="0"/>
        <v>1.9977365485426715</v>
      </c>
      <c r="H14" s="21" t="s">
        <v>38</v>
      </c>
      <c r="I14" s="6">
        <f>E11</f>
        <v>0.1043</v>
      </c>
      <c r="J14" s="7">
        <v>2.2800000000000001E-2</v>
      </c>
      <c r="K14" s="5">
        <f t="shared" si="2"/>
        <v>2.1486476755450998</v>
      </c>
      <c r="L14" s="21" t="s">
        <v>39</v>
      </c>
      <c r="M14" s="6">
        <v>0</v>
      </c>
      <c r="N14" s="7">
        <v>2.5000000000000001E-3</v>
      </c>
      <c r="O14" s="5">
        <f t="shared" si="3"/>
        <v>2.1540327574386966</v>
      </c>
      <c r="P14" s="329">
        <f>Weightings!$C$9</f>
        <v>6.554456479221634</v>
      </c>
      <c r="Q14" s="5">
        <f t="shared" si="1"/>
        <v>1.7732867478552862E-4</v>
      </c>
      <c r="R14" s="5"/>
      <c r="S14" s="29"/>
    </row>
    <row r="15" spans="1:19">
      <c r="A15" s="1" t="s">
        <v>0</v>
      </c>
      <c r="B15" s="8" t="s">
        <v>260</v>
      </c>
      <c r="C15" s="422">
        <v>1.76</v>
      </c>
      <c r="D15" s="21" t="s">
        <v>37</v>
      </c>
      <c r="E15" s="6">
        <f>0.0366+0.0022</f>
        <v>3.8800000000000001E-2</v>
      </c>
      <c r="F15" s="10">
        <v>6.9699999999999996E-3</v>
      </c>
      <c r="G15" s="5">
        <f t="shared" si="0"/>
        <v>1.8111533025185544</v>
      </c>
      <c r="H15" s="21" t="s">
        <v>43</v>
      </c>
      <c r="I15" s="609">
        <f>0.017+0.0022</f>
        <v>1.9200000000000002E-2</v>
      </c>
      <c r="J15" s="608">
        <v>2.9020000000000001E-2</v>
      </c>
      <c r="K15" s="5">
        <f t="shared" si="2"/>
        <v>1.8844838395420653</v>
      </c>
      <c r="L15" s="15" t="s">
        <v>156</v>
      </c>
      <c r="M15" s="6">
        <f>E16</f>
        <v>2.2600000000000002E-2</v>
      </c>
      <c r="N15" s="10">
        <f>F16</f>
        <v>2.776E-2</v>
      </c>
      <c r="O15" s="247">
        <f t="shared" si="3"/>
        <v>1.9608907919259291</v>
      </c>
      <c r="P15" s="329">
        <f>Weightings!$C$13</f>
        <v>31370.607479626047</v>
      </c>
      <c r="Q15" s="5">
        <f t="shared" si="1"/>
        <v>0.77262065930519996</v>
      </c>
      <c r="R15" s="247"/>
      <c r="S15" s="29"/>
    </row>
    <row r="16" spans="1:19">
      <c r="A16" s="1" t="s">
        <v>1</v>
      </c>
      <c r="B16" s="8" t="s">
        <v>261</v>
      </c>
      <c r="C16" s="422">
        <v>2.0249999999999999</v>
      </c>
      <c r="D16" s="21" t="s">
        <v>48</v>
      </c>
      <c r="E16" s="6">
        <f>0.0134+0.0022+0.007</f>
        <v>2.2600000000000002E-2</v>
      </c>
      <c r="F16" s="10">
        <v>2.776E-2</v>
      </c>
      <c r="G16" s="5">
        <f t="shared" si="0"/>
        <v>2.1054190570229574</v>
      </c>
      <c r="H16" s="21"/>
      <c r="I16" s="6">
        <v>0</v>
      </c>
      <c r="J16" s="7">
        <v>0</v>
      </c>
      <c r="K16" s="5">
        <f t="shared" si="2"/>
        <v>2.1054190570229574</v>
      </c>
      <c r="L16" s="15"/>
      <c r="M16" s="6">
        <v>0</v>
      </c>
      <c r="N16" s="7">
        <v>0</v>
      </c>
      <c r="O16" s="5">
        <f t="shared" si="3"/>
        <v>2.1054190570229574</v>
      </c>
      <c r="P16" s="329">
        <f>Weightings!$C$14</f>
        <v>5614.3227016821775</v>
      </c>
      <c r="Q16" s="5">
        <f t="shared" si="1"/>
        <v>0.14846562193977406</v>
      </c>
      <c r="R16" s="5"/>
      <c r="S16" s="246"/>
    </row>
    <row r="17" spans="1:19">
      <c r="A17" s="1" t="s">
        <v>2</v>
      </c>
      <c r="B17" s="8" t="s">
        <v>262</v>
      </c>
      <c r="C17" s="649">
        <v>1.7450000000000001</v>
      </c>
      <c r="D17" s="21" t="s">
        <v>33</v>
      </c>
      <c r="E17" s="609">
        <f>0.0299+0.0022+0.0097</f>
        <v>4.1799999999999997E-2</v>
      </c>
      <c r="F17" s="608">
        <v>4.58E-2</v>
      </c>
      <c r="G17" s="5">
        <f t="shared" si="0"/>
        <v>1.8705570739886817</v>
      </c>
      <c r="H17" s="21" t="s">
        <v>42</v>
      </c>
      <c r="I17" s="6">
        <v>0</v>
      </c>
      <c r="J17" s="7">
        <v>0.01</v>
      </c>
      <c r="K17" s="5">
        <f t="shared" si="2"/>
        <v>1.8894515898875572</v>
      </c>
      <c r="L17" s="15"/>
      <c r="M17" s="6">
        <v>0</v>
      </c>
      <c r="N17" s="7">
        <v>0</v>
      </c>
      <c r="O17" s="5">
        <f t="shared" si="3"/>
        <v>1.8894515898875572</v>
      </c>
      <c r="P17" s="329">
        <f>Weightings!$C$15</f>
        <v>3366</v>
      </c>
      <c r="Q17" s="5">
        <f t="shared" si="1"/>
        <v>7.9880332084482808E-2</v>
      </c>
      <c r="R17" s="5"/>
      <c r="S17" s="29"/>
    </row>
    <row r="18" spans="1:19">
      <c r="A18" s="1" t="s">
        <v>3</v>
      </c>
      <c r="B18" s="8" t="s">
        <v>259</v>
      </c>
      <c r="C18" s="422">
        <v>1.7749999999999999</v>
      </c>
      <c r="D18" s="21" t="s">
        <v>34</v>
      </c>
      <c r="E18" s="609">
        <f>0.0277+0.0022+0.0097</f>
        <v>3.9599999999999996E-2</v>
      </c>
      <c r="F18" s="608">
        <v>4.2299999999999997E-2</v>
      </c>
      <c r="G18" s="5">
        <f t="shared" si="0"/>
        <v>1.8929987678813824</v>
      </c>
      <c r="H18" s="21" t="s">
        <v>42</v>
      </c>
      <c r="I18" s="6">
        <v>0</v>
      </c>
      <c r="J18" s="7">
        <v>0.01</v>
      </c>
      <c r="K18" s="5">
        <f t="shared" si="2"/>
        <v>1.912119967556952</v>
      </c>
      <c r="M18" s="6">
        <v>0</v>
      </c>
      <c r="N18" s="7">
        <v>0</v>
      </c>
      <c r="O18" s="5">
        <f t="shared" si="3"/>
        <v>1.912119967556952</v>
      </c>
      <c r="P18" s="329">
        <f>Weightings!$C$16</f>
        <v>4950</v>
      </c>
      <c r="Q18" s="5">
        <f t="shared" si="1"/>
        <v>0.11888041607922295</v>
      </c>
      <c r="R18" s="5"/>
      <c r="S18" s="29"/>
    </row>
    <row r="19" spans="1:19">
      <c r="A19" s="1" t="s">
        <v>4</v>
      </c>
      <c r="B19" s="8" t="s">
        <v>103</v>
      </c>
      <c r="C19" s="422">
        <v>1.865</v>
      </c>
      <c r="D19" s="21" t="s">
        <v>35</v>
      </c>
      <c r="E19" s="609">
        <f>0.0251+0.0022+0.0097</f>
        <v>3.7000000000000005E-2</v>
      </c>
      <c r="F19" s="608">
        <v>3.8100000000000002E-2</v>
      </c>
      <c r="G19" s="5">
        <f t="shared" si="0"/>
        <v>1.9758709845098243</v>
      </c>
      <c r="H19" s="21" t="s">
        <v>42</v>
      </c>
      <c r="I19" s="6">
        <v>0</v>
      </c>
      <c r="J19" s="7">
        <v>0.01</v>
      </c>
      <c r="K19" s="5">
        <f t="shared" si="2"/>
        <v>1.9958292772826509</v>
      </c>
      <c r="M19" s="6">
        <v>0</v>
      </c>
      <c r="N19" s="7">
        <v>0</v>
      </c>
      <c r="O19" s="5">
        <f t="shared" si="3"/>
        <v>1.9958292772826509</v>
      </c>
      <c r="P19" s="329">
        <f>Weightings!$C$17</f>
        <v>11172.172715894869</v>
      </c>
      <c r="Q19" s="5">
        <f t="shared" si="1"/>
        <v>0.28005995259479227</v>
      </c>
      <c r="R19" s="5"/>
      <c r="S19" s="29"/>
    </row>
    <row r="20" spans="1:19">
      <c r="O20" s="35"/>
      <c r="P20" s="67"/>
      <c r="Q20" s="35"/>
      <c r="R20" s="35"/>
      <c r="S20" s="244"/>
    </row>
    <row r="21" spans="1:19" ht="13.5" thickBot="1">
      <c r="O21" s="36"/>
      <c r="P21" s="330"/>
      <c r="Q21" s="36"/>
      <c r="R21" s="36"/>
    </row>
    <row r="22" spans="1:19" ht="13.5" thickBot="1">
      <c r="O22" s="331" t="s">
        <v>198</v>
      </c>
      <c r="P22" s="332"/>
      <c r="Q22" s="333">
        <f>SUM(Q9:Q19)</f>
        <v>2.018083716208019</v>
      </c>
      <c r="R22" s="424">
        <f>B7</f>
        <v>37165</v>
      </c>
    </row>
    <row r="23" spans="1:19">
      <c r="O23" s="35"/>
      <c r="P23" s="35"/>
      <c r="Q23" s="35"/>
      <c r="R23" s="35"/>
      <c r="S23" s="35"/>
    </row>
    <row r="24" spans="1:19">
      <c r="D24" s="21"/>
      <c r="H24" s="5"/>
      <c r="O24" s="36" t="s">
        <v>263</v>
      </c>
      <c r="P24" s="404">
        <f>Weightings!C23</f>
        <v>110554</v>
      </c>
      <c r="Q24" s="35" t="s">
        <v>206</v>
      </c>
      <c r="R24" s="344" t="s">
        <v>208</v>
      </c>
      <c r="S24" s="35"/>
    </row>
    <row r="25" spans="1:19" ht="13.5" thickBot="1">
      <c r="A25" s="675"/>
      <c r="B25" s="676"/>
      <c r="C25" s="675"/>
      <c r="D25" s="677"/>
      <c r="E25" s="675"/>
      <c r="F25" s="675"/>
      <c r="G25" s="675"/>
      <c r="H25" s="678"/>
      <c r="I25" s="675"/>
      <c r="J25" s="675"/>
      <c r="K25" s="675"/>
      <c r="L25" s="675"/>
      <c r="M25" s="675"/>
      <c r="N25" s="675"/>
      <c r="O25" s="675"/>
      <c r="P25" s="679"/>
      <c r="Q25" s="675"/>
      <c r="R25" s="675"/>
      <c r="S25" s="675"/>
    </row>
    <row r="26" spans="1:19" ht="14.25" thickTop="1" thickBot="1">
      <c r="A26" s="2"/>
      <c r="B26" s="28"/>
      <c r="D26" s="3" t="s">
        <v>10</v>
      </c>
      <c r="H26" s="3" t="s">
        <v>11</v>
      </c>
      <c r="L26" s="3" t="s">
        <v>12</v>
      </c>
    </row>
    <row r="27" spans="1:19" ht="14.25" thickTop="1" thickBot="1">
      <c r="A27" s="421" t="s">
        <v>255</v>
      </c>
      <c r="B27" s="433">
        <f>B7+1</f>
        <v>37166</v>
      </c>
      <c r="C27" s="434">
        <f>Q42</f>
        <v>1.9622985776604283</v>
      </c>
      <c r="E27" s="624"/>
    </row>
    <row r="28" spans="1:19" ht="54" customHeight="1" thickTop="1">
      <c r="A28" s="2" t="s">
        <v>5</v>
      </c>
      <c r="B28" s="9" t="s">
        <v>46</v>
      </c>
      <c r="C28" s="18" t="s">
        <v>256</v>
      </c>
      <c r="D28" s="14" t="s">
        <v>28</v>
      </c>
      <c r="E28" s="4" t="s">
        <v>7</v>
      </c>
      <c r="F28" s="4" t="s">
        <v>8</v>
      </c>
      <c r="G28" s="4" t="s">
        <v>9</v>
      </c>
      <c r="H28" s="14" t="s">
        <v>28</v>
      </c>
      <c r="I28" s="4" t="s">
        <v>7</v>
      </c>
      <c r="J28" s="4" t="s">
        <v>8</v>
      </c>
      <c r="K28" s="4" t="s">
        <v>9</v>
      </c>
      <c r="L28" s="14" t="s">
        <v>28</v>
      </c>
      <c r="M28" s="4" t="s">
        <v>7</v>
      </c>
      <c r="N28" s="4" t="s">
        <v>8</v>
      </c>
      <c r="O28" s="4" t="s">
        <v>9</v>
      </c>
      <c r="P28" s="4" t="s">
        <v>193</v>
      </c>
      <c r="Q28" s="4" t="s">
        <v>197</v>
      </c>
      <c r="R28" s="4"/>
      <c r="S28" s="4"/>
    </row>
    <row r="29" spans="1:19">
      <c r="A29" s="1" t="s">
        <v>49</v>
      </c>
      <c r="B29" s="8" t="s">
        <v>269</v>
      </c>
      <c r="C29" s="422">
        <v>1.7250000000000001</v>
      </c>
      <c r="D29" s="21" t="s">
        <v>29</v>
      </c>
      <c r="E29" s="6">
        <v>5.2200000000000003E-2</v>
      </c>
      <c r="F29" s="10">
        <v>5.0599999999999999E-2</v>
      </c>
      <c r="G29" s="5">
        <f t="shared" ref="G29:G39" si="4">+C29/(1-F29)+E29</f>
        <v>1.8691370128502212</v>
      </c>
      <c r="H29" s="21" t="s">
        <v>38</v>
      </c>
      <c r="I29" s="6">
        <f>E31</f>
        <v>0.1043</v>
      </c>
      <c r="J29" s="7">
        <v>2.2800000000000001E-2</v>
      </c>
      <c r="K29" s="5">
        <f>+G29/(1-J29)+I29</f>
        <v>2.0170476594865137</v>
      </c>
      <c r="L29" s="21" t="s">
        <v>39</v>
      </c>
      <c r="M29" s="6">
        <v>0</v>
      </c>
      <c r="N29" s="7">
        <v>2.5000000000000001E-3</v>
      </c>
      <c r="O29" s="5">
        <f>+K29/(1-N29)+M29</f>
        <v>2.0221029167784597</v>
      </c>
      <c r="P29" s="329">
        <f>Weightings!$C$4</f>
        <v>1071.401539872767</v>
      </c>
      <c r="Q29" s="5">
        <f t="shared" ref="Q29:Q39" si="5">+P29/SUM($P$9:$P$19)*O29</f>
        <v>2.7211062677568003E-2</v>
      </c>
      <c r="R29" s="5"/>
      <c r="S29" s="245"/>
    </row>
    <row r="30" spans="1:19">
      <c r="A30" s="1" t="s">
        <v>50</v>
      </c>
      <c r="B30" s="8" t="s">
        <v>270</v>
      </c>
      <c r="C30" s="422">
        <v>1.65</v>
      </c>
      <c r="D30" s="21" t="s">
        <v>30</v>
      </c>
      <c r="E30" s="6">
        <v>5.2200000000000003E-2</v>
      </c>
      <c r="F30" s="10">
        <v>5.8000000000000003E-2</v>
      </c>
      <c r="G30" s="5">
        <f t="shared" si="4"/>
        <v>1.8037923566878982</v>
      </c>
      <c r="H30" s="21" t="s">
        <v>38</v>
      </c>
      <c r="I30" s="6">
        <f>E31</f>
        <v>0.1043</v>
      </c>
      <c r="J30" s="7">
        <v>2.2800000000000001E-2</v>
      </c>
      <c r="K30" s="5">
        <f t="shared" ref="K30:K39" si="6">+G30/(1-J30)+I30</f>
        <v>1.9501783838394375</v>
      </c>
      <c r="L30" s="21" t="s">
        <v>39</v>
      </c>
      <c r="M30" s="6">
        <v>0</v>
      </c>
      <c r="N30" s="7">
        <v>2.5000000000000001E-3</v>
      </c>
      <c r="O30" s="5">
        <f t="shared" ref="O30:O39" si="7">+K30/(1-N30)+M30</f>
        <v>1.9550660489618421</v>
      </c>
      <c r="P30" s="329">
        <f>Weightings!$C$5</f>
        <v>1309.8829179244465</v>
      </c>
      <c r="Q30" s="5">
        <f t="shared" si="5"/>
        <v>3.2165025005231843E-2</v>
      </c>
      <c r="R30" s="5"/>
      <c r="S30" s="29"/>
    </row>
    <row r="31" spans="1:19">
      <c r="A31" s="1" t="s">
        <v>40</v>
      </c>
      <c r="B31" s="8" t="s">
        <v>257</v>
      </c>
      <c r="C31" s="422">
        <v>1.93</v>
      </c>
      <c r="D31" s="21" t="s">
        <v>154</v>
      </c>
      <c r="E31" s="6">
        <f>0.0951+0.0022+0.007</f>
        <v>0.1043</v>
      </c>
      <c r="F31" s="10">
        <v>2.2800000000000001E-2</v>
      </c>
      <c r="G31" s="5">
        <f t="shared" si="4"/>
        <v>2.0793306999590668</v>
      </c>
      <c r="H31" s="21" t="s">
        <v>39</v>
      </c>
      <c r="I31" s="6">
        <v>0</v>
      </c>
      <c r="J31" s="7">
        <v>2.5000000000000001E-3</v>
      </c>
      <c r="K31" s="5">
        <f t="shared" si="6"/>
        <v>2.0845420550968088</v>
      </c>
      <c r="L31" s="21"/>
      <c r="M31" s="6">
        <v>0</v>
      </c>
      <c r="N31" s="7">
        <v>0</v>
      </c>
      <c r="O31" s="5">
        <f t="shared" si="7"/>
        <v>2.0845420550968088</v>
      </c>
      <c r="P31" s="329">
        <f>Weightings!$C$6</f>
        <v>19813.452023725906</v>
      </c>
      <c r="Q31" s="5">
        <f t="shared" si="5"/>
        <v>0.51875320125224267</v>
      </c>
      <c r="R31" s="5"/>
      <c r="S31" s="29"/>
    </row>
    <row r="32" spans="1:19">
      <c r="A32" s="1" t="s">
        <v>41</v>
      </c>
      <c r="B32" s="8" t="s">
        <v>258</v>
      </c>
      <c r="C32" s="422">
        <v>2.02</v>
      </c>
      <c r="D32" s="21" t="s">
        <v>155</v>
      </c>
      <c r="E32" s="6">
        <f>0.0951+0.0022+0.007</f>
        <v>0.1043</v>
      </c>
      <c r="F32" s="10">
        <v>2.2800000000000001E-2</v>
      </c>
      <c r="G32" s="5">
        <f t="shared" si="4"/>
        <v>2.1714305771592306</v>
      </c>
      <c r="H32" s="21" t="s">
        <v>39</v>
      </c>
      <c r="I32" s="6">
        <v>0</v>
      </c>
      <c r="J32" s="7">
        <v>2.5000000000000001E-3</v>
      </c>
      <c r="K32" s="5">
        <f t="shared" si="6"/>
        <v>2.1768727590568728</v>
      </c>
      <c r="L32" s="21"/>
      <c r="M32" s="6">
        <v>0</v>
      </c>
      <c r="N32" s="7">
        <v>0</v>
      </c>
      <c r="O32" s="5">
        <f t="shared" si="7"/>
        <v>2.1768727590568728</v>
      </c>
      <c r="P32" s="329">
        <f>Weightings!$C$7</f>
        <v>669.60336394048545</v>
      </c>
      <c r="Q32" s="5">
        <f t="shared" si="5"/>
        <v>1.8307989401110739E-2</v>
      </c>
      <c r="R32" s="5"/>
      <c r="S32" s="245"/>
    </row>
    <row r="33" spans="1:19">
      <c r="A33" s="1" t="s">
        <v>26</v>
      </c>
      <c r="B33" s="8" t="s">
        <v>259</v>
      </c>
      <c r="C33" s="423">
        <f>C38</f>
        <v>1.7050000000000001</v>
      </c>
      <c r="D33" s="21" t="s">
        <v>31</v>
      </c>
      <c r="E33" s="609">
        <f>0.0331+0.0022+0.0097</f>
        <v>4.4999999999999998E-2</v>
      </c>
      <c r="F33" s="608">
        <v>5.04E-2</v>
      </c>
      <c r="G33" s="5">
        <f t="shared" si="4"/>
        <v>1.8404928390901432</v>
      </c>
      <c r="H33" s="21" t="s">
        <v>38</v>
      </c>
      <c r="I33" s="6">
        <f>E31</f>
        <v>0.1043</v>
      </c>
      <c r="J33" s="7">
        <v>2.2800000000000001E-2</v>
      </c>
      <c r="K33" s="5">
        <f t="shared" si="6"/>
        <v>1.9877351607553657</v>
      </c>
      <c r="L33" s="21" t="s">
        <v>39</v>
      </c>
      <c r="M33" s="6">
        <v>0</v>
      </c>
      <c r="N33" s="7">
        <v>2.5000000000000001E-3</v>
      </c>
      <c r="O33" s="5">
        <f t="shared" si="7"/>
        <v>1.9927169531382112</v>
      </c>
      <c r="P33" s="329">
        <f>Weightings!$C$8</f>
        <v>273.77460524748824</v>
      </c>
      <c r="Q33" s="5">
        <f t="shared" si="5"/>
        <v>6.8521799197762395E-3</v>
      </c>
      <c r="R33" s="5"/>
      <c r="S33" s="29"/>
    </row>
    <row r="34" spans="1:19">
      <c r="A34" s="1" t="s">
        <v>27</v>
      </c>
      <c r="B34" s="8" t="s">
        <v>103</v>
      </c>
      <c r="C34" s="423">
        <f>C39</f>
        <v>1.7949999999999999</v>
      </c>
      <c r="D34" s="21" t="s">
        <v>32</v>
      </c>
      <c r="E34" s="609">
        <f>0.0305+0.0022+0.0097</f>
        <v>4.24E-2</v>
      </c>
      <c r="F34" s="608">
        <v>4.6199999999999998E-2</v>
      </c>
      <c r="G34" s="5">
        <f t="shared" si="4"/>
        <v>1.9243459006080939</v>
      </c>
      <c r="H34" s="21" t="s">
        <v>38</v>
      </c>
      <c r="I34" s="6">
        <f>E31</f>
        <v>0.1043</v>
      </c>
      <c r="J34" s="7">
        <v>2.2800000000000001E-2</v>
      </c>
      <c r="K34" s="5">
        <f t="shared" si="6"/>
        <v>2.0735446792960435</v>
      </c>
      <c r="L34" s="21" t="s">
        <v>39</v>
      </c>
      <c r="M34" s="6">
        <v>0</v>
      </c>
      <c r="N34" s="7">
        <v>2.5000000000000001E-3</v>
      </c>
      <c r="O34" s="5">
        <f t="shared" si="7"/>
        <v>2.0787415331288654</v>
      </c>
      <c r="P34" s="329">
        <f>Weightings!$C$9</f>
        <v>6.554456479221634</v>
      </c>
      <c r="Q34" s="5">
        <f t="shared" si="5"/>
        <v>1.7113039716707773E-4</v>
      </c>
      <c r="R34" s="5"/>
      <c r="S34" s="29"/>
    </row>
    <row r="35" spans="1:19">
      <c r="A35" s="1" t="s">
        <v>0</v>
      </c>
      <c r="B35" s="8" t="s">
        <v>260</v>
      </c>
      <c r="C35" s="422">
        <v>1.72</v>
      </c>
      <c r="D35" s="21" t="s">
        <v>37</v>
      </c>
      <c r="E35" s="6">
        <f>0.0366+0.0022</f>
        <v>3.8800000000000001E-2</v>
      </c>
      <c r="F35" s="10">
        <v>6.9699999999999996E-3</v>
      </c>
      <c r="G35" s="5">
        <f t="shared" si="4"/>
        <v>1.7708725456431327</v>
      </c>
      <c r="H35" s="21" t="s">
        <v>43</v>
      </c>
      <c r="I35" s="609">
        <f>0.017+0.0022</f>
        <v>1.9200000000000002E-2</v>
      </c>
      <c r="J35" s="608">
        <v>2.9020000000000001E-2</v>
      </c>
      <c r="K35" s="5">
        <f t="shared" si="6"/>
        <v>1.8429991983801242</v>
      </c>
      <c r="L35" s="15" t="s">
        <v>156</v>
      </c>
      <c r="M35" s="6">
        <f>E36</f>
        <v>2.2600000000000002E-2</v>
      </c>
      <c r="N35" s="10">
        <f>F36</f>
        <v>2.776E-2</v>
      </c>
      <c r="O35" s="247">
        <f t="shared" si="7"/>
        <v>1.9182216555378551</v>
      </c>
      <c r="P35" s="329">
        <f>Weightings!$C$13</f>
        <v>31370.607479626047</v>
      </c>
      <c r="Q35" s="5">
        <f t="shared" si="5"/>
        <v>0.75580837357063446</v>
      </c>
      <c r="R35" s="247"/>
      <c r="S35" s="29"/>
    </row>
    <row r="36" spans="1:19">
      <c r="A36" s="1" t="s">
        <v>1</v>
      </c>
      <c r="B36" s="8" t="s">
        <v>261</v>
      </c>
      <c r="C36" s="422">
        <v>1.93</v>
      </c>
      <c r="D36" s="21" t="s">
        <v>48</v>
      </c>
      <c r="E36" s="6">
        <f>0.0134+0.0022+0.007</f>
        <v>2.2600000000000002E-2</v>
      </c>
      <c r="F36" s="10">
        <v>2.776E-2</v>
      </c>
      <c r="G36" s="5">
        <f t="shared" si="4"/>
        <v>2.0077065580515101</v>
      </c>
      <c r="H36" s="21"/>
      <c r="I36" s="6">
        <v>0</v>
      </c>
      <c r="J36" s="7">
        <v>0</v>
      </c>
      <c r="K36" s="5">
        <f t="shared" si="6"/>
        <v>2.0077065580515101</v>
      </c>
      <c r="L36" s="15"/>
      <c r="M36" s="6">
        <v>0</v>
      </c>
      <c r="N36" s="7">
        <v>0</v>
      </c>
      <c r="O36" s="5">
        <f t="shared" si="7"/>
        <v>2.0077065580515101</v>
      </c>
      <c r="P36" s="329">
        <f>Weightings!$C$14</f>
        <v>5614.3227016821775</v>
      </c>
      <c r="Q36" s="5">
        <f t="shared" si="5"/>
        <v>0.14157533238782227</v>
      </c>
      <c r="R36" s="5"/>
      <c r="S36" s="246"/>
    </row>
    <row r="37" spans="1:19">
      <c r="A37" s="1" t="s">
        <v>2</v>
      </c>
      <c r="B37" s="8" t="s">
        <v>262</v>
      </c>
      <c r="C37" s="649">
        <v>1.69</v>
      </c>
      <c r="D37" s="21" t="s">
        <v>33</v>
      </c>
      <c r="E37" s="609">
        <f>0.0299+0.0022+0.0097</f>
        <v>4.1799999999999997E-2</v>
      </c>
      <c r="F37" s="608">
        <v>4.58E-2</v>
      </c>
      <c r="G37" s="5">
        <f t="shared" si="4"/>
        <v>1.8129171662125341</v>
      </c>
      <c r="H37" s="21" t="s">
        <v>42</v>
      </c>
      <c r="I37" s="6">
        <v>0</v>
      </c>
      <c r="J37" s="7">
        <v>0.01</v>
      </c>
      <c r="K37" s="5">
        <f t="shared" si="6"/>
        <v>1.8312294608207416</v>
      </c>
      <c r="L37" s="15"/>
      <c r="M37" s="6">
        <v>0</v>
      </c>
      <c r="N37" s="7">
        <v>0</v>
      </c>
      <c r="O37" s="5">
        <f t="shared" si="7"/>
        <v>1.8312294608207416</v>
      </c>
      <c r="P37" s="329">
        <f>Weightings!$C$15</f>
        <v>3366</v>
      </c>
      <c r="Q37" s="5">
        <f t="shared" si="5"/>
        <v>7.7418875527768577E-2</v>
      </c>
      <c r="R37" s="5"/>
      <c r="S37" s="29"/>
    </row>
    <row r="38" spans="1:19">
      <c r="A38" s="1" t="s">
        <v>3</v>
      </c>
      <c r="B38" s="8" t="s">
        <v>259</v>
      </c>
      <c r="C38" s="422">
        <v>1.7050000000000001</v>
      </c>
      <c r="D38" s="21" t="s">
        <v>34</v>
      </c>
      <c r="E38" s="609">
        <f>0.0277+0.0022+0.0097</f>
        <v>3.9599999999999996E-2</v>
      </c>
      <c r="F38" s="608">
        <v>4.2299999999999997E-2</v>
      </c>
      <c r="G38" s="5">
        <f t="shared" si="4"/>
        <v>1.8199069854860606</v>
      </c>
      <c r="H38" s="21" t="s">
        <v>42</v>
      </c>
      <c r="I38" s="6">
        <v>0</v>
      </c>
      <c r="J38" s="7">
        <v>0.01</v>
      </c>
      <c r="K38" s="5">
        <f t="shared" si="6"/>
        <v>1.838289884329354</v>
      </c>
      <c r="M38" s="6">
        <v>0</v>
      </c>
      <c r="N38" s="7">
        <v>0</v>
      </c>
      <c r="O38" s="5">
        <f t="shared" si="7"/>
        <v>1.838289884329354</v>
      </c>
      <c r="P38" s="329">
        <f>Weightings!$C$16</f>
        <v>4950</v>
      </c>
      <c r="Q38" s="5">
        <f t="shared" si="5"/>
        <v>0.11429024853629702</v>
      </c>
      <c r="R38" s="5"/>
      <c r="S38" s="29"/>
    </row>
    <row r="39" spans="1:19">
      <c r="A39" s="1" t="s">
        <v>4</v>
      </c>
      <c r="B39" s="8" t="s">
        <v>103</v>
      </c>
      <c r="C39" s="422">
        <v>1.7949999999999999</v>
      </c>
      <c r="D39" s="21" t="s">
        <v>35</v>
      </c>
      <c r="E39" s="609">
        <f>0.0251+0.0022+0.0097</f>
        <v>3.7000000000000005E-2</v>
      </c>
      <c r="F39" s="608">
        <v>3.8100000000000002E-2</v>
      </c>
      <c r="G39" s="5">
        <f t="shared" si="4"/>
        <v>1.9030983470215197</v>
      </c>
      <c r="H39" s="21" t="s">
        <v>42</v>
      </c>
      <c r="I39" s="6">
        <v>0</v>
      </c>
      <c r="J39" s="7">
        <v>0.01</v>
      </c>
      <c r="K39" s="5">
        <f t="shared" si="6"/>
        <v>1.9223215626479997</v>
      </c>
      <c r="M39" s="6">
        <v>0</v>
      </c>
      <c r="N39" s="7">
        <v>0</v>
      </c>
      <c r="O39" s="5">
        <f t="shared" si="7"/>
        <v>1.9223215626479997</v>
      </c>
      <c r="P39" s="329">
        <f>Weightings!$C$17</f>
        <v>11172.172715894869</v>
      </c>
      <c r="Q39" s="5">
        <f t="shared" si="5"/>
        <v>0.26974515898480939</v>
      </c>
      <c r="R39" s="5"/>
      <c r="S39" s="29"/>
    </row>
    <row r="40" spans="1:19">
      <c r="O40" s="35"/>
      <c r="P40" s="67"/>
      <c r="Q40" s="35"/>
      <c r="R40" s="35"/>
      <c r="S40" s="244"/>
    </row>
    <row r="41" spans="1:19" ht="13.5" thickBot="1">
      <c r="O41" s="36"/>
      <c r="P41" s="330"/>
      <c r="Q41" s="36"/>
      <c r="R41" s="36"/>
    </row>
    <row r="42" spans="1:19" ht="13.5" thickBot="1">
      <c r="O42" s="331" t="s">
        <v>198</v>
      </c>
      <c r="P42" s="332"/>
      <c r="Q42" s="333">
        <f>SUM(Q29:Q39)</f>
        <v>1.9622985776604283</v>
      </c>
      <c r="R42" s="424">
        <f>B27</f>
        <v>37166</v>
      </c>
    </row>
    <row r="43" spans="1:19">
      <c r="O43" s="35"/>
      <c r="P43" s="35"/>
      <c r="Q43" s="35"/>
      <c r="R43" s="35"/>
      <c r="S43" s="35"/>
    </row>
    <row r="44" spans="1:19">
      <c r="D44" s="21"/>
      <c r="H44" s="5"/>
      <c r="O44" s="36" t="s">
        <v>263</v>
      </c>
      <c r="P44" s="404">
        <f>Weightings!C43</f>
        <v>0</v>
      </c>
      <c r="Q44" s="35" t="s">
        <v>206</v>
      </c>
      <c r="R44" s="344" t="s">
        <v>208</v>
      </c>
      <c r="S44" s="35"/>
    </row>
    <row r="45" spans="1:19" ht="13.5" thickBot="1">
      <c r="A45" s="675"/>
      <c r="B45" s="676"/>
      <c r="C45" s="675"/>
      <c r="D45" s="677"/>
      <c r="E45" s="675"/>
      <c r="F45" s="675"/>
      <c r="G45" s="675"/>
      <c r="H45" s="678"/>
      <c r="I45" s="675"/>
      <c r="J45" s="675"/>
      <c r="K45" s="675"/>
      <c r="L45" s="675"/>
      <c r="M45" s="675"/>
      <c r="N45" s="675"/>
      <c r="O45" s="675"/>
      <c r="P45" s="679"/>
      <c r="Q45" s="675"/>
      <c r="R45" s="675"/>
      <c r="S45" s="675"/>
    </row>
    <row r="46" spans="1:19" ht="14.25" thickTop="1" thickBot="1">
      <c r="A46" s="2"/>
      <c r="B46" s="28"/>
      <c r="D46" s="3" t="s">
        <v>10</v>
      </c>
      <c r="H46" s="3" t="s">
        <v>11</v>
      </c>
      <c r="L46" s="3" t="s">
        <v>12</v>
      </c>
    </row>
    <row r="47" spans="1:19" ht="14.25" thickTop="1" thickBot="1">
      <c r="A47" s="421" t="s">
        <v>255</v>
      </c>
      <c r="B47" s="433">
        <f>B27+1</f>
        <v>37167</v>
      </c>
      <c r="C47" s="434">
        <f>Q62</f>
        <v>2.0150293598637945</v>
      </c>
      <c r="E47" s="624"/>
    </row>
    <row r="48" spans="1:19" ht="54" customHeight="1" thickTop="1">
      <c r="A48" s="2" t="s">
        <v>5</v>
      </c>
      <c r="B48" s="9" t="s">
        <v>46</v>
      </c>
      <c r="C48" s="18" t="s">
        <v>256</v>
      </c>
      <c r="D48" s="14" t="s">
        <v>28</v>
      </c>
      <c r="E48" s="4" t="s">
        <v>7</v>
      </c>
      <c r="F48" s="4" t="s">
        <v>8</v>
      </c>
      <c r="G48" s="4" t="s">
        <v>9</v>
      </c>
      <c r="H48" s="14" t="s">
        <v>28</v>
      </c>
      <c r="I48" s="4" t="s">
        <v>7</v>
      </c>
      <c r="J48" s="4" t="s">
        <v>8</v>
      </c>
      <c r="K48" s="4" t="s">
        <v>9</v>
      </c>
      <c r="L48" s="14" t="s">
        <v>28</v>
      </c>
      <c r="M48" s="4" t="s">
        <v>7</v>
      </c>
      <c r="N48" s="4" t="s">
        <v>8</v>
      </c>
      <c r="O48" s="4" t="s">
        <v>9</v>
      </c>
      <c r="P48" s="4" t="s">
        <v>193</v>
      </c>
      <c r="Q48" s="4" t="s">
        <v>197</v>
      </c>
      <c r="R48" s="4"/>
      <c r="S48" s="4"/>
    </row>
    <row r="49" spans="1:19">
      <c r="A49" s="1" t="s">
        <v>49</v>
      </c>
      <c r="B49" s="8" t="s">
        <v>269</v>
      </c>
      <c r="C49" s="422">
        <v>1.77</v>
      </c>
      <c r="D49" s="21" t="s">
        <v>29</v>
      </c>
      <c r="E49" s="6">
        <v>5.2200000000000003E-2</v>
      </c>
      <c r="F49" s="10">
        <v>5.0599999999999999E-2</v>
      </c>
      <c r="G49" s="5">
        <f t="shared" ref="G49:G59" si="8">+C49/(1-F49)+E49</f>
        <v>1.9165353697071834</v>
      </c>
      <c r="H49" s="21" t="s">
        <v>38</v>
      </c>
      <c r="I49" s="6">
        <f>E51</f>
        <v>0.1043</v>
      </c>
      <c r="J49" s="7">
        <v>2.2800000000000001E-2</v>
      </c>
      <c r="K49" s="5">
        <f>+G49/(1-J49)+I49</f>
        <v>2.0655519133311331</v>
      </c>
      <c r="L49" s="21" t="s">
        <v>39</v>
      </c>
      <c r="M49" s="6">
        <v>0</v>
      </c>
      <c r="N49" s="7">
        <v>2.5000000000000001E-3</v>
      </c>
      <c r="O49" s="5">
        <f>+K49/(1-N49)+M49</f>
        <v>2.0707287351690558</v>
      </c>
      <c r="P49" s="329">
        <f>Weightings!$C$4</f>
        <v>1071.401539872767</v>
      </c>
      <c r="Q49" s="5">
        <f t="shared" ref="Q49:Q59" si="9">+P49/SUM($P$9:$P$19)*O49</f>
        <v>2.7865411267343324E-2</v>
      </c>
      <c r="R49" s="5"/>
      <c r="S49" s="245"/>
    </row>
    <row r="50" spans="1:19">
      <c r="A50" s="1" t="s">
        <v>50</v>
      </c>
      <c r="B50" s="8" t="s">
        <v>270</v>
      </c>
      <c r="C50" s="422">
        <v>1.74</v>
      </c>
      <c r="D50" s="21" t="s">
        <v>30</v>
      </c>
      <c r="E50" s="6">
        <v>5.2200000000000003E-2</v>
      </c>
      <c r="F50" s="10">
        <v>5.8000000000000003E-2</v>
      </c>
      <c r="G50" s="5">
        <f t="shared" si="8"/>
        <v>1.8993337579617835</v>
      </c>
      <c r="H50" s="21" t="s">
        <v>38</v>
      </c>
      <c r="I50" s="6">
        <f>E51</f>
        <v>0.1043</v>
      </c>
      <c r="J50" s="7">
        <v>2.2800000000000001E-2</v>
      </c>
      <c r="K50" s="5">
        <f t="shared" ref="K50:K59" si="10">+G50/(1-J50)+I50</f>
        <v>2.0479489541156197</v>
      </c>
      <c r="L50" s="21" t="s">
        <v>39</v>
      </c>
      <c r="M50" s="6">
        <v>0</v>
      </c>
      <c r="N50" s="7">
        <v>2.5000000000000001E-3</v>
      </c>
      <c r="O50" s="5">
        <f t="shared" ref="O50:O59" si="11">+K50/(1-N50)+M50</f>
        <v>2.0530816582612728</v>
      </c>
      <c r="P50" s="329">
        <f>Weightings!$C$5</f>
        <v>1309.8829179244465</v>
      </c>
      <c r="Q50" s="5">
        <f t="shared" si="9"/>
        <v>3.3777591765159633E-2</v>
      </c>
      <c r="R50" s="5"/>
      <c r="S50" s="29"/>
    </row>
    <row r="51" spans="1:19">
      <c r="A51" s="1" t="s">
        <v>40</v>
      </c>
      <c r="B51" s="8" t="s">
        <v>257</v>
      </c>
      <c r="C51" s="422">
        <v>1.98</v>
      </c>
      <c r="D51" s="21" t="s">
        <v>154</v>
      </c>
      <c r="E51" s="6">
        <f>0.0951+0.0022+0.007</f>
        <v>0.1043</v>
      </c>
      <c r="F51" s="10">
        <v>2.2800000000000001E-2</v>
      </c>
      <c r="G51" s="5">
        <f t="shared" si="8"/>
        <v>2.1304972984036019</v>
      </c>
      <c r="H51" s="21" t="s">
        <v>39</v>
      </c>
      <c r="I51" s="6">
        <v>0</v>
      </c>
      <c r="J51" s="7">
        <v>2.5000000000000001E-3</v>
      </c>
      <c r="K51" s="5">
        <f t="shared" si="10"/>
        <v>2.1358368906301775</v>
      </c>
      <c r="L51" s="21"/>
      <c r="M51" s="6">
        <v>0</v>
      </c>
      <c r="N51" s="7">
        <v>0</v>
      </c>
      <c r="O51" s="5">
        <f t="shared" si="11"/>
        <v>2.1358368906301775</v>
      </c>
      <c r="P51" s="329">
        <f>Weightings!$C$6</f>
        <v>19813.452023725906</v>
      </c>
      <c r="Q51" s="5">
        <f t="shared" si="9"/>
        <v>0.53151828798943812</v>
      </c>
      <c r="R51" s="5"/>
      <c r="S51" s="29"/>
    </row>
    <row r="52" spans="1:19">
      <c r="A52" s="1" t="s">
        <v>41</v>
      </c>
      <c r="B52" s="8" t="s">
        <v>258</v>
      </c>
      <c r="C52" s="422">
        <v>2.0299999999999998</v>
      </c>
      <c r="D52" s="21" t="s">
        <v>155</v>
      </c>
      <c r="E52" s="6">
        <f>0.0951+0.0022+0.007</f>
        <v>0.1043</v>
      </c>
      <c r="F52" s="10">
        <v>2.2800000000000001E-2</v>
      </c>
      <c r="G52" s="5">
        <f t="shared" si="8"/>
        <v>2.1816638968481374</v>
      </c>
      <c r="H52" s="21" t="s">
        <v>39</v>
      </c>
      <c r="I52" s="6">
        <v>0</v>
      </c>
      <c r="J52" s="7">
        <v>2.5000000000000001E-3</v>
      </c>
      <c r="K52" s="5">
        <f t="shared" si="10"/>
        <v>2.1871317261635461</v>
      </c>
      <c r="L52" s="21"/>
      <c r="M52" s="6">
        <v>0</v>
      </c>
      <c r="N52" s="7">
        <v>0</v>
      </c>
      <c r="O52" s="5">
        <f t="shared" si="11"/>
        <v>2.1871317261635461</v>
      </c>
      <c r="P52" s="329">
        <f>Weightings!$C$7</f>
        <v>669.60336394048545</v>
      </c>
      <c r="Q52" s="5">
        <f t="shared" si="9"/>
        <v>1.8394269621336699E-2</v>
      </c>
      <c r="R52" s="5"/>
      <c r="S52" s="245"/>
    </row>
    <row r="53" spans="1:19">
      <c r="A53" s="1" t="s">
        <v>26</v>
      </c>
      <c r="B53" s="8" t="s">
        <v>259</v>
      </c>
      <c r="C53" s="423">
        <f>C58</f>
        <v>1.74</v>
      </c>
      <c r="D53" s="21" t="s">
        <v>31</v>
      </c>
      <c r="E53" s="609">
        <f>0.0331+0.0022+0.0097</f>
        <v>4.4999999999999998E-2</v>
      </c>
      <c r="F53" s="608">
        <v>5.04E-2</v>
      </c>
      <c r="G53" s="5">
        <f t="shared" si="8"/>
        <v>1.8773504633529907</v>
      </c>
      <c r="H53" s="21" t="s">
        <v>38</v>
      </c>
      <c r="I53" s="6">
        <f>E51</f>
        <v>0.1043</v>
      </c>
      <c r="J53" s="7">
        <v>2.2800000000000001E-2</v>
      </c>
      <c r="K53" s="5">
        <f t="shared" si="10"/>
        <v>2.0254527459608993</v>
      </c>
      <c r="L53" s="21" t="s">
        <v>39</v>
      </c>
      <c r="M53" s="6">
        <v>0</v>
      </c>
      <c r="N53" s="7">
        <v>2.5000000000000001E-3</v>
      </c>
      <c r="O53" s="5">
        <f t="shared" si="11"/>
        <v>2.0305290686324806</v>
      </c>
      <c r="P53" s="329">
        <f>Weightings!$C$8</f>
        <v>273.77460524748824</v>
      </c>
      <c r="Q53" s="5">
        <f t="shared" si="9"/>
        <v>6.9822011042229614E-3</v>
      </c>
      <c r="R53" s="5"/>
      <c r="S53" s="29"/>
    </row>
    <row r="54" spans="1:19">
      <c r="A54" s="1" t="s">
        <v>27</v>
      </c>
      <c r="B54" s="8" t="s">
        <v>103</v>
      </c>
      <c r="C54" s="423">
        <f>C59</f>
        <v>1.825</v>
      </c>
      <c r="D54" s="21" t="s">
        <v>32</v>
      </c>
      <c r="E54" s="609">
        <f>0.0305+0.0022+0.0097</f>
        <v>4.24E-2</v>
      </c>
      <c r="F54" s="608">
        <v>4.6199999999999998E-2</v>
      </c>
      <c r="G54" s="5">
        <f t="shared" si="8"/>
        <v>1.9557990354371986</v>
      </c>
      <c r="H54" s="21" t="s">
        <v>38</v>
      </c>
      <c r="I54" s="6">
        <f>E51</f>
        <v>0.1043</v>
      </c>
      <c r="J54" s="7">
        <v>2.2800000000000001E-2</v>
      </c>
      <c r="K54" s="5">
        <f t="shared" si="10"/>
        <v>2.105731677688496</v>
      </c>
      <c r="L54" s="21" t="s">
        <v>39</v>
      </c>
      <c r="M54" s="6">
        <v>0</v>
      </c>
      <c r="N54" s="7">
        <v>2.5000000000000001E-3</v>
      </c>
      <c r="O54" s="5">
        <f t="shared" si="11"/>
        <v>2.1110092006902215</v>
      </c>
      <c r="P54" s="329">
        <f>Weightings!$C$9</f>
        <v>6.554456479221634</v>
      </c>
      <c r="Q54" s="5">
        <f t="shared" si="9"/>
        <v>1.7378680186069952E-4</v>
      </c>
      <c r="R54" s="5"/>
      <c r="S54" s="29"/>
    </row>
    <row r="55" spans="1:19">
      <c r="A55" s="1" t="s">
        <v>0</v>
      </c>
      <c r="B55" s="8" t="s">
        <v>260</v>
      </c>
      <c r="C55" s="422">
        <v>1.79</v>
      </c>
      <c r="D55" s="21" t="s">
        <v>37</v>
      </c>
      <c r="E55" s="6">
        <f>0.0366+0.0022</f>
        <v>3.8800000000000001E-2</v>
      </c>
      <c r="F55" s="10">
        <v>6.9699999999999996E-3</v>
      </c>
      <c r="G55" s="5">
        <f t="shared" si="8"/>
        <v>1.8413638701751207</v>
      </c>
      <c r="H55" s="21" t="s">
        <v>43</v>
      </c>
      <c r="I55" s="609">
        <f>0.017+0.0022</f>
        <v>1.9200000000000002E-2</v>
      </c>
      <c r="J55" s="608">
        <v>2.9020000000000001E-2</v>
      </c>
      <c r="K55" s="5">
        <f t="shared" si="10"/>
        <v>1.9155973204135213</v>
      </c>
      <c r="L55" s="15" t="s">
        <v>156</v>
      </c>
      <c r="M55" s="6">
        <f>E56</f>
        <v>2.2600000000000002E-2</v>
      </c>
      <c r="N55" s="10">
        <f>F56</f>
        <v>2.776E-2</v>
      </c>
      <c r="O55" s="247">
        <f t="shared" si="11"/>
        <v>1.9928926442169848</v>
      </c>
      <c r="P55" s="329">
        <f>Weightings!$C$13</f>
        <v>31370.607479626047</v>
      </c>
      <c r="Q55" s="5">
        <f t="shared" si="9"/>
        <v>0.78522987360612428</v>
      </c>
      <c r="R55" s="247"/>
      <c r="S55" s="29"/>
    </row>
    <row r="56" spans="1:19">
      <c r="A56" s="1" t="s">
        <v>1</v>
      </c>
      <c r="B56" s="8" t="s">
        <v>261</v>
      </c>
      <c r="C56" s="422">
        <v>1.93</v>
      </c>
      <c r="D56" s="21" t="s">
        <v>48</v>
      </c>
      <c r="E56" s="6">
        <f>0.0134+0.0022+0.007</f>
        <v>2.2600000000000002E-2</v>
      </c>
      <c r="F56" s="10">
        <v>2.776E-2</v>
      </c>
      <c r="G56" s="5">
        <f t="shared" si="8"/>
        <v>2.0077065580515101</v>
      </c>
      <c r="H56" s="21"/>
      <c r="I56" s="6">
        <v>0</v>
      </c>
      <c r="J56" s="7">
        <v>0</v>
      </c>
      <c r="K56" s="5">
        <f t="shared" si="10"/>
        <v>2.0077065580515101</v>
      </c>
      <c r="L56" s="15"/>
      <c r="M56" s="6">
        <v>0</v>
      </c>
      <c r="N56" s="7">
        <v>0</v>
      </c>
      <c r="O56" s="5">
        <f t="shared" si="11"/>
        <v>2.0077065580515101</v>
      </c>
      <c r="P56" s="329">
        <f>Weightings!$C$14</f>
        <v>5614.3227016821775</v>
      </c>
      <c r="Q56" s="5">
        <f t="shared" si="9"/>
        <v>0.14157533238782227</v>
      </c>
      <c r="R56" s="5"/>
      <c r="S56" s="246"/>
    </row>
    <row r="57" spans="1:19">
      <c r="A57" s="1" t="s">
        <v>2</v>
      </c>
      <c r="B57" s="8" t="s">
        <v>262</v>
      </c>
      <c r="C57" s="649">
        <v>1.72</v>
      </c>
      <c r="D57" s="21" t="s">
        <v>33</v>
      </c>
      <c r="E57" s="609">
        <f>0.0299+0.0022+0.0097</f>
        <v>4.1799999999999997E-2</v>
      </c>
      <c r="F57" s="608">
        <v>4.58E-2</v>
      </c>
      <c r="G57" s="5">
        <f t="shared" si="8"/>
        <v>1.8443571159086145</v>
      </c>
      <c r="H57" s="21" t="s">
        <v>42</v>
      </c>
      <c r="I57" s="6">
        <v>0</v>
      </c>
      <c r="J57" s="7">
        <v>0.01</v>
      </c>
      <c r="K57" s="5">
        <f t="shared" si="10"/>
        <v>1.8629869857662773</v>
      </c>
      <c r="L57" s="15"/>
      <c r="M57" s="6">
        <v>0</v>
      </c>
      <c r="N57" s="7">
        <v>0</v>
      </c>
      <c r="O57" s="5">
        <f t="shared" si="11"/>
        <v>1.8629869857662773</v>
      </c>
      <c r="P57" s="329">
        <f>Weightings!$C$15</f>
        <v>3366</v>
      </c>
      <c r="Q57" s="5">
        <f t="shared" si="9"/>
        <v>7.8761488195067245E-2</v>
      </c>
      <c r="R57" s="5"/>
      <c r="S57" s="29"/>
    </row>
    <row r="58" spans="1:19">
      <c r="A58" s="1" t="s">
        <v>3</v>
      </c>
      <c r="B58" s="8" t="s">
        <v>259</v>
      </c>
      <c r="C58" s="422">
        <v>1.74</v>
      </c>
      <c r="D58" s="21" t="s">
        <v>34</v>
      </c>
      <c r="E58" s="609">
        <f>0.0277+0.0022+0.0097</f>
        <v>3.9599999999999996E-2</v>
      </c>
      <c r="F58" s="608">
        <v>4.2299999999999997E-2</v>
      </c>
      <c r="G58" s="5">
        <f t="shared" si="8"/>
        <v>1.8564528766837214</v>
      </c>
      <c r="H58" s="21" t="s">
        <v>42</v>
      </c>
      <c r="I58" s="6">
        <v>0</v>
      </c>
      <c r="J58" s="7">
        <v>0.01</v>
      </c>
      <c r="K58" s="5">
        <f t="shared" si="10"/>
        <v>1.8752049259431529</v>
      </c>
      <c r="M58" s="6">
        <v>0</v>
      </c>
      <c r="N58" s="7">
        <v>0</v>
      </c>
      <c r="O58" s="5">
        <f t="shared" si="11"/>
        <v>1.8752049259431529</v>
      </c>
      <c r="P58" s="329">
        <f>Weightings!$C$16</f>
        <v>4950</v>
      </c>
      <c r="Q58" s="5">
        <f t="shared" si="9"/>
        <v>0.11658533230775997</v>
      </c>
      <c r="R58" s="5"/>
      <c r="S58" s="29"/>
    </row>
    <row r="59" spans="1:19">
      <c r="A59" s="1" t="s">
        <v>4</v>
      </c>
      <c r="B59" s="8" t="s">
        <v>103</v>
      </c>
      <c r="C59" s="422">
        <v>1.825</v>
      </c>
      <c r="D59" s="21" t="s">
        <v>35</v>
      </c>
      <c r="E59" s="609">
        <f>0.0251+0.0022+0.0097</f>
        <v>3.7000000000000005E-2</v>
      </c>
      <c r="F59" s="608">
        <v>3.8100000000000002E-2</v>
      </c>
      <c r="G59" s="5">
        <f t="shared" si="8"/>
        <v>1.9342866202307931</v>
      </c>
      <c r="H59" s="21" t="s">
        <v>42</v>
      </c>
      <c r="I59" s="6">
        <v>0</v>
      </c>
      <c r="J59" s="7">
        <v>0.01</v>
      </c>
      <c r="K59" s="5">
        <f t="shared" si="10"/>
        <v>1.9538248689199931</v>
      </c>
      <c r="M59" s="6">
        <v>0</v>
      </c>
      <c r="N59" s="7">
        <v>0</v>
      </c>
      <c r="O59" s="5">
        <f t="shared" si="11"/>
        <v>1.9538248689199931</v>
      </c>
      <c r="P59" s="329">
        <f>Weightings!$C$17</f>
        <v>11172.172715894869</v>
      </c>
      <c r="Q59" s="5">
        <f t="shared" si="9"/>
        <v>0.27416578481765919</v>
      </c>
      <c r="R59" s="5"/>
      <c r="S59" s="29"/>
    </row>
    <row r="60" spans="1:19">
      <c r="O60" s="35"/>
      <c r="P60" s="67"/>
      <c r="Q60" s="35"/>
      <c r="R60" s="35"/>
      <c r="S60" s="244"/>
    </row>
    <row r="61" spans="1:19" ht="13.5" thickBot="1">
      <c r="O61" s="36"/>
      <c r="P61" s="330"/>
      <c r="Q61" s="36"/>
      <c r="R61" s="36"/>
    </row>
    <row r="62" spans="1:19" ht="13.5" thickBot="1">
      <c r="O62" s="331" t="s">
        <v>198</v>
      </c>
      <c r="P62" s="332"/>
      <c r="Q62" s="333">
        <f>SUM(Q49:Q59)</f>
        <v>2.0150293598637945</v>
      </c>
      <c r="R62" s="424">
        <f>B47</f>
        <v>37167</v>
      </c>
    </row>
    <row r="63" spans="1:19">
      <c r="O63" s="35"/>
      <c r="P63" s="35"/>
      <c r="Q63" s="35"/>
      <c r="R63" s="35"/>
      <c r="S63" s="35"/>
    </row>
    <row r="64" spans="1:19">
      <c r="D64" s="21"/>
      <c r="H64" s="5"/>
      <c r="O64" s="36" t="s">
        <v>263</v>
      </c>
      <c r="P64" s="404">
        <f>Weightings!C63</f>
        <v>0</v>
      </c>
      <c r="Q64" s="35" t="s">
        <v>206</v>
      </c>
      <c r="R64" s="344" t="s">
        <v>208</v>
      </c>
      <c r="S64" s="35"/>
    </row>
    <row r="65" spans="1:19" ht="13.5" thickBot="1">
      <c r="A65" s="675"/>
      <c r="B65" s="676"/>
      <c r="C65" s="675"/>
      <c r="D65" s="677"/>
      <c r="E65" s="675"/>
      <c r="F65" s="675"/>
      <c r="G65" s="675"/>
      <c r="H65" s="678"/>
      <c r="I65" s="675"/>
      <c r="J65" s="675"/>
      <c r="K65" s="675"/>
      <c r="L65" s="675"/>
      <c r="M65" s="675"/>
      <c r="N65" s="675"/>
      <c r="O65" s="675"/>
      <c r="P65" s="679"/>
      <c r="Q65" s="675"/>
      <c r="R65" s="675"/>
      <c r="S65" s="675"/>
    </row>
    <row r="66" spans="1:19" ht="14.25" thickTop="1" thickBot="1">
      <c r="A66" s="2"/>
      <c r="B66" s="28"/>
      <c r="D66" s="3" t="s">
        <v>10</v>
      </c>
      <c r="H66" s="3" t="s">
        <v>11</v>
      </c>
      <c r="L66" s="3" t="s">
        <v>12</v>
      </c>
    </row>
    <row r="67" spans="1:19" ht="14.25" thickTop="1" thickBot="1">
      <c r="A67" s="421" t="s">
        <v>255</v>
      </c>
      <c r="B67" s="433">
        <f>B47+1</f>
        <v>37168</v>
      </c>
      <c r="C67" s="434">
        <f>Q82</f>
        <v>2.2033268040792322</v>
      </c>
      <c r="E67" s="624"/>
    </row>
    <row r="68" spans="1:19" ht="54" customHeight="1" thickTop="1">
      <c r="A68" s="2" t="s">
        <v>5</v>
      </c>
      <c r="B68" s="9" t="s">
        <v>46</v>
      </c>
      <c r="C68" s="18" t="s">
        <v>256</v>
      </c>
      <c r="D68" s="14" t="s">
        <v>28</v>
      </c>
      <c r="E68" s="4" t="s">
        <v>7</v>
      </c>
      <c r="F68" s="4" t="s">
        <v>8</v>
      </c>
      <c r="G68" s="4" t="s">
        <v>9</v>
      </c>
      <c r="H68" s="14" t="s">
        <v>28</v>
      </c>
      <c r="I68" s="4" t="s">
        <v>7</v>
      </c>
      <c r="J68" s="4" t="s">
        <v>8</v>
      </c>
      <c r="K68" s="4" t="s">
        <v>9</v>
      </c>
      <c r="L68" s="14" t="s">
        <v>28</v>
      </c>
      <c r="M68" s="4" t="s">
        <v>7</v>
      </c>
      <c r="N68" s="4" t="s">
        <v>8</v>
      </c>
      <c r="O68" s="4" t="s">
        <v>9</v>
      </c>
      <c r="P68" s="4" t="s">
        <v>193</v>
      </c>
      <c r="Q68" s="4" t="s">
        <v>197</v>
      </c>
      <c r="R68" s="4"/>
      <c r="S68" s="4"/>
    </row>
    <row r="69" spans="1:19">
      <c r="A69" s="1" t="s">
        <v>49</v>
      </c>
      <c r="B69" s="8" t="s">
        <v>269</v>
      </c>
      <c r="C69" s="422">
        <v>1.95</v>
      </c>
      <c r="D69" s="21" t="s">
        <v>29</v>
      </c>
      <c r="E69" s="6">
        <v>5.2200000000000003E-2</v>
      </c>
      <c r="F69" s="10">
        <v>5.0599999999999999E-2</v>
      </c>
      <c r="G69" s="5">
        <f t="shared" ref="G69:G79" si="12">+C69/(1-F69)+E69</f>
        <v>2.1061287971350326</v>
      </c>
      <c r="H69" s="21" t="s">
        <v>38</v>
      </c>
      <c r="I69" s="6">
        <f>E71</f>
        <v>0.1043</v>
      </c>
      <c r="J69" s="7">
        <v>2.2800000000000001E-2</v>
      </c>
      <c r="K69" s="5">
        <f>+G69/(1-J69)+I69</f>
        <v>2.2595689287096117</v>
      </c>
      <c r="L69" s="21" t="s">
        <v>39</v>
      </c>
      <c r="M69" s="6">
        <v>0</v>
      </c>
      <c r="N69" s="7">
        <v>2.5000000000000001E-3</v>
      </c>
      <c r="O69" s="5">
        <f>+K69/(1-N69)+M69</f>
        <v>2.2652320087314401</v>
      </c>
      <c r="P69" s="329">
        <f>Weightings!$C$4</f>
        <v>1071.401539872767</v>
      </c>
      <c r="Q69" s="5">
        <f t="shared" ref="Q69:Q79" si="13">+P69/SUM($P$9:$P$19)*O69</f>
        <v>3.048280562644461E-2</v>
      </c>
      <c r="R69" s="5"/>
      <c r="S69" s="245"/>
    </row>
    <row r="70" spans="1:19">
      <c r="A70" s="1" t="s">
        <v>50</v>
      </c>
      <c r="B70" s="8" t="s">
        <v>270</v>
      </c>
      <c r="C70" s="422">
        <v>1.92</v>
      </c>
      <c r="D70" s="21" t="s">
        <v>30</v>
      </c>
      <c r="E70" s="6">
        <v>5.2200000000000003E-2</v>
      </c>
      <c r="F70" s="10">
        <v>5.8000000000000003E-2</v>
      </c>
      <c r="G70" s="5">
        <f t="shared" si="12"/>
        <v>2.0904165605095542</v>
      </c>
      <c r="H70" s="21" t="s">
        <v>38</v>
      </c>
      <c r="I70" s="6">
        <f>E71</f>
        <v>0.1043</v>
      </c>
      <c r="J70" s="7">
        <v>2.2800000000000001E-2</v>
      </c>
      <c r="K70" s="5">
        <f t="shared" ref="K70:K79" si="14">+G70/(1-J70)+I70</f>
        <v>2.2434900946679841</v>
      </c>
      <c r="L70" s="21" t="s">
        <v>39</v>
      </c>
      <c r="M70" s="6">
        <v>0</v>
      </c>
      <c r="N70" s="7">
        <v>2.5000000000000001E-3</v>
      </c>
      <c r="O70" s="5">
        <f t="shared" ref="O70:O79" si="15">+K70/(1-N70)+M70</f>
        <v>2.2491128768601345</v>
      </c>
      <c r="P70" s="329">
        <f>Weightings!$C$5</f>
        <v>1309.8829179244465</v>
      </c>
      <c r="Q70" s="5">
        <f t="shared" si="13"/>
        <v>3.700272528501522E-2</v>
      </c>
      <c r="R70" s="5"/>
      <c r="S70" s="29"/>
    </row>
    <row r="71" spans="1:19">
      <c r="A71" s="1" t="s">
        <v>40</v>
      </c>
      <c r="B71" s="8" t="s">
        <v>257</v>
      </c>
      <c r="C71" s="422">
        <v>2.1949999999999998</v>
      </c>
      <c r="D71" s="21" t="s">
        <v>154</v>
      </c>
      <c r="E71" s="6">
        <f>0.0951+0.0022+0.007</f>
        <v>0.1043</v>
      </c>
      <c r="F71" s="10">
        <v>2.2800000000000001E-2</v>
      </c>
      <c r="G71" s="5">
        <f t="shared" si="12"/>
        <v>2.3505136717151043</v>
      </c>
      <c r="H71" s="21" t="s">
        <v>39</v>
      </c>
      <c r="I71" s="6">
        <v>0</v>
      </c>
      <c r="J71" s="7">
        <v>2.5000000000000001E-3</v>
      </c>
      <c r="K71" s="5">
        <f t="shared" si="14"/>
        <v>2.3564046834236634</v>
      </c>
      <c r="L71" s="21"/>
      <c r="M71" s="6">
        <v>0</v>
      </c>
      <c r="N71" s="7">
        <v>0</v>
      </c>
      <c r="O71" s="5">
        <f t="shared" si="15"/>
        <v>2.3564046834236634</v>
      </c>
      <c r="P71" s="329">
        <f>Weightings!$C$6</f>
        <v>19813.452023725906</v>
      </c>
      <c r="Q71" s="5">
        <f t="shared" si="13"/>
        <v>0.58640816095937842</v>
      </c>
      <c r="R71" s="5"/>
      <c r="S71" s="29"/>
    </row>
    <row r="72" spans="1:19">
      <c r="A72" s="1" t="s">
        <v>41</v>
      </c>
      <c r="B72" s="8" t="s">
        <v>258</v>
      </c>
      <c r="C72" s="422">
        <v>2.2200000000000002</v>
      </c>
      <c r="D72" s="21" t="s">
        <v>155</v>
      </c>
      <c r="E72" s="6">
        <f>0.0951+0.0022+0.007</f>
        <v>0.1043</v>
      </c>
      <c r="F72" s="10">
        <v>2.2800000000000001E-2</v>
      </c>
      <c r="G72" s="5">
        <f t="shared" si="12"/>
        <v>2.3760969709373723</v>
      </c>
      <c r="H72" s="21" t="s">
        <v>39</v>
      </c>
      <c r="I72" s="6">
        <v>0</v>
      </c>
      <c r="J72" s="7">
        <v>2.5000000000000001E-3</v>
      </c>
      <c r="K72" s="5">
        <f t="shared" si="14"/>
        <v>2.3820521011903479</v>
      </c>
      <c r="L72" s="21"/>
      <c r="M72" s="6">
        <v>0</v>
      </c>
      <c r="N72" s="7">
        <v>0</v>
      </c>
      <c r="O72" s="5">
        <f t="shared" si="15"/>
        <v>2.3820521011903479</v>
      </c>
      <c r="P72" s="329">
        <f>Weightings!$C$7</f>
        <v>669.60336394048545</v>
      </c>
      <c r="Q72" s="5">
        <f t="shared" si="13"/>
        <v>2.0033593805629999E-2</v>
      </c>
      <c r="R72" s="5"/>
      <c r="S72" s="245"/>
    </row>
    <row r="73" spans="1:19">
      <c r="A73" s="1" t="s">
        <v>26</v>
      </c>
      <c r="B73" s="8" t="s">
        <v>259</v>
      </c>
      <c r="C73" s="423">
        <f>C78</f>
        <v>1.895</v>
      </c>
      <c r="D73" s="21" t="s">
        <v>31</v>
      </c>
      <c r="E73" s="609">
        <f>0.0331+0.0022+0.0097</f>
        <v>4.4999999999999998E-2</v>
      </c>
      <c r="F73" s="608">
        <v>5.04E-2</v>
      </c>
      <c r="G73" s="5">
        <f t="shared" si="12"/>
        <v>2.0405770850884584</v>
      </c>
      <c r="H73" s="21" t="s">
        <v>38</v>
      </c>
      <c r="I73" s="6">
        <f>E71</f>
        <v>0.1043</v>
      </c>
      <c r="J73" s="7">
        <v>2.2800000000000001E-2</v>
      </c>
      <c r="K73" s="5">
        <f t="shared" si="14"/>
        <v>2.1924877661568343</v>
      </c>
      <c r="L73" s="21" t="s">
        <v>39</v>
      </c>
      <c r="M73" s="6">
        <v>0</v>
      </c>
      <c r="N73" s="7">
        <v>2.5000000000000001E-3</v>
      </c>
      <c r="O73" s="5">
        <f t="shared" si="15"/>
        <v>2.1979827229642446</v>
      </c>
      <c r="P73" s="329">
        <f>Weightings!$C$8</f>
        <v>273.77460524748824</v>
      </c>
      <c r="Q73" s="5">
        <f t="shared" si="13"/>
        <v>7.5580092067727275E-3</v>
      </c>
      <c r="R73" s="5"/>
      <c r="S73" s="29"/>
    </row>
    <row r="74" spans="1:19">
      <c r="A74" s="1" t="s">
        <v>27</v>
      </c>
      <c r="B74" s="8" t="s">
        <v>103</v>
      </c>
      <c r="C74" s="423">
        <f>C79</f>
        <v>1.99</v>
      </c>
      <c r="D74" s="21" t="s">
        <v>32</v>
      </c>
      <c r="E74" s="609">
        <f>0.0305+0.0022+0.0097</f>
        <v>4.24E-2</v>
      </c>
      <c r="F74" s="608">
        <v>4.6199999999999998E-2</v>
      </c>
      <c r="G74" s="5">
        <f t="shared" si="12"/>
        <v>2.1287912769972741</v>
      </c>
      <c r="H74" s="21" t="s">
        <v>38</v>
      </c>
      <c r="I74" s="6">
        <f>E71</f>
        <v>0.1043</v>
      </c>
      <c r="J74" s="7">
        <v>2.2800000000000001E-2</v>
      </c>
      <c r="K74" s="5">
        <f t="shared" si="14"/>
        <v>2.2827601688469854</v>
      </c>
      <c r="L74" s="21" t="s">
        <v>39</v>
      </c>
      <c r="M74" s="6">
        <v>0</v>
      </c>
      <c r="N74" s="7">
        <v>2.5000000000000001E-3</v>
      </c>
      <c r="O74" s="5">
        <f t="shared" si="15"/>
        <v>2.2884813722776793</v>
      </c>
      <c r="P74" s="329">
        <f>Weightings!$C$9</f>
        <v>6.554456479221634</v>
      </c>
      <c r="Q74" s="5">
        <f t="shared" si="13"/>
        <v>1.883970276756194E-4</v>
      </c>
      <c r="R74" s="5"/>
      <c r="S74" s="29"/>
    </row>
    <row r="75" spans="1:19">
      <c r="A75" s="1" t="s">
        <v>0</v>
      </c>
      <c r="B75" s="8" t="s">
        <v>260</v>
      </c>
      <c r="C75" s="422">
        <v>1.96</v>
      </c>
      <c r="D75" s="21" t="s">
        <v>37</v>
      </c>
      <c r="E75" s="6">
        <f>0.0366+0.0022</f>
        <v>3.8800000000000001E-2</v>
      </c>
      <c r="F75" s="10">
        <v>6.9699999999999996E-3</v>
      </c>
      <c r="G75" s="5">
        <f t="shared" si="12"/>
        <v>2.0125570868956628</v>
      </c>
      <c r="H75" s="21" t="s">
        <v>43</v>
      </c>
      <c r="I75" s="609">
        <f>0.017+0.0022</f>
        <v>1.9200000000000002E-2</v>
      </c>
      <c r="J75" s="608">
        <v>2.9020000000000001E-2</v>
      </c>
      <c r="K75" s="5">
        <f t="shared" si="14"/>
        <v>2.0919070453517716</v>
      </c>
      <c r="L75" s="15" t="s">
        <v>156</v>
      </c>
      <c r="M75" s="6">
        <f>E76</f>
        <v>2.2600000000000002E-2</v>
      </c>
      <c r="N75" s="10">
        <f>F76</f>
        <v>2.776E-2</v>
      </c>
      <c r="O75" s="247">
        <f t="shared" si="15"/>
        <v>2.1742364738663005</v>
      </c>
      <c r="P75" s="329">
        <f>Weightings!$C$13</f>
        <v>31370.607479626047</v>
      </c>
      <c r="Q75" s="5">
        <f t="shared" si="13"/>
        <v>0.85668208797802825</v>
      </c>
      <c r="R75" s="247"/>
      <c r="S75" s="29"/>
    </row>
    <row r="76" spans="1:19">
      <c r="A76" s="1" t="s">
        <v>1</v>
      </c>
      <c r="B76" s="8" t="s">
        <v>261</v>
      </c>
      <c r="C76" s="422">
        <v>2.105</v>
      </c>
      <c r="D76" s="21" t="s">
        <v>48</v>
      </c>
      <c r="E76" s="6">
        <f>0.0134+0.0022+0.007</f>
        <v>2.2600000000000002E-2</v>
      </c>
      <c r="F76" s="10">
        <v>2.776E-2</v>
      </c>
      <c r="G76" s="5">
        <f t="shared" si="12"/>
        <v>2.1877032666831235</v>
      </c>
      <c r="H76" s="21"/>
      <c r="I76" s="6">
        <v>0</v>
      </c>
      <c r="J76" s="7">
        <v>0</v>
      </c>
      <c r="K76" s="5">
        <f t="shared" si="14"/>
        <v>2.1877032666831235</v>
      </c>
      <c r="L76" s="15"/>
      <c r="M76" s="6">
        <v>0</v>
      </c>
      <c r="N76" s="7">
        <v>0</v>
      </c>
      <c r="O76" s="5">
        <f t="shared" si="15"/>
        <v>2.1877032666831235</v>
      </c>
      <c r="P76" s="329">
        <f>Weightings!$C$14</f>
        <v>5614.3227016821775</v>
      </c>
      <c r="Q76" s="5">
        <f t="shared" si="13"/>
        <v>0.1542679710361545</v>
      </c>
      <c r="R76" s="5"/>
      <c r="S76" s="246"/>
    </row>
    <row r="77" spans="1:19">
      <c r="A77" s="1" t="s">
        <v>2</v>
      </c>
      <c r="B77" s="8" t="s">
        <v>262</v>
      </c>
      <c r="C77" s="649">
        <v>1.87</v>
      </c>
      <c r="D77" s="21" t="s">
        <v>33</v>
      </c>
      <c r="E77" s="609">
        <f>0.0299+0.0022+0.0097</f>
        <v>4.1799999999999997E-2</v>
      </c>
      <c r="F77" s="608">
        <v>4.58E-2</v>
      </c>
      <c r="G77" s="5">
        <f t="shared" si="12"/>
        <v>2.0015568643890171</v>
      </c>
      <c r="H77" s="21" t="s">
        <v>42</v>
      </c>
      <c r="I77" s="6">
        <v>0</v>
      </c>
      <c r="J77" s="7">
        <v>0.01</v>
      </c>
      <c r="K77" s="5">
        <f t="shared" si="14"/>
        <v>2.0217746104939569</v>
      </c>
      <c r="L77" s="15"/>
      <c r="M77" s="6">
        <v>0</v>
      </c>
      <c r="N77" s="7">
        <v>0</v>
      </c>
      <c r="O77" s="5">
        <f t="shared" si="15"/>
        <v>2.0217746104939569</v>
      </c>
      <c r="P77" s="329">
        <f>Weightings!$C$15</f>
        <v>3366</v>
      </c>
      <c r="Q77" s="5">
        <f t="shared" si="13"/>
        <v>8.5474551531560625E-2</v>
      </c>
      <c r="R77" s="5"/>
      <c r="S77" s="29"/>
    </row>
    <row r="78" spans="1:19">
      <c r="A78" s="1" t="s">
        <v>3</v>
      </c>
      <c r="B78" s="8" t="s">
        <v>259</v>
      </c>
      <c r="C78" s="422">
        <v>1.895</v>
      </c>
      <c r="D78" s="21" t="s">
        <v>34</v>
      </c>
      <c r="E78" s="609">
        <f>0.0277+0.0022+0.0097</f>
        <v>3.9599999999999996E-2</v>
      </c>
      <c r="F78" s="608">
        <v>4.2299999999999997E-2</v>
      </c>
      <c r="G78" s="5">
        <f t="shared" si="12"/>
        <v>2.0182989662733632</v>
      </c>
      <c r="H78" s="21" t="s">
        <v>42</v>
      </c>
      <c r="I78" s="6">
        <v>0</v>
      </c>
      <c r="J78" s="7">
        <v>0.01</v>
      </c>
      <c r="K78" s="5">
        <f t="shared" si="14"/>
        <v>2.0386858245185486</v>
      </c>
      <c r="M78" s="6">
        <v>0</v>
      </c>
      <c r="N78" s="7">
        <v>0</v>
      </c>
      <c r="O78" s="5">
        <f t="shared" si="15"/>
        <v>2.0386858245185486</v>
      </c>
      <c r="P78" s="329">
        <f>Weightings!$C$16</f>
        <v>4950</v>
      </c>
      <c r="Q78" s="5">
        <f t="shared" si="13"/>
        <v>0.12674927472423883</v>
      </c>
      <c r="R78" s="5"/>
      <c r="S78" s="29"/>
    </row>
    <row r="79" spans="1:19">
      <c r="A79" s="1" t="s">
        <v>4</v>
      </c>
      <c r="B79" s="8" t="s">
        <v>103</v>
      </c>
      <c r="C79" s="422">
        <v>1.99</v>
      </c>
      <c r="D79" s="21" t="s">
        <v>35</v>
      </c>
      <c r="E79" s="609">
        <f>0.0251+0.0022+0.0097</f>
        <v>3.7000000000000005E-2</v>
      </c>
      <c r="F79" s="608">
        <v>3.8100000000000002E-2</v>
      </c>
      <c r="G79" s="5">
        <f t="shared" si="12"/>
        <v>2.1058221228817966</v>
      </c>
      <c r="H79" s="21" t="s">
        <v>42</v>
      </c>
      <c r="I79" s="6">
        <v>0</v>
      </c>
      <c r="J79" s="7">
        <v>0.01</v>
      </c>
      <c r="K79" s="5">
        <f t="shared" si="14"/>
        <v>2.127093053415956</v>
      </c>
      <c r="M79" s="6">
        <v>0</v>
      </c>
      <c r="N79" s="7">
        <v>0</v>
      </c>
      <c r="O79" s="5">
        <f t="shared" si="15"/>
        <v>2.127093053415956</v>
      </c>
      <c r="P79" s="329">
        <f>Weightings!$C$17</f>
        <v>11172.172715894869</v>
      </c>
      <c r="Q79" s="5">
        <f t="shared" si="13"/>
        <v>0.29847922689833317</v>
      </c>
      <c r="R79" s="5"/>
      <c r="S79" s="29"/>
    </row>
    <row r="80" spans="1:19">
      <c r="O80" s="35"/>
      <c r="P80" s="67"/>
      <c r="Q80" s="35"/>
      <c r="R80" s="35"/>
      <c r="S80" s="244"/>
    </row>
    <row r="81" spans="1:19" ht="13.5" thickBot="1">
      <c r="O81" s="36"/>
      <c r="P81" s="330"/>
      <c r="Q81" s="36"/>
      <c r="R81" s="36"/>
    </row>
    <row r="82" spans="1:19" ht="13.5" thickBot="1">
      <c r="O82" s="331" t="s">
        <v>198</v>
      </c>
      <c r="P82" s="332"/>
      <c r="Q82" s="333">
        <f>SUM(Q69:Q79)</f>
        <v>2.2033268040792322</v>
      </c>
      <c r="R82" s="424">
        <f>B67</f>
        <v>37168</v>
      </c>
    </row>
    <row r="83" spans="1:19">
      <c r="O83" s="35"/>
      <c r="P83" s="35"/>
      <c r="Q83" s="35"/>
      <c r="R83" s="35"/>
      <c r="S83" s="35"/>
    </row>
    <row r="84" spans="1:19">
      <c r="D84" s="21"/>
      <c r="H84" s="5"/>
      <c r="O84" s="36" t="s">
        <v>263</v>
      </c>
      <c r="P84" s="404">
        <f>Weightings!C83</f>
        <v>0</v>
      </c>
      <c r="Q84" s="35" t="s">
        <v>206</v>
      </c>
      <c r="R84" s="344" t="s">
        <v>208</v>
      </c>
      <c r="S84" s="35"/>
    </row>
    <row r="85" spans="1:19" ht="13.5" thickBot="1">
      <c r="A85" s="675"/>
      <c r="B85" s="676"/>
      <c r="C85" s="675"/>
      <c r="D85" s="677"/>
      <c r="E85" s="675"/>
      <c r="F85" s="675"/>
      <c r="G85" s="675"/>
      <c r="H85" s="678"/>
      <c r="I85" s="675"/>
      <c r="J85" s="675"/>
      <c r="K85" s="675"/>
      <c r="L85" s="675"/>
      <c r="M85" s="675"/>
      <c r="N85" s="675"/>
      <c r="O85" s="675"/>
      <c r="P85" s="679"/>
      <c r="Q85" s="675"/>
      <c r="R85" s="675"/>
      <c r="S85" s="675"/>
    </row>
    <row r="86" spans="1:19" ht="14.25" thickTop="1" thickBot="1">
      <c r="A86" s="2"/>
      <c r="B86" s="28"/>
      <c r="D86" s="3" t="s">
        <v>10</v>
      </c>
      <c r="H86" s="3" t="s">
        <v>11</v>
      </c>
      <c r="L86" s="3" t="s">
        <v>12</v>
      </c>
    </row>
    <row r="87" spans="1:19" ht="14.25" thickTop="1" thickBot="1">
      <c r="A87" s="421" t="s">
        <v>255</v>
      </c>
      <c r="B87" s="433">
        <f>B67+1</f>
        <v>37169</v>
      </c>
      <c r="C87" s="434">
        <f>Q102</f>
        <v>2.3623242360562848</v>
      </c>
      <c r="E87" s="624"/>
    </row>
    <row r="88" spans="1:19" ht="54" customHeight="1" thickTop="1">
      <c r="A88" s="2" t="s">
        <v>5</v>
      </c>
      <c r="B88" s="9" t="s">
        <v>46</v>
      </c>
      <c r="C88" s="18" t="s">
        <v>256</v>
      </c>
      <c r="D88" s="14" t="s">
        <v>28</v>
      </c>
      <c r="E88" s="4" t="s">
        <v>7</v>
      </c>
      <c r="F88" s="4" t="s">
        <v>8</v>
      </c>
      <c r="G88" s="4" t="s">
        <v>9</v>
      </c>
      <c r="H88" s="14" t="s">
        <v>28</v>
      </c>
      <c r="I88" s="4" t="s">
        <v>7</v>
      </c>
      <c r="J88" s="4" t="s">
        <v>8</v>
      </c>
      <c r="K88" s="4" t="s">
        <v>9</v>
      </c>
      <c r="L88" s="14" t="s">
        <v>28</v>
      </c>
      <c r="M88" s="4" t="s">
        <v>7</v>
      </c>
      <c r="N88" s="4" t="s">
        <v>8</v>
      </c>
      <c r="O88" s="4" t="s">
        <v>9</v>
      </c>
      <c r="P88" s="4" t="s">
        <v>193</v>
      </c>
      <c r="Q88" s="4" t="s">
        <v>197</v>
      </c>
      <c r="R88" s="4"/>
      <c r="S88" s="4"/>
    </row>
    <row r="89" spans="1:19">
      <c r="A89" s="1" t="s">
        <v>49</v>
      </c>
      <c r="B89" s="8" t="s">
        <v>269</v>
      </c>
      <c r="C89" s="422">
        <v>2.1</v>
      </c>
      <c r="D89" s="21" t="s">
        <v>29</v>
      </c>
      <c r="E89" s="6">
        <v>5.2200000000000003E-2</v>
      </c>
      <c r="F89" s="10">
        <v>5.0599999999999999E-2</v>
      </c>
      <c r="G89" s="5">
        <f t="shared" ref="G89:G99" si="16">+C89/(1-F89)+E89</f>
        <v>2.2641233199915738</v>
      </c>
      <c r="H89" s="21" t="s">
        <v>38</v>
      </c>
      <c r="I89" s="6">
        <f>E91</f>
        <v>0.1043</v>
      </c>
      <c r="J89" s="7">
        <v>2.2800000000000001E-2</v>
      </c>
      <c r="K89" s="5">
        <f>+G89/(1-J89)+I89</f>
        <v>2.4212497748583441</v>
      </c>
      <c r="L89" s="21" t="s">
        <v>39</v>
      </c>
      <c r="M89" s="6">
        <v>0</v>
      </c>
      <c r="N89" s="7">
        <v>2.5000000000000001E-3</v>
      </c>
      <c r="O89" s="5">
        <f>+K89/(1-N89)+M89</f>
        <v>2.4273180700334276</v>
      </c>
      <c r="P89" s="329">
        <f>Weightings!$C$4</f>
        <v>1071.401539872767</v>
      </c>
      <c r="Q89" s="5">
        <f t="shared" ref="Q89:Q99" si="17">+P89/SUM($P$9:$P$19)*O89</f>
        <v>3.2663967592362356E-2</v>
      </c>
      <c r="R89" s="5"/>
      <c r="S89" s="245"/>
    </row>
    <row r="90" spans="1:19">
      <c r="A90" s="1" t="s">
        <v>50</v>
      </c>
      <c r="B90" s="8" t="s">
        <v>270</v>
      </c>
      <c r="C90" s="422">
        <v>2.04</v>
      </c>
      <c r="D90" s="21" t="s">
        <v>30</v>
      </c>
      <c r="E90" s="6">
        <v>5.2200000000000003E-2</v>
      </c>
      <c r="F90" s="10">
        <v>5.8000000000000003E-2</v>
      </c>
      <c r="G90" s="5">
        <f t="shared" si="16"/>
        <v>2.2178050955414013</v>
      </c>
      <c r="H90" s="21" t="s">
        <v>38</v>
      </c>
      <c r="I90" s="6">
        <f>E91</f>
        <v>0.1043</v>
      </c>
      <c r="J90" s="7">
        <v>2.2800000000000001E-2</v>
      </c>
      <c r="K90" s="5">
        <f t="shared" ref="K90:K99" si="18">+G90/(1-J90)+I90</f>
        <v>2.3738508550362272</v>
      </c>
      <c r="L90" s="21" t="s">
        <v>39</v>
      </c>
      <c r="M90" s="6">
        <v>0</v>
      </c>
      <c r="N90" s="7">
        <v>2.5000000000000001E-3</v>
      </c>
      <c r="O90" s="5">
        <f t="shared" ref="O90:O99" si="19">+K90/(1-N90)+M90</f>
        <v>2.3798003559260423</v>
      </c>
      <c r="P90" s="329">
        <f>Weightings!$C$5</f>
        <v>1309.8829179244465</v>
      </c>
      <c r="Q90" s="5">
        <f t="shared" si="17"/>
        <v>3.9152814298252278E-2</v>
      </c>
      <c r="R90" s="5"/>
      <c r="S90" s="29"/>
    </row>
    <row r="91" spans="1:19">
      <c r="A91" s="1" t="s">
        <v>40</v>
      </c>
      <c r="B91" s="8" t="s">
        <v>257</v>
      </c>
      <c r="C91" s="422">
        <v>2.3450000000000002</v>
      </c>
      <c r="D91" s="21" t="s">
        <v>154</v>
      </c>
      <c r="E91" s="6">
        <f>0.0951+0.0022+0.007</f>
        <v>0.1043</v>
      </c>
      <c r="F91" s="10">
        <v>2.2800000000000001E-2</v>
      </c>
      <c r="G91" s="5">
        <f t="shared" si="16"/>
        <v>2.5040134670487109</v>
      </c>
      <c r="H91" s="21" t="s">
        <v>39</v>
      </c>
      <c r="I91" s="6">
        <v>0</v>
      </c>
      <c r="J91" s="7">
        <v>2.5000000000000001E-3</v>
      </c>
      <c r="K91" s="5">
        <f t="shared" si="18"/>
        <v>2.5102891900237703</v>
      </c>
      <c r="L91" s="21"/>
      <c r="M91" s="6">
        <v>0</v>
      </c>
      <c r="N91" s="7">
        <v>0</v>
      </c>
      <c r="O91" s="5">
        <f t="shared" si="19"/>
        <v>2.5102891900237703</v>
      </c>
      <c r="P91" s="329">
        <f>Weightings!$C$6</f>
        <v>19813.452023725906</v>
      </c>
      <c r="Q91" s="5">
        <f t="shared" si="17"/>
        <v>0.62470342117096478</v>
      </c>
      <c r="R91" s="5"/>
      <c r="S91" s="29"/>
    </row>
    <row r="92" spans="1:19">
      <c r="A92" s="1" t="s">
        <v>41</v>
      </c>
      <c r="B92" s="8" t="s">
        <v>258</v>
      </c>
      <c r="C92" s="422">
        <v>2.37</v>
      </c>
      <c r="D92" s="21" t="s">
        <v>155</v>
      </c>
      <c r="E92" s="6">
        <f>0.0951+0.0022+0.007</f>
        <v>0.1043</v>
      </c>
      <c r="F92" s="10">
        <v>2.2800000000000001E-2</v>
      </c>
      <c r="G92" s="5">
        <f t="shared" si="16"/>
        <v>2.5295967662709784</v>
      </c>
      <c r="H92" s="21" t="s">
        <v>39</v>
      </c>
      <c r="I92" s="6">
        <v>0</v>
      </c>
      <c r="J92" s="7">
        <v>2.5000000000000001E-3</v>
      </c>
      <c r="K92" s="5">
        <f t="shared" si="18"/>
        <v>2.5359366077904544</v>
      </c>
      <c r="L92" s="21"/>
      <c r="M92" s="6">
        <v>0</v>
      </c>
      <c r="N92" s="7">
        <v>0</v>
      </c>
      <c r="O92" s="5">
        <f t="shared" si="19"/>
        <v>2.5359366077904544</v>
      </c>
      <c r="P92" s="329">
        <f>Weightings!$C$7</f>
        <v>669.60336394048545</v>
      </c>
      <c r="Q92" s="5">
        <f t="shared" si="17"/>
        <v>2.1327797109019445E-2</v>
      </c>
      <c r="R92" s="5"/>
      <c r="S92" s="245"/>
    </row>
    <row r="93" spans="1:19">
      <c r="A93" s="1" t="s">
        <v>26</v>
      </c>
      <c r="B93" s="8" t="s">
        <v>259</v>
      </c>
      <c r="C93" s="423">
        <f>C98</f>
        <v>2.08</v>
      </c>
      <c r="D93" s="21" t="s">
        <v>31</v>
      </c>
      <c r="E93" s="609">
        <f>0.0331+0.0022+0.0097</f>
        <v>4.4999999999999998E-2</v>
      </c>
      <c r="F93" s="608">
        <v>5.04E-2</v>
      </c>
      <c r="G93" s="5">
        <f t="shared" si="16"/>
        <v>2.2353959561920811</v>
      </c>
      <c r="H93" s="21" t="s">
        <v>38</v>
      </c>
      <c r="I93" s="6">
        <f>E91</f>
        <v>0.1043</v>
      </c>
      <c r="J93" s="7">
        <v>2.2800000000000001E-2</v>
      </c>
      <c r="K93" s="5">
        <f t="shared" si="18"/>
        <v>2.3918521451003696</v>
      </c>
      <c r="L93" s="21" t="s">
        <v>39</v>
      </c>
      <c r="M93" s="6">
        <v>0</v>
      </c>
      <c r="N93" s="7">
        <v>2.5000000000000001E-3</v>
      </c>
      <c r="O93" s="5">
        <f t="shared" si="19"/>
        <v>2.3978467620053827</v>
      </c>
      <c r="P93" s="329">
        <f>Weightings!$C$8</f>
        <v>273.77460524748824</v>
      </c>
      <c r="Q93" s="5">
        <f t="shared" si="17"/>
        <v>8.2452640388482566E-3</v>
      </c>
      <c r="R93" s="5"/>
      <c r="S93" s="29"/>
    </row>
    <row r="94" spans="1:19">
      <c r="A94" s="1" t="s">
        <v>27</v>
      </c>
      <c r="B94" s="8" t="s">
        <v>103</v>
      </c>
      <c r="C94" s="423">
        <f>C99</f>
        <v>2.165</v>
      </c>
      <c r="D94" s="21" t="s">
        <v>32</v>
      </c>
      <c r="E94" s="609">
        <f>0.0305+0.0022+0.0097</f>
        <v>4.24E-2</v>
      </c>
      <c r="F94" s="608">
        <v>4.6199999999999998E-2</v>
      </c>
      <c r="G94" s="5">
        <f t="shared" si="16"/>
        <v>2.3122678968337183</v>
      </c>
      <c r="H94" s="21" t="s">
        <v>38</v>
      </c>
      <c r="I94" s="6">
        <f>E91</f>
        <v>0.1043</v>
      </c>
      <c r="J94" s="7">
        <v>2.2800000000000001E-2</v>
      </c>
      <c r="K94" s="5">
        <f t="shared" si="18"/>
        <v>2.4705176594696256</v>
      </c>
      <c r="L94" s="21" t="s">
        <v>39</v>
      </c>
      <c r="M94" s="6">
        <v>0</v>
      </c>
      <c r="N94" s="7">
        <v>2.5000000000000001E-3</v>
      </c>
      <c r="O94" s="5">
        <f t="shared" si="19"/>
        <v>2.4767094330522563</v>
      </c>
      <c r="P94" s="329">
        <f>Weightings!$C$9</f>
        <v>6.554456479221634</v>
      </c>
      <c r="Q94" s="5">
        <f t="shared" si="17"/>
        <v>2.0389272172174655E-4</v>
      </c>
      <c r="R94" s="5"/>
      <c r="S94" s="29"/>
    </row>
    <row r="95" spans="1:19">
      <c r="A95" s="1" t="s">
        <v>0</v>
      </c>
      <c r="B95" s="8" t="s">
        <v>260</v>
      </c>
      <c r="C95" s="422">
        <v>2.0950000000000002</v>
      </c>
      <c r="D95" s="21" t="s">
        <v>37</v>
      </c>
      <c r="E95" s="6">
        <f>0.0366+0.0022</f>
        <v>3.8800000000000001E-2</v>
      </c>
      <c r="F95" s="10">
        <v>6.9699999999999996E-3</v>
      </c>
      <c r="G95" s="5">
        <f t="shared" si="16"/>
        <v>2.1485046413502116</v>
      </c>
      <c r="H95" s="21" t="s">
        <v>43</v>
      </c>
      <c r="I95" s="609">
        <f>0.017+0.0022</f>
        <v>1.9200000000000002E-2</v>
      </c>
      <c r="J95" s="608">
        <v>2.9020000000000001E-2</v>
      </c>
      <c r="K95" s="5">
        <f t="shared" si="18"/>
        <v>2.2319177092733238</v>
      </c>
      <c r="L95" s="15" t="s">
        <v>156</v>
      </c>
      <c r="M95" s="6">
        <f>E96</f>
        <v>2.2600000000000002E-2</v>
      </c>
      <c r="N95" s="10">
        <f>F96</f>
        <v>2.776E-2</v>
      </c>
      <c r="O95" s="247">
        <f t="shared" si="19"/>
        <v>2.318244809176051</v>
      </c>
      <c r="P95" s="329">
        <f>Weightings!$C$13</f>
        <v>31370.607479626047</v>
      </c>
      <c r="Q95" s="5">
        <f t="shared" si="17"/>
        <v>0.91342355233218731</v>
      </c>
      <c r="R95" s="247"/>
      <c r="S95" s="29"/>
    </row>
    <row r="96" spans="1:19">
      <c r="A96" s="1" t="s">
        <v>1</v>
      </c>
      <c r="B96" s="8" t="s">
        <v>261</v>
      </c>
      <c r="C96" s="422">
        <v>2.2749999999999999</v>
      </c>
      <c r="D96" s="21" t="s">
        <v>48</v>
      </c>
      <c r="E96" s="6">
        <f>0.0134+0.0022+0.007</f>
        <v>2.2600000000000002E-2</v>
      </c>
      <c r="F96" s="10">
        <v>2.776E-2</v>
      </c>
      <c r="G96" s="5">
        <f t="shared" si="16"/>
        <v>2.362557212210977</v>
      </c>
      <c r="H96" s="21"/>
      <c r="I96" s="6">
        <v>0</v>
      </c>
      <c r="J96" s="7">
        <v>0</v>
      </c>
      <c r="K96" s="5">
        <f t="shared" si="18"/>
        <v>2.362557212210977</v>
      </c>
      <c r="L96" s="15"/>
      <c r="M96" s="6">
        <v>0</v>
      </c>
      <c r="N96" s="7">
        <v>0</v>
      </c>
      <c r="O96" s="5">
        <f t="shared" si="19"/>
        <v>2.362557212210977</v>
      </c>
      <c r="P96" s="329">
        <f>Weightings!$C$14</f>
        <v>5614.3227016821775</v>
      </c>
      <c r="Q96" s="5">
        <f t="shared" si="17"/>
        <v>0.16659796286596298</v>
      </c>
      <c r="R96" s="5"/>
      <c r="S96" s="246"/>
    </row>
    <row r="97" spans="1:19">
      <c r="A97" s="1" t="s">
        <v>2</v>
      </c>
      <c r="B97" s="8" t="s">
        <v>262</v>
      </c>
      <c r="C97" s="649">
        <v>2.0350000000000001</v>
      </c>
      <c r="D97" s="21" t="s">
        <v>33</v>
      </c>
      <c r="E97" s="609">
        <f>0.0299+0.0022+0.0097</f>
        <v>4.1799999999999997E-2</v>
      </c>
      <c r="F97" s="608">
        <v>4.58E-2</v>
      </c>
      <c r="G97" s="5">
        <f t="shared" si="16"/>
        <v>2.1744765877174594</v>
      </c>
      <c r="H97" s="21" t="s">
        <v>42</v>
      </c>
      <c r="I97" s="6">
        <v>0</v>
      </c>
      <c r="J97" s="7">
        <v>0.01</v>
      </c>
      <c r="K97" s="5">
        <f t="shared" si="18"/>
        <v>2.1964409976944035</v>
      </c>
      <c r="L97" s="15"/>
      <c r="M97" s="6">
        <v>0</v>
      </c>
      <c r="N97" s="7">
        <v>0</v>
      </c>
      <c r="O97" s="5">
        <f t="shared" si="19"/>
        <v>2.1964409976944035</v>
      </c>
      <c r="P97" s="329">
        <f>Weightings!$C$15</f>
        <v>3366</v>
      </c>
      <c r="Q97" s="5">
        <f t="shared" si="17"/>
        <v>9.2858921201703304E-2</v>
      </c>
      <c r="R97" s="5"/>
      <c r="S97" s="29"/>
    </row>
    <row r="98" spans="1:19">
      <c r="A98" s="1" t="s">
        <v>3</v>
      </c>
      <c r="B98" s="8" t="s">
        <v>259</v>
      </c>
      <c r="C98" s="422">
        <v>2.08</v>
      </c>
      <c r="D98" s="21" t="s">
        <v>34</v>
      </c>
      <c r="E98" s="609">
        <f>0.0277+0.0022+0.0097</f>
        <v>3.9599999999999996E-2</v>
      </c>
      <c r="F98" s="608">
        <v>4.2299999999999997E-2</v>
      </c>
      <c r="G98" s="5">
        <f t="shared" si="16"/>
        <v>2.2114701054610006</v>
      </c>
      <c r="H98" s="21" t="s">
        <v>42</v>
      </c>
      <c r="I98" s="6">
        <v>0</v>
      </c>
      <c r="J98" s="7">
        <v>0.01</v>
      </c>
      <c r="K98" s="5">
        <f t="shared" si="18"/>
        <v>2.2338081873343443</v>
      </c>
      <c r="M98" s="6">
        <v>0</v>
      </c>
      <c r="N98" s="7">
        <v>0</v>
      </c>
      <c r="O98" s="5">
        <f t="shared" si="19"/>
        <v>2.2338081873343443</v>
      </c>
      <c r="P98" s="329">
        <f>Weightings!$C$16</f>
        <v>4950</v>
      </c>
      <c r="Q98" s="5">
        <f t="shared" si="17"/>
        <v>0.13888043180197171</v>
      </c>
      <c r="R98" s="5"/>
      <c r="S98" s="29"/>
    </row>
    <row r="99" spans="1:19">
      <c r="A99" s="1" t="s">
        <v>4</v>
      </c>
      <c r="B99" s="8" t="s">
        <v>103</v>
      </c>
      <c r="C99" s="422">
        <v>2.165</v>
      </c>
      <c r="D99" s="21" t="s">
        <v>35</v>
      </c>
      <c r="E99" s="609">
        <f>0.0251+0.0022+0.0097</f>
        <v>3.7000000000000005E-2</v>
      </c>
      <c r="F99" s="608">
        <v>3.8100000000000002E-2</v>
      </c>
      <c r="G99" s="5">
        <f t="shared" si="16"/>
        <v>2.2877537166025577</v>
      </c>
      <c r="H99" s="21" t="s">
        <v>42</v>
      </c>
      <c r="I99" s="6">
        <v>0</v>
      </c>
      <c r="J99" s="7">
        <v>0.01</v>
      </c>
      <c r="K99" s="5">
        <f t="shared" si="18"/>
        <v>2.3108623400025836</v>
      </c>
      <c r="M99" s="6">
        <v>0</v>
      </c>
      <c r="N99" s="7">
        <v>0</v>
      </c>
      <c r="O99" s="5">
        <f t="shared" si="19"/>
        <v>2.3108623400025836</v>
      </c>
      <c r="P99" s="329">
        <f>Weightings!$C$17</f>
        <v>11172.172715894869</v>
      </c>
      <c r="Q99" s="5">
        <f t="shared" si="17"/>
        <v>0.32426621092329044</v>
      </c>
      <c r="R99" s="5"/>
      <c r="S99" s="29"/>
    </row>
    <row r="100" spans="1:19">
      <c r="O100" s="35"/>
      <c r="P100" s="67"/>
      <c r="Q100" s="35"/>
      <c r="R100" s="35"/>
      <c r="S100" s="244"/>
    </row>
    <row r="101" spans="1:19" ht="13.5" thickBot="1">
      <c r="O101" s="36"/>
      <c r="P101" s="330"/>
      <c r="Q101" s="36"/>
      <c r="R101" s="36"/>
    </row>
    <row r="102" spans="1:19" ht="13.5" thickBot="1">
      <c r="O102" s="331" t="s">
        <v>198</v>
      </c>
      <c r="P102" s="332"/>
      <c r="Q102" s="333">
        <f>SUM(Q89:Q99)</f>
        <v>2.3623242360562848</v>
      </c>
      <c r="R102" s="424">
        <f>B87</f>
        <v>37169</v>
      </c>
    </row>
    <row r="103" spans="1:19">
      <c r="O103" s="35"/>
      <c r="P103" s="35"/>
      <c r="Q103" s="35"/>
      <c r="R103" s="35"/>
      <c r="S103" s="35"/>
    </row>
    <row r="104" spans="1:19">
      <c r="D104" s="21"/>
      <c r="H104" s="5"/>
      <c r="O104" s="36" t="s">
        <v>263</v>
      </c>
      <c r="P104" s="404">
        <f>Weightings!C103</f>
        <v>0</v>
      </c>
      <c r="Q104" s="35" t="s">
        <v>206</v>
      </c>
      <c r="R104" s="344" t="s">
        <v>208</v>
      </c>
      <c r="S104" s="35"/>
    </row>
    <row r="105" spans="1:19" ht="13.5" thickBot="1">
      <c r="A105" s="675"/>
      <c r="B105" s="676"/>
      <c r="C105" s="675"/>
      <c r="D105" s="677"/>
      <c r="E105" s="675"/>
      <c r="F105" s="675"/>
      <c r="G105" s="675"/>
      <c r="H105" s="678"/>
      <c r="I105" s="675"/>
      <c r="J105" s="675"/>
      <c r="K105" s="675"/>
      <c r="L105" s="675"/>
      <c r="M105" s="675"/>
      <c r="N105" s="675"/>
      <c r="O105" s="675"/>
      <c r="P105" s="679"/>
      <c r="Q105" s="675"/>
      <c r="R105" s="675"/>
      <c r="S105" s="675"/>
    </row>
    <row r="106" spans="1:19" ht="14.25" thickTop="1" thickBot="1">
      <c r="A106" s="2"/>
      <c r="B106" s="28"/>
      <c r="D106" s="3" t="s">
        <v>10</v>
      </c>
      <c r="H106" s="3" t="s">
        <v>11</v>
      </c>
      <c r="L106" s="3" t="s">
        <v>12</v>
      </c>
    </row>
    <row r="107" spans="1:19" ht="14.25" thickTop="1" thickBot="1">
      <c r="A107" s="421" t="s">
        <v>255</v>
      </c>
      <c r="B107" s="433">
        <f>B87+1</f>
        <v>37170</v>
      </c>
      <c r="C107" s="434">
        <f>Q122</f>
        <v>2.3762510015851501</v>
      </c>
      <c r="E107" s="624"/>
    </row>
    <row r="108" spans="1:19" ht="54" customHeight="1" thickTop="1">
      <c r="A108" s="2" t="s">
        <v>5</v>
      </c>
      <c r="B108" s="9" t="s">
        <v>46</v>
      </c>
      <c r="C108" s="18" t="s">
        <v>256</v>
      </c>
      <c r="D108" s="14" t="s">
        <v>28</v>
      </c>
      <c r="E108" s="4" t="s">
        <v>7</v>
      </c>
      <c r="F108" s="4" t="s">
        <v>8</v>
      </c>
      <c r="G108" s="4" t="s">
        <v>9</v>
      </c>
      <c r="H108" s="14" t="s">
        <v>28</v>
      </c>
      <c r="I108" s="4" t="s">
        <v>7</v>
      </c>
      <c r="J108" s="4" t="s">
        <v>8</v>
      </c>
      <c r="K108" s="4" t="s">
        <v>9</v>
      </c>
      <c r="L108" s="14" t="s">
        <v>28</v>
      </c>
      <c r="M108" s="4" t="s">
        <v>7</v>
      </c>
      <c r="N108" s="4" t="s">
        <v>8</v>
      </c>
      <c r="O108" s="4" t="s">
        <v>9</v>
      </c>
      <c r="P108" s="4" t="s">
        <v>193</v>
      </c>
      <c r="Q108" s="4" t="s">
        <v>197</v>
      </c>
      <c r="R108" s="4"/>
      <c r="S108" s="4"/>
    </row>
    <row r="109" spans="1:19">
      <c r="A109" s="1" t="s">
        <v>49</v>
      </c>
      <c r="B109" s="8" t="s">
        <v>269</v>
      </c>
      <c r="C109" s="422">
        <v>2.1150000000000002</v>
      </c>
      <c r="D109" s="21" t="s">
        <v>29</v>
      </c>
      <c r="E109" s="6">
        <v>5.2200000000000003E-2</v>
      </c>
      <c r="F109" s="10">
        <v>5.0599999999999999E-2</v>
      </c>
      <c r="G109" s="5">
        <f t="shared" ref="G109:G119" si="20">+C109/(1-F109)+E109</f>
        <v>2.2799227722772279</v>
      </c>
      <c r="H109" s="21" t="s">
        <v>38</v>
      </c>
      <c r="I109" s="6">
        <f>E111</f>
        <v>0.1043</v>
      </c>
      <c r="J109" s="7">
        <v>2.2800000000000001E-2</v>
      </c>
      <c r="K109" s="5">
        <f>+G109/(1-J109)+I109</f>
        <v>2.4374178594732174</v>
      </c>
      <c r="L109" s="21" t="s">
        <v>39</v>
      </c>
      <c r="M109" s="6">
        <v>0</v>
      </c>
      <c r="N109" s="7">
        <v>2.5000000000000001E-3</v>
      </c>
      <c r="O109" s="5">
        <f>+K109/(1-N109)+M109</f>
        <v>2.4435266761636263</v>
      </c>
      <c r="P109" s="329">
        <f>Weightings!$C$4</f>
        <v>1071.401539872767</v>
      </c>
      <c r="Q109" s="5">
        <f t="shared" ref="Q109:Q119" si="21">+P109/SUM($P$9:$P$19)*O109</f>
        <v>3.2882083788954131E-2</v>
      </c>
      <c r="R109" s="5"/>
      <c r="S109" s="245"/>
    </row>
    <row r="110" spans="1:19">
      <c r="A110" s="1" t="s">
        <v>50</v>
      </c>
      <c r="B110" s="8" t="s">
        <v>270</v>
      </c>
      <c r="C110" s="422">
        <v>2.04</v>
      </c>
      <c r="D110" s="21" t="s">
        <v>30</v>
      </c>
      <c r="E110" s="6">
        <v>5.2200000000000003E-2</v>
      </c>
      <c r="F110" s="10">
        <v>5.8000000000000003E-2</v>
      </c>
      <c r="G110" s="5">
        <f t="shared" si="20"/>
        <v>2.2178050955414013</v>
      </c>
      <c r="H110" s="21" t="s">
        <v>38</v>
      </c>
      <c r="I110" s="6">
        <f>E111</f>
        <v>0.1043</v>
      </c>
      <c r="J110" s="7">
        <v>2.2800000000000001E-2</v>
      </c>
      <c r="K110" s="5">
        <f t="shared" ref="K110:K119" si="22">+G110/(1-J110)+I110</f>
        <v>2.3738508550362272</v>
      </c>
      <c r="L110" s="21" t="s">
        <v>39</v>
      </c>
      <c r="M110" s="6">
        <v>0</v>
      </c>
      <c r="N110" s="7">
        <v>2.5000000000000001E-3</v>
      </c>
      <c r="O110" s="5">
        <f t="shared" ref="O110:O119" si="23">+K110/(1-N110)+M110</f>
        <v>2.3798003559260423</v>
      </c>
      <c r="P110" s="329">
        <f>Weightings!$C$5</f>
        <v>1309.8829179244465</v>
      </c>
      <c r="Q110" s="5">
        <f t="shared" si="21"/>
        <v>3.9152814298252278E-2</v>
      </c>
      <c r="R110" s="5"/>
      <c r="S110" s="29"/>
    </row>
    <row r="111" spans="1:19">
      <c r="A111" s="1" t="s">
        <v>40</v>
      </c>
      <c r="B111" s="8" t="s">
        <v>257</v>
      </c>
      <c r="C111" s="422">
        <v>2.39</v>
      </c>
      <c r="D111" s="21" t="s">
        <v>154</v>
      </c>
      <c r="E111" s="6">
        <f>0.0951+0.0022+0.007</f>
        <v>0.1043</v>
      </c>
      <c r="F111" s="10">
        <v>2.2800000000000001E-2</v>
      </c>
      <c r="G111" s="5">
        <f t="shared" si="20"/>
        <v>2.5500634056487925</v>
      </c>
      <c r="H111" s="21" t="s">
        <v>39</v>
      </c>
      <c r="I111" s="6">
        <v>0</v>
      </c>
      <c r="J111" s="7">
        <v>2.5000000000000001E-3</v>
      </c>
      <c r="K111" s="5">
        <f t="shared" si="22"/>
        <v>2.5564545420038018</v>
      </c>
      <c r="L111" s="21"/>
      <c r="M111" s="6">
        <v>0</v>
      </c>
      <c r="N111" s="7">
        <v>0</v>
      </c>
      <c r="O111" s="5">
        <f t="shared" si="23"/>
        <v>2.5564545420038018</v>
      </c>
      <c r="P111" s="329">
        <f>Weightings!$C$6</f>
        <v>19813.452023725906</v>
      </c>
      <c r="Q111" s="5">
        <f t="shared" si="21"/>
        <v>0.63619199923444059</v>
      </c>
      <c r="R111" s="5"/>
      <c r="S111" s="29"/>
    </row>
    <row r="112" spans="1:19">
      <c r="A112" s="1" t="s">
        <v>41</v>
      </c>
      <c r="B112" s="8" t="s">
        <v>258</v>
      </c>
      <c r="C112" s="422">
        <v>2.4049999999999998</v>
      </c>
      <c r="D112" s="21" t="s">
        <v>155</v>
      </c>
      <c r="E112" s="6">
        <f>0.0951+0.0022+0.007</f>
        <v>0.1043</v>
      </c>
      <c r="F112" s="10">
        <v>2.2800000000000001E-2</v>
      </c>
      <c r="G112" s="5">
        <f t="shared" si="20"/>
        <v>2.5654133851821528</v>
      </c>
      <c r="H112" s="21" t="s">
        <v>39</v>
      </c>
      <c r="I112" s="6">
        <v>0</v>
      </c>
      <c r="J112" s="7">
        <v>2.5000000000000001E-3</v>
      </c>
      <c r="K112" s="5">
        <f t="shared" si="22"/>
        <v>2.5718429926638122</v>
      </c>
      <c r="L112" s="21"/>
      <c r="M112" s="6">
        <v>0</v>
      </c>
      <c r="N112" s="7">
        <v>0</v>
      </c>
      <c r="O112" s="5">
        <f t="shared" si="23"/>
        <v>2.5718429926638122</v>
      </c>
      <c r="P112" s="329">
        <f>Weightings!$C$7</f>
        <v>669.60336394048545</v>
      </c>
      <c r="Q112" s="5">
        <f t="shared" si="21"/>
        <v>2.1629777879810314E-2</v>
      </c>
      <c r="R112" s="5"/>
      <c r="S112" s="245"/>
    </row>
    <row r="113" spans="1:19">
      <c r="A113" s="1" t="s">
        <v>26</v>
      </c>
      <c r="B113" s="8" t="s">
        <v>259</v>
      </c>
      <c r="C113" s="423">
        <f>C118</f>
        <v>2.0550000000000002</v>
      </c>
      <c r="D113" s="21" t="s">
        <v>31</v>
      </c>
      <c r="E113" s="609">
        <f>0.0331+0.0022+0.0097</f>
        <v>4.4999999999999998E-2</v>
      </c>
      <c r="F113" s="608">
        <v>5.04E-2</v>
      </c>
      <c r="G113" s="5">
        <f t="shared" si="20"/>
        <v>2.2090690817186185</v>
      </c>
      <c r="H113" s="21" t="s">
        <v>38</v>
      </c>
      <c r="I113" s="6">
        <f>E111</f>
        <v>0.1043</v>
      </c>
      <c r="J113" s="7">
        <v>2.2800000000000001E-2</v>
      </c>
      <c r="K113" s="5">
        <f t="shared" si="22"/>
        <v>2.3649110128107025</v>
      </c>
      <c r="L113" s="21" t="s">
        <v>39</v>
      </c>
      <c r="M113" s="6">
        <v>0</v>
      </c>
      <c r="N113" s="7">
        <v>2.5000000000000001E-3</v>
      </c>
      <c r="O113" s="5">
        <f t="shared" si="23"/>
        <v>2.3708381080809047</v>
      </c>
      <c r="P113" s="329">
        <f>Weightings!$C$8</f>
        <v>273.77460524748824</v>
      </c>
      <c r="Q113" s="5">
        <f t="shared" si="21"/>
        <v>8.1523917642434551E-3</v>
      </c>
      <c r="R113" s="5"/>
      <c r="S113" s="29"/>
    </row>
    <row r="114" spans="1:19">
      <c r="A114" s="1" t="s">
        <v>27</v>
      </c>
      <c r="B114" s="8" t="s">
        <v>103</v>
      </c>
      <c r="C114" s="423">
        <f>C119</f>
        <v>2.1749999999999998</v>
      </c>
      <c r="D114" s="21" t="s">
        <v>32</v>
      </c>
      <c r="E114" s="609">
        <f>0.0305+0.0022+0.0097</f>
        <v>4.24E-2</v>
      </c>
      <c r="F114" s="608">
        <v>4.6199999999999998E-2</v>
      </c>
      <c r="G114" s="5">
        <f t="shared" si="20"/>
        <v>2.3227522751100862</v>
      </c>
      <c r="H114" s="21" t="s">
        <v>38</v>
      </c>
      <c r="I114" s="6">
        <f>E111</f>
        <v>0.1043</v>
      </c>
      <c r="J114" s="7">
        <v>2.2800000000000001E-2</v>
      </c>
      <c r="K114" s="5">
        <f t="shared" si="22"/>
        <v>2.4812466589337761</v>
      </c>
      <c r="L114" s="21" t="s">
        <v>39</v>
      </c>
      <c r="M114" s="6">
        <v>0</v>
      </c>
      <c r="N114" s="7">
        <v>2.5000000000000001E-3</v>
      </c>
      <c r="O114" s="5">
        <f t="shared" si="23"/>
        <v>2.4874653222393746</v>
      </c>
      <c r="P114" s="329">
        <f>Weightings!$C$9</f>
        <v>6.554456479221634</v>
      </c>
      <c r="Q114" s="5">
        <f t="shared" si="21"/>
        <v>2.0477818995295378E-4</v>
      </c>
      <c r="R114" s="5"/>
      <c r="S114" s="29"/>
    </row>
    <row r="115" spans="1:19">
      <c r="A115" s="1" t="s">
        <v>0</v>
      </c>
      <c r="B115" s="8" t="s">
        <v>260</v>
      </c>
      <c r="C115" s="422">
        <v>2.0950000000000002</v>
      </c>
      <c r="D115" s="21" t="s">
        <v>37</v>
      </c>
      <c r="E115" s="6">
        <f>0.0366+0.0022</f>
        <v>3.8800000000000001E-2</v>
      </c>
      <c r="F115" s="10">
        <v>6.9699999999999996E-3</v>
      </c>
      <c r="G115" s="5">
        <f t="shared" si="20"/>
        <v>2.1485046413502116</v>
      </c>
      <c r="H115" s="21" t="s">
        <v>43</v>
      </c>
      <c r="I115" s="609">
        <f>0.017+0.0022</f>
        <v>1.9200000000000002E-2</v>
      </c>
      <c r="J115" s="608">
        <v>2.9020000000000001E-2</v>
      </c>
      <c r="K115" s="5">
        <f t="shared" si="22"/>
        <v>2.2319177092733238</v>
      </c>
      <c r="L115" s="15" t="s">
        <v>156</v>
      </c>
      <c r="M115" s="6">
        <f>E116</f>
        <v>2.2600000000000002E-2</v>
      </c>
      <c r="N115" s="10">
        <f>F116</f>
        <v>2.776E-2</v>
      </c>
      <c r="O115" s="247">
        <f t="shared" si="23"/>
        <v>2.318244809176051</v>
      </c>
      <c r="P115" s="329">
        <f>Weightings!$C$13</f>
        <v>31370.607479626047</v>
      </c>
      <c r="Q115" s="5">
        <f t="shared" si="21"/>
        <v>0.91342355233218731</v>
      </c>
      <c r="R115" s="247"/>
      <c r="S115" s="29"/>
    </row>
    <row r="116" spans="1:19">
      <c r="A116" s="1" t="s">
        <v>1</v>
      </c>
      <c r="B116" s="8" t="s">
        <v>261</v>
      </c>
      <c r="C116" s="422">
        <v>2.3050000000000002</v>
      </c>
      <c r="D116" s="21" t="s">
        <v>48</v>
      </c>
      <c r="E116" s="6">
        <f>0.0134+0.0022+0.007</f>
        <v>2.2600000000000002E-2</v>
      </c>
      <c r="F116" s="10">
        <v>2.776E-2</v>
      </c>
      <c r="G116" s="5">
        <f t="shared" si="20"/>
        <v>2.3934137908335393</v>
      </c>
      <c r="H116" s="21"/>
      <c r="I116" s="6">
        <v>0</v>
      </c>
      <c r="J116" s="7">
        <v>0</v>
      </c>
      <c r="K116" s="5">
        <f t="shared" si="22"/>
        <v>2.3934137908335393</v>
      </c>
      <c r="L116" s="15"/>
      <c r="M116" s="6">
        <v>0</v>
      </c>
      <c r="N116" s="7">
        <v>0</v>
      </c>
      <c r="O116" s="5">
        <f t="shared" si="23"/>
        <v>2.3934137908335393</v>
      </c>
      <c r="P116" s="329">
        <f>Weightings!$C$14</f>
        <v>5614.3227016821775</v>
      </c>
      <c r="Q116" s="5">
        <f t="shared" si="21"/>
        <v>0.16877384377710566</v>
      </c>
      <c r="R116" s="5"/>
      <c r="S116" s="246"/>
    </row>
    <row r="117" spans="1:19">
      <c r="A117" s="1" t="s">
        <v>2</v>
      </c>
      <c r="B117" s="8" t="s">
        <v>262</v>
      </c>
      <c r="C117" s="649">
        <v>2.0350000000000001</v>
      </c>
      <c r="D117" s="21" t="s">
        <v>33</v>
      </c>
      <c r="E117" s="609">
        <f>0.0299+0.0022+0.0097</f>
        <v>4.1799999999999997E-2</v>
      </c>
      <c r="F117" s="608">
        <v>4.58E-2</v>
      </c>
      <c r="G117" s="5">
        <f t="shared" si="20"/>
        <v>2.1744765877174594</v>
      </c>
      <c r="H117" s="21" t="s">
        <v>42</v>
      </c>
      <c r="I117" s="6">
        <v>0</v>
      </c>
      <c r="J117" s="7">
        <v>0.01</v>
      </c>
      <c r="K117" s="5">
        <f t="shared" si="22"/>
        <v>2.1964409976944035</v>
      </c>
      <c r="L117" s="15"/>
      <c r="M117" s="6">
        <v>0</v>
      </c>
      <c r="N117" s="7">
        <v>0</v>
      </c>
      <c r="O117" s="5">
        <f t="shared" si="23"/>
        <v>2.1964409976944035</v>
      </c>
      <c r="P117" s="329">
        <f>Weightings!$C$15</f>
        <v>3366</v>
      </c>
      <c r="Q117" s="5">
        <f t="shared" si="21"/>
        <v>9.2858921201703304E-2</v>
      </c>
      <c r="R117" s="5"/>
      <c r="S117" s="29"/>
    </row>
    <row r="118" spans="1:19">
      <c r="A118" s="1" t="s">
        <v>3</v>
      </c>
      <c r="B118" s="8" t="s">
        <v>259</v>
      </c>
      <c r="C118" s="422">
        <v>2.0550000000000002</v>
      </c>
      <c r="D118" s="21" t="s">
        <v>34</v>
      </c>
      <c r="E118" s="609">
        <f>0.0277+0.0022+0.0097</f>
        <v>3.9599999999999996E-2</v>
      </c>
      <c r="F118" s="608">
        <v>4.2299999999999997E-2</v>
      </c>
      <c r="G118" s="5">
        <f t="shared" si="20"/>
        <v>2.1853658974626713</v>
      </c>
      <c r="H118" s="21" t="s">
        <v>42</v>
      </c>
      <c r="I118" s="6">
        <v>0</v>
      </c>
      <c r="J118" s="7">
        <v>0.01</v>
      </c>
      <c r="K118" s="5">
        <f t="shared" si="22"/>
        <v>2.2074403004673449</v>
      </c>
      <c r="M118" s="6">
        <v>0</v>
      </c>
      <c r="N118" s="7">
        <v>0</v>
      </c>
      <c r="O118" s="5">
        <f t="shared" si="23"/>
        <v>2.2074403004673449</v>
      </c>
      <c r="P118" s="329">
        <f>Weightings!$C$16</f>
        <v>4950</v>
      </c>
      <c r="Q118" s="5">
        <f t="shared" si="21"/>
        <v>0.13724108625092674</v>
      </c>
      <c r="R118" s="5"/>
      <c r="S118" s="29"/>
    </row>
    <row r="119" spans="1:19">
      <c r="A119" s="1" t="s">
        <v>4</v>
      </c>
      <c r="B119" s="8" t="s">
        <v>103</v>
      </c>
      <c r="C119" s="422">
        <v>2.1749999999999998</v>
      </c>
      <c r="D119" s="21" t="s">
        <v>35</v>
      </c>
      <c r="E119" s="609">
        <f>0.0251+0.0022+0.0097</f>
        <v>3.7000000000000005E-2</v>
      </c>
      <c r="F119" s="608">
        <v>3.8100000000000002E-2</v>
      </c>
      <c r="G119" s="5">
        <f t="shared" si="20"/>
        <v>2.2981498076723148</v>
      </c>
      <c r="H119" s="21" t="s">
        <v>42</v>
      </c>
      <c r="I119" s="6">
        <v>0</v>
      </c>
      <c r="J119" s="7">
        <v>0.01</v>
      </c>
      <c r="K119" s="5">
        <f t="shared" si="22"/>
        <v>2.3213634420932472</v>
      </c>
      <c r="M119" s="6">
        <v>0</v>
      </c>
      <c r="N119" s="7">
        <v>0</v>
      </c>
      <c r="O119" s="5">
        <f t="shared" si="23"/>
        <v>2.3213634420932472</v>
      </c>
      <c r="P119" s="329">
        <f>Weightings!$C$17</f>
        <v>11172.172715894869</v>
      </c>
      <c r="Q119" s="5">
        <f t="shared" si="21"/>
        <v>0.32573975286757356</v>
      </c>
      <c r="R119" s="5"/>
      <c r="S119" s="29"/>
    </row>
    <row r="120" spans="1:19">
      <c r="O120" s="35"/>
      <c r="P120" s="67"/>
      <c r="Q120" s="35"/>
      <c r="R120" s="35"/>
      <c r="S120" s="244"/>
    </row>
    <row r="121" spans="1:19" ht="13.5" thickBot="1">
      <c r="O121" s="36"/>
      <c r="P121" s="330"/>
      <c r="Q121" s="36"/>
      <c r="R121" s="36"/>
    </row>
    <row r="122" spans="1:19" ht="13.5" thickBot="1">
      <c r="O122" s="331" t="s">
        <v>198</v>
      </c>
      <c r="P122" s="332"/>
      <c r="Q122" s="333">
        <f>SUM(Q109:Q119)</f>
        <v>2.3762510015851501</v>
      </c>
      <c r="R122" s="424">
        <f>B107</f>
        <v>37170</v>
      </c>
    </row>
    <row r="123" spans="1:19">
      <c r="O123" s="35"/>
      <c r="P123" s="35"/>
      <c r="Q123" s="35"/>
      <c r="R123" s="35"/>
      <c r="S123" s="35"/>
    </row>
    <row r="124" spans="1:19">
      <c r="D124" s="21"/>
      <c r="H124" s="5"/>
      <c r="O124" s="36" t="s">
        <v>263</v>
      </c>
      <c r="P124" s="404">
        <f>Weightings!C123</f>
        <v>0</v>
      </c>
      <c r="Q124" s="35" t="s">
        <v>206</v>
      </c>
      <c r="R124" s="344" t="s">
        <v>208</v>
      </c>
      <c r="S124" s="35"/>
    </row>
    <row r="125" spans="1:19" ht="13.5" thickBot="1">
      <c r="A125" s="675"/>
      <c r="B125" s="676"/>
      <c r="C125" s="675"/>
      <c r="D125" s="677"/>
      <c r="E125" s="675"/>
      <c r="F125" s="675"/>
      <c r="G125" s="675"/>
      <c r="H125" s="678"/>
      <c r="I125" s="675"/>
      <c r="J125" s="675"/>
      <c r="K125" s="675"/>
      <c r="L125" s="675"/>
      <c r="M125" s="675"/>
      <c r="N125" s="675"/>
      <c r="O125" s="675"/>
      <c r="P125" s="679"/>
      <c r="Q125" s="675"/>
      <c r="R125" s="675"/>
      <c r="S125" s="675"/>
    </row>
    <row r="126" spans="1:19" ht="14.25" thickTop="1" thickBot="1">
      <c r="A126" s="2"/>
      <c r="B126" s="28"/>
      <c r="D126" s="3" t="s">
        <v>10</v>
      </c>
      <c r="H126" s="3" t="s">
        <v>11</v>
      </c>
      <c r="L126" s="3" t="s">
        <v>12</v>
      </c>
    </row>
    <row r="127" spans="1:19" ht="14.25" thickTop="1" thickBot="1">
      <c r="A127" s="421" t="s">
        <v>255</v>
      </c>
      <c r="B127" s="433">
        <f>B107+1</f>
        <v>37171</v>
      </c>
      <c r="C127" s="434">
        <f>Q142</f>
        <v>2.3762510015851501</v>
      </c>
      <c r="E127" s="624"/>
    </row>
    <row r="128" spans="1:19" ht="54" customHeight="1" thickTop="1">
      <c r="A128" s="2" t="s">
        <v>5</v>
      </c>
      <c r="B128" s="9" t="s">
        <v>46</v>
      </c>
      <c r="C128" s="18" t="s">
        <v>256</v>
      </c>
      <c r="D128" s="14" t="s">
        <v>28</v>
      </c>
      <c r="E128" s="4" t="s">
        <v>7</v>
      </c>
      <c r="F128" s="4" t="s">
        <v>8</v>
      </c>
      <c r="G128" s="4" t="s">
        <v>9</v>
      </c>
      <c r="H128" s="14" t="s">
        <v>28</v>
      </c>
      <c r="I128" s="4" t="s">
        <v>7</v>
      </c>
      <c r="J128" s="4" t="s">
        <v>8</v>
      </c>
      <c r="K128" s="4" t="s">
        <v>9</v>
      </c>
      <c r="L128" s="14" t="s">
        <v>28</v>
      </c>
      <c r="M128" s="4" t="s">
        <v>7</v>
      </c>
      <c r="N128" s="4" t="s">
        <v>8</v>
      </c>
      <c r="O128" s="4" t="s">
        <v>9</v>
      </c>
      <c r="P128" s="4" t="s">
        <v>193</v>
      </c>
      <c r="Q128" s="4" t="s">
        <v>197</v>
      </c>
      <c r="R128" s="4"/>
      <c r="S128" s="4"/>
    </row>
    <row r="129" spans="1:19">
      <c r="A129" s="1" t="s">
        <v>49</v>
      </c>
      <c r="B129" s="8" t="s">
        <v>269</v>
      </c>
      <c r="C129" s="422">
        <v>2.1150000000000002</v>
      </c>
      <c r="D129" s="21" t="s">
        <v>29</v>
      </c>
      <c r="E129" s="6">
        <v>5.2200000000000003E-2</v>
      </c>
      <c r="F129" s="10">
        <v>5.0599999999999999E-2</v>
      </c>
      <c r="G129" s="5">
        <f t="shared" ref="G129:G139" si="24">+C129/(1-F129)+E129</f>
        <v>2.2799227722772279</v>
      </c>
      <c r="H129" s="21" t="s">
        <v>38</v>
      </c>
      <c r="I129" s="6">
        <f>E131</f>
        <v>0.1043</v>
      </c>
      <c r="J129" s="7">
        <v>2.2800000000000001E-2</v>
      </c>
      <c r="K129" s="5">
        <f>+G129/(1-J129)+I129</f>
        <v>2.4374178594732174</v>
      </c>
      <c r="L129" s="21" t="s">
        <v>39</v>
      </c>
      <c r="M129" s="6">
        <v>0</v>
      </c>
      <c r="N129" s="7">
        <v>2.5000000000000001E-3</v>
      </c>
      <c r="O129" s="5">
        <f>+K129/(1-N129)+M129</f>
        <v>2.4435266761636263</v>
      </c>
      <c r="P129" s="329">
        <f>Weightings!$C$4</f>
        <v>1071.401539872767</v>
      </c>
      <c r="Q129" s="5">
        <f t="shared" ref="Q129:Q139" si="25">+P129/SUM($P$9:$P$19)*O129</f>
        <v>3.2882083788954131E-2</v>
      </c>
      <c r="R129" s="5"/>
      <c r="S129" s="245"/>
    </row>
    <row r="130" spans="1:19">
      <c r="A130" s="1" t="s">
        <v>50</v>
      </c>
      <c r="B130" s="8" t="s">
        <v>270</v>
      </c>
      <c r="C130" s="422">
        <v>2.04</v>
      </c>
      <c r="D130" s="21" t="s">
        <v>30</v>
      </c>
      <c r="E130" s="6">
        <v>5.2200000000000003E-2</v>
      </c>
      <c r="F130" s="10">
        <v>5.8000000000000003E-2</v>
      </c>
      <c r="G130" s="5">
        <f t="shared" si="24"/>
        <v>2.2178050955414013</v>
      </c>
      <c r="H130" s="21" t="s">
        <v>38</v>
      </c>
      <c r="I130" s="6">
        <f>E131</f>
        <v>0.1043</v>
      </c>
      <c r="J130" s="7">
        <v>2.2800000000000001E-2</v>
      </c>
      <c r="K130" s="5">
        <f t="shared" ref="K130:K139" si="26">+G130/(1-J130)+I130</f>
        <v>2.3738508550362272</v>
      </c>
      <c r="L130" s="21" t="s">
        <v>39</v>
      </c>
      <c r="M130" s="6">
        <v>0</v>
      </c>
      <c r="N130" s="7">
        <v>2.5000000000000001E-3</v>
      </c>
      <c r="O130" s="5">
        <f t="shared" ref="O130:O139" si="27">+K130/(1-N130)+M130</f>
        <v>2.3798003559260423</v>
      </c>
      <c r="P130" s="329">
        <f>Weightings!$C$5</f>
        <v>1309.8829179244465</v>
      </c>
      <c r="Q130" s="5">
        <f t="shared" si="25"/>
        <v>3.9152814298252278E-2</v>
      </c>
      <c r="R130" s="5"/>
      <c r="S130" s="29"/>
    </row>
    <row r="131" spans="1:19">
      <c r="A131" s="1" t="s">
        <v>40</v>
      </c>
      <c r="B131" s="8" t="s">
        <v>257</v>
      </c>
      <c r="C131" s="422">
        <v>2.39</v>
      </c>
      <c r="D131" s="21" t="s">
        <v>154</v>
      </c>
      <c r="E131" s="6">
        <f>0.0951+0.0022+0.007</f>
        <v>0.1043</v>
      </c>
      <c r="F131" s="10">
        <v>2.2800000000000001E-2</v>
      </c>
      <c r="G131" s="5">
        <f t="shared" si="24"/>
        <v>2.5500634056487925</v>
      </c>
      <c r="H131" s="21" t="s">
        <v>39</v>
      </c>
      <c r="I131" s="6">
        <v>0</v>
      </c>
      <c r="J131" s="7">
        <v>2.5000000000000001E-3</v>
      </c>
      <c r="K131" s="5">
        <f t="shared" si="26"/>
        <v>2.5564545420038018</v>
      </c>
      <c r="L131" s="21"/>
      <c r="M131" s="6">
        <v>0</v>
      </c>
      <c r="N131" s="7">
        <v>0</v>
      </c>
      <c r="O131" s="5">
        <f t="shared" si="27"/>
        <v>2.5564545420038018</v>
      </c>
      <c r="P131" s="329">
        <f>Weightings!$C$6</f>
        <v>19813.452023725906</v>
      </c>
      <c r="Q131" s="5">
        <f t="shared" si="25"/>
        <v>0.63619199923444059</v>
      </c>
      <c r="R131" s="5"/>
      <c r="S131" s="29"/>
    </row>
    <row r="132" spans="1:19">
      <c r="A132" s="1" t="s">
        <v>41</v>
      </c>
      <c r="B132" s="8" t="s">
        <v>258</v>
      </c>
      <c r="C132" s="422">
        <v>2.4049999999999998</v>
      </c>
      <c r="D132" s="21" t="s">
        <v>155</v>
      </c>
      <c r="E132" s="6">
        <f>0.0951+0.0022+0.007</f>
        <v>0.1043</v>
      </c>
      <c r="F132" s="10">
        <v>2.2800000000000001E-2</v>
      </c>
      <c r="G132" s="5">
        <f t="shared" si="24"/>
        <v>2.5654133851821528</v>
      </c>
      <c r="H132" s="21" t="s">
        <v>39</v>
      </c>
      <c r="I132" s="6">
        <v>0</v>
      </c>
      <c r="J132" s="7">
        <v>2.5000000000000001E-3</v>
      </c>
      <c r="K132" s="5">
        <f t="shared" si="26"/>
        <v>2.5718429926638122</v>
      </c>
      <c r="L132" s="21"/>
      <c r="M132" s="6">
        <v>0</v>
      </c>
      <c r="N132" s="7">
        <v>0</v>
      </c>
      <c r="O132" s="5">
        <f t="shared" si="27"/>
        <v>2.5718429926638122</v>
      </c>
      <c r="P132" s="329">
        <f>Weightings!$C$7</f>
        <v>669.60336394048545</v>
      </c>
      <c r="Q132" s="5">
        <f t="shared" si="25"/>
        <v>2.1629777879810314E-2</v>
      </c>
      <c r="R132" s="5"/>
      <c r="S132" s="245"/>
    </row>
    <row r="133" spans="1:19">
      <c r="A133" s="1" t="s">
        <v>26</v>
      </c>
      <c r="B133" s="8" t="s">
        <v>259</v>
      </c>
      <c r="C133" s="423">
        <f>C138</f>
        <v>2.0550000000000002</v>
      </c>
      <c r="D133" s="21" t="s">
        <v>31</v>
      </c>
      <c r="E133" s="609">
        <f>0.0331+0.0022+0.0097</f>
        <v>4.4999999999999998E-2</v>
      </c>
      <c r="F133" s="608">
        <v>5.04E-2</v>
      </c>
      <c r="G133" s="5">
        <f t="shared" si="24"/>
        <v>2.2090690817186185</v>
      </c>
      <c r="H133" s="21" t="s">
        <v>38</v>
      </c>
      <c r="I133" s="6">
        <f>E131</f>
        <v>0.1043</v>
      </c>
      <c r="J133" s="7">
        <v>2.2800000000000001E-2</v>
      </c>
      <c r="K133" s="5">
        <f t="shared" si="26"/>
        <v>2.3649110128107025</v>
      </c>
      <c r="L133" s="21" t="s">
        <v>39</v>
      </c>
      <c r="M133" s="6">
        <v>0</v>
      </c>
      <c r="N133" s="7">
        <v>2.5000000000000001E-3</v>
      </c>
      <c r="O133" s="5">
        <f t="shared" si="27"/>
        <v>2.3708381080809047</v>
      </c>
      <c r="P133" s="329">
        <f>Weightings!$C$8</f>
        <v>273.77460524748824</v>
      </c>
      <c r="Q133" s="5">
        <f t="shared" si="25"/>
        <v>8.1523917642434551E-3</v>
      </c>
      <c r="R133" s="5"/>
      <c r="S133" s="29"/>
    </row>
    <row r="134" spans="1:19">
      <c r="A134" s="1" t="s">
        <v>27</v>
      </c>
      <c r="B134" s="8" t="s">
        <v>103</v>
      </c>
      <c r="C134" s="423">
        <f>C139</f>
        <v>2.1749999999999998</v>
      </c>
      <c r="D134" s="21" t="s">
        <v>32</v>
      </c>
      <c r="E134" s="609">
        <f>0.0305+0.0022+0.0097</f>
        <v>4.24E-2</v>
      </c>
      <c r="F134" s="608">
        <v>4.6199999999999998E-2</v>
      </c>
      <c r="G134" s="5">
        <f t="shared" si="24"/>
        <v>2.3227522751100862</v>
      </c>
      <c r="H134" s="21" t="s">
        <v>38</v>
      </c>
      <c r="I134" s="6">
        <f>E131</f>
        <v>0.1043</v>
      </c>
      <c r="J134" s="7">
        <v>2.2800000000000001E-2</v>
      </c>
      <c r="K134" s="5">
        <f t="shared" si="26"/>
        <v>2.4812466589337761</v>
      </c>
      <c r="L134" s="21" t="s">
        <v>39</v>
      </c>
      <c r="M134" s="6">
        <v>0</v>
      </c>
      <c r="N134" s="7">
        <v>2.5000000000000001E-3</v>
      </c>
      <c r="O134" s="5">
        <f t="shared" si="27"/>
        <v>2.4874653222393746</v>
      </c>
      <c r="P134" s="329">
        <f>Weightings!$C$9</f>
        <v>6.554456479221634</v>
      </c>
      <c r="Q134" s="5">
        <f t="shared" si="25"/>
        <v>2.0477818995295378E-4</v>
      </c>
      <c r="R134" s="5"/>
      <c r="S134" s="29"/>
    </row>
    <row r="135" spans="1:19">
      <c r="A135" s="1" t="s">
        <v>0</v>
      </c>
      <c r="B135" s="8" t="s">
        <v>260</v>
      </c>
      <c r="C135" s="422">
        <v>2.0950000000000002</v>
      </c>
      <c r="D135" s="21" t="s">
        <v>37</v>
      </c>
      <c r="E135" s="6">
        <f>0.0366+0.0022</f>
        <v>3.8800000000000001E-2</v>
      </c>
      <c r="F135" s="10">
        <v>6.9699999999999996E-3</v>
      </c>
      <c r="G135" s="5">
        <f t="shared" si="24"/>
        <v>2.1485046413502116</v>
      </c>
      <c r="H135" s="21" t="s">
        <v>43</v>
      </c>
      <c r="I135" s="609">
        <f>0.017+0.0022</f>
        <v>1.9200000000000002E-2</v>
      </c>
      <c r="J135" s="608">
        <v>2.9020000000000001E-2</v>
      </c>
      <c r="K135" s="5">
        <f t="shared" si="26"/>
        <v>2.2319177092733238</v>
      </c>
      <c r="L135" s="15" t="s">
        <v>156</v>
      </c>
      <c r="M135" s="6">
        <f>E136</f>
        <v>2.2600000000000002E-2</v>
      </c>
      <c r="N135" s="10">
        <f>F136</f>
        <v>2.776E-2</v>
      </c>
      <c r="O135" s="247">
        <f t="shared" si="27"/>
        <v>2.318244809176051</v>
      </c>
      <c r="P135" s="329">
        <f>Weightings!$C$13</f>
        <v>31370.607479626047</v>
      </c>
      <c r="Q135" s="5">
        <f t="shared" si="25"/>
        <v>0.91342355233218731</v>
      </c>
      <c r="R135" s="247"/>
      <c r="S135" s="29"/>
    </row>
    <row r="136" spans="1:19">
      <c r="A136" s="1" t="s">
        <v>1</v>
      </c>
      <c r="B136" s="8" t="s">
        <v>261</v>
      </c>
      <c r="C136" s="422">
        <v>2.3050000000000002</v>
      </c>
      <c r="D136" s="21" t="s">
        <v>48</v>
      </c>
      <c r="E136" s="6">
        <f>0.0134+0.0022+0.007</f>
        <v>2.2600000000000002E-2</v>
      </c>
      <c r="F136" s="10">
        <v>2.776E-2</v>
      </c>
      <c r="G136" s="5">
        <f t="shared" si="24"/>
        <v>2.3934137908335393</v>
      </c>
      <c r="H136" s="21"/>
      <c r="I136" s="6">
        <v>0</v>
      </c>
      <c r="J136" s="7">
        <v>0</v>
      </c>
      <c r="K136" s="5">
        <f t="shared" si="26"/>
        <v>2.3934137908335393</v>
      </c>
      <c r="L136" s="15"/>
      <c r="M136" s="6">
        <v>0</v>
      </c>
      <c r="N136" s="7">
        <v>0</v>
      </c>
      <c r="O136" s="5">
        <f t="shared" si="27"/>
        <v>2.3934137908335393</v>
      </c>
      <c r="P136" s="329">
        <f>Weightings!$C$14</f>
        <v>5614.3227016821775</v>
      </c>
      <c r="Q136" s="5">
        <f t="shared" si="25"/>
        <v>0.16877384377710566</v>
      </c>
      <c r="R136" s="5"/>
      <c r="S136" s="246"/>
    </row>
    <row r="137" spans="1:19">
      <c r="A137" s="1" t="s">
        <v>2</v>
      </c>
      <c r="B137" s="8" t="s">
        <v>262</v>
      </c>
      <c r="C137" s="649">
        <v>2.0350000000000001</v>
      </c>
      <c r="D137" s="21" t="s">
        <v>33</v>
      </c>
      <c r="E137" s="609">
        <f>0.0299+0.0022+0.0097</f>
        <v>4.1799999999999997E-2</v>
      </c>
      <c r="F137" s="608">
        <v>4.58E-2</v>
      </c>
      <c r="G137" s="5">
        <f t="shared" si="24"/>
        <v>2.1744765877174594</v>
      </c>
      <c r="H137" s="21" t="s">
        <v>42</v>
      </c>
      <c r="I137" s="6">
        <v>0</v>
      </c>
      <c r="J137" s="7">
        <v>0.01</v>
      </c>
      <c r="K137" s="5">
        <f t="shared" si="26"/>
        <v>2.1964409976944035</v>
      </c>
      <c r="L137" s="15"/>
      <c r="M137" s="6">
        <v>0</v>
      </c>
      <c r="N137" s="7">
        <v>0</v>
      </c>
      <c r="O137" s="5">
        <f t="shared" si="27"/>
        <v>2.1964409976944035</v>
      </c>
      <c r="P137" s="329">
        <f>Weightings!$C$15</f>
        <v>3366</v>
      </c>
      <c r="Q137" s="5">
        <f t="shared" si="25"/>
        <v>9.2858921201703304E-2</v>
      </c>
      <c r="R137" s="5"/>
      <c r="S137" s="29"/>
    </row>
    <row r="138" spans="1:19">
      <c r="A138" s="1" t="s">
        <v>3</v>
      </c>
      <c r="B138" s="8" t="s">
        <v>259</v>
      </c>
      <c r="C138" s="422">
        <v>2.0550000000000002</v>
      </c>
      <c r="D138" s="21" t="s">
        <v>34</v>
      </c>
      <c r="E138" s="609">
        <f>0.0277+0.0022+0.0097</f>
        <v>3.9599999999999996E-2</v>
      </c>
      <c r="F138" s="608">
        <v>4.2299999999999997E-2</v>
      </c>
      <c r="G138" s="5">
        <f t="shared" si="24"/>
        <v>2.1853658974626713</v>
      </c>
      <c r="H138" s="21" t="s">
        <v>42</v>
      </c>
      <c r="I138" s="6">
        <v>0</v>
      </c>
      <c r="J138" s="7">
        <v>0.01</v>
      </c>
      <c r="K138" s="5">
        <f t="shared" si="26"/>
        <v>2.2074403004673449</v>
      </c>
      <c r="M138" s="6">
        <v>0</v>
      </c>
      <c r="N138" s="7">
        <v>0</v>
      </c>
      <c r="O138" s="5">
        <f t="shared" si="27"/>
        <v>2.2074403004673449</v>
      </c>
      <c r="P138" s="329">
        <f>Weightings!$C$16</f>
        <v>4950</v>
      </c>
      <c r="Q138" s="5">
        <f t="shared" si="25"/>
        <v>0.13724108625092674</v>
      </c>
      <c r="R138" s="5"/>
      <c r="S138" s="29"/>
    </row>
    <row r="139" spans="1:19">
      <c r="A139" s="1" t="s">
        <v>4</v>
      </c>
      <c r="B139" s="8" t="s">
        <v>103</v>
      </c>
      <c r="C139" s="422">
        <v>2.1749999999999998</v>
      </c>
      <c r="D139" s="21" t="s">
        <v>35</v>
      </c>
      <c r="E139" s="609">
        <f>0.0251+0.0022+0.0097</f>
        <v>3.7000000000000005E-2</v>
      </c>
      <c r="F139" s="608">
        <v>3.8100000000000002E-2</v>
      </c>
      <c r="G139" s="5">
        <f t="shared" si="24"/>
        <v>2.2981498076723148</v>
      </c>
      <c r="H139" s="21" t="s">
        <v>42</v>
      </c>
      <c r="I139" s="6">
        <v>0</v>
      </c>
      <c r="J139" s="7">
        <v>0.01</v>
      </c>
      <c r="K139" s="5">
        <f t="shared" si="26"/>
        <v>2.3213634420932472</v>
      </c>
      <c r="M139" s="6">
        <v>0</v>
      </c>
      <c r="N139" s="7">
        <v>0</v>
      </c>
      <c r="O139" s="5">
        <f t="shared" si="27"/>
        <v>2.3213634420932472</v>
      </c>
      <c r="P139" s="329">
        <f>Weightings!$C$17</f>
        <v>11172.172715894869</v>
      </c>
      <c r="Q139" s="5">
        <f t="shared" si="25"/>
        <v>0.32573975286757356</v>
      </c>
      <c r="R139" s="5"/>
      <c r="S139" s="29"/>
    </row>
    <row r="140" spans="1:19">
      <c r="O140" s="35"/>
      <c r="P140" s="67"/>
      <c r="Q140" s="35"/>
      <c r="R140" s="35"/>
      <c r="S140" s="244"/>
    </row>
    <row r="141" spans="1:19" ht="13.5" thickBot="1">
      <c r="O141" s="36"/>
      <c r="P141" s="330"/>
      <c r="Q141" s="36"/>
      <c r="R141" s="36"/>
    </row>
    <row r="142" spans="1:19" ht="13.5" thickBot="1">
      <c r="O142" s="331" t="s">
        <v>198</v>
      </c>
      <c r="P142" s="332"/>
      <c r="Q142" s="333">
        <f>SUM(Q129:Q139)</f>
        <v>2.3762510015851501</v>
      </c>
      <c r="R142" s="424">
        <f>B127</f>
        <v>37171</v>
      </c>
    </row>
    <row r="143" spans="1:19">
      <c r="O143" s="35"/>
      <c r="P143" s="35"/>
      <c r="Q143" s="35"/>
      <c r="R143" s="35"/>
      <c r="S143" s="35"/>
    </row>
    <row r="144" spans="1:19">
      <c r="D144" s="21"/>
      <c r="H144" s="5"/>
      <c r="O144" s="36" t="s">
        <v>263</v>
      </c>
      <c r="P144" s="404">
        <f>Weightings!C143</f>
        <v>0</v>
      </c>
      <c r="Q144" s="35" t="s">
        <v>206</v>
      </c>
      <c r="R144" s="344" t="s">
        <v>208</v>
      </c>
      <c r="S144" s="35"/>
    </row>
    <row r="145" spans="1:19" ht="13.5" thickBot="1">
      <c r="A145" s="675"/>
      <c r="B145" s="676"/>
      <c r="C145" s="675"/>
      <c r="D145" s="677"/>
      <c r="E145" s="675"/>
      <c r="F145" s="675"/>
      <c r="G145" s="675"/>
      <c r="H145" s="678"/>
      <c r="I145" s="675"/>
      <c r="J145" s="675"/>
      <c r="K145" s="675"/>
      <c r="L145" s="675"/>
      <c r="M145" s="675"/>
      <c r="N145" s="675"/>
      <c r="O145" s="675"/>
      <c r="P145" s="679"/>
      <c r="Q145" s="675"/>
      <c r="R145" s="675"/>
      <c r="S145" s="675"/>
    </row>
    <row r="146" spans="1:19" ht="14.25" thickTop="1" thickBot="1">
      <c r="A146" s="2"/>
      <c r="B146" s="28"/>
      <c r="D146" s="3" t="s">
        <v>10</v>
      </c>
      <c r="H146" s="3" t="s">
        <v>11</v>
      </c>
      <c r="L146" s="3" t="s">
        <v>12</v>
      </c>
    </row>
    <row r="147" spans="1:19" ht="14.25" thickTop="1" thickBot="1">
      <c r="A147" s="421" t="s">
        <v>255</v>
      </c>
      <c r="B147" s="433">
        <f>B127+1</f>
        <v>37172</v>
      </c>
      <c r="C147" s="434">
        <f>Q162</f>
        <v>2.3762510015851501</v>
      </c>
      <c r="E147" s="624"/>
    </row>
    <row r="148" spans="1:19" ht="54" customHeight="1" thickTop="1">
      <c r="A148" s="2" t="s">
        <v>5</v>
      </c>
      <c r="B148" s="9" t="s">
        <v>46</v>
      </c>
      <c r="C148" s="18" t="s">
        <v>256</v>
      </c>
      <c r="D148" s="14" t="s">
        <v>28</v>
      </c>
      <c r="E148" s="4" t="s">
        <v>7</v>
      </c>
      <c r="F148" s="4" t="s">
        <v>8</v>
      </c>
      <c r="G148" s="4" t="s">
        <v>9</v>
      </c>
      <c r="H148" s="14" t="s">
        <v>28</v>
      </c>
      <c r="I148" s="4" t="s">
        <v>7</v>
      </c>
      <c r="J148" s="4" t="s">
        <v>8</v>
      </c>
      <c r="K148" s="4" t="s">
        <v>9</v>
      </c>
      <c r="L148" s="14" t="s">
        <v>28</v>
      </c>
      <c r="M148" s="4" t="s">
        <v>7</v>
      </c>
      <c r="N148" s="4" t="s">
        <v>8</v>
      </c>
      <c r="O148" s="4" t="s">
        <v>9</v>
      </c>
      <c r="P148" s="4" t="s">
        <v>193</v>
      </c>
      <c r="Q148" s="4" t="s">
        <v>197</v>
      </c>
      <c r="R148" s="4"/>
      <c r="S148" s="4"/>
    </row>
    <row r="149" spans="1:19">
      <c r="A149" s="1" t="s">
        <v>49</v>
      </c>
      <c r="B149" s="8" t="s">
        <v>269</v>
      </c>
      <c r="C149" s="422">
        <v>2.1150000000000002</v>
      </c>
      <c r="D149" s="21" t="s">
        <v>29</v>
      </c>
      <c r="E149" s="6">
        <v>5.2200000000000003E-2</v>
      </c>
      <c r="F149" s="10">
        <v>5.0599999999999999E-2</v>
      </c>
      <c r="G149" s="5">
        <f t="shared" ref="G149:G159" si="28">+C149/(1-F149)+E149</f>
        <v>2.2799227722772279</v>
      </c>
      <c r="H149" s="21" t="s">
        <v>38</v>
      </c>
      <c r="I149" s="6">
        <f>E151</f>
        <v>0.1043</v>
      </c>
      <c r="J149" s="7">
        <v>2.2800000000000001E-2</v>
      </c>
      <c r="K149" s="5">
        <f>+G149/(1-J149)+I149</f>
        <v>2.4374178594732174</v>
      </c>
      <c r="L149" s="21" t="s">
        <v>39</v>
      </c>
      <c r="M149" s="6">
        <v>0</v>
      </c>
      <c r="N149" s="7">
        <v>2.5000000000000001E-3</v>
      </c>
      <c r="O149" s="5">
        <f>+K149/(1-N149)+M149</f>
        <v>2.4435266761636263</v>
      </c>
      <c r="P149" s="329">
        <f>Weightings!$C$4</f>
        <v>1071.401539872767</v>
      </c>
      <c r="Q149" s="5">
        <f t="shared" ref="Q149:Q159" si="29">+P149/SUM($P$9:$P$19)*O149</f>
        <v>3.2882083788954131E-2</v>
      </c>
      <c r="R149" s="5"/>
      <c r="S149" s="245"/>
    </row>
    <row r="150" spans="1:19">
      <c r="A150" s="1" t="s">
        <v>50</v>
      </c>
      <c r="B150" s="8" t="s">
        <v>270</v>
      </c>
      <c r="C150" s="422">
        <v>2.04</v>
      </c>
      <c r="D150" s="21" t="s">
        <v>30</v>
      </c>
      <c r="E150" s="6">
        <v>5.2200000000000003E-2</v>
      </c>
      <c r="F150" s="10">
        <v>5.8000000000000003E-2</v>
      </c>
      <c r="G150" s="5">
        <f t="shared" si="28"/>
        <v>2.2178050955414013</v>
      </c>
      <c r="H150" s="21" t="s">
        <v>38</v>
      </c>
      <c r="I150" s="6">
        <f>E151</f>
        <v>0.1043</v>
      </c>
      <c r="J150" s="7">
        <v>2.2800000000000001E-2</v>
      </c>
      <c r="K150" s="5">
        <f t="shared" ref="K150:K159" si="30">+G150/(1-J150)+I150</f>
        <v>2.3738508550362272</v>
      </c>
      <c r="L150" s="21" t="s">
        <v>39</v>
      </c>
      <c r="M150" s="6">
        <v>0</v>
      </c>
      <c r="N150" s="7">
        <v>2.5000000000000001E-3</v>
      </c>
      <c r="O150" s="5">
        <f t="shared" ref="O150:O159" si="31">+K150/(1-N150)+M150</f>
        <v>2.3798003559260423</v>
      </c>
      <c r="P150" s="329">
        <f>Weightings!$C$5</f>
        <v>1309.8829179244465</v>
      </c>
      <c r="Q150" s="5">
        <f t="shared" si="29"/>
        <v>3.9152814298252278E-2</v>
      </c>
      <c r="R150" s="5"/>
      <c r="S150" s="29"/>
    </row>
    <row r="151" spans="1:19">
      <c r="A151" s="1" t="s">
        <v>40</v>
      </c>
      <c r="B151" s="8" t="s">
        <v>257</v>
      </c>
      <c r="C151" s="422">
        <v>2.39</v>
      </c>
      <c r="D151" s="21" t="s">
        <v>154</v>
      </c>
      <c r="E151" s="6">
        <f>0.0951+0.0022+0.007</f>
        <v>0.1043</v>
      </c>
      <c r="F151" s="10">
        <v>2.2800000000000001E-2</v>
      </c>
      <c r="G151" s="5">
        <f t="shared" si="28"/>
        <v>2.5500634056487925</v>
      </c>
      <c r="H151" s="21" t="s">
        <v>39</v>
      </c>
      <c r="I151" s="6">
        <v>0</v>
      </c>
      <c r="J151" s="7">
        <v>2.5000000000000001E-3</v>
      </c>
      <c r="K151" s="5">
        <f t="shared" si="30"/>
        <v>2.5564545420038018</v>
      </c>
      <c r="L151" s="21"/>
      <c r="M151" s="6">
        <v>0</v>
      </c>
      <c r="N151" s="7">
        <v>0</v>
      </c>
      <c r="O151" s="5">
        <f t="shared" si="31"/>
        <v>2.5564545420038018</v>
      </c>
      <c r="P151" s="329">
        <f>Weightings!$C$6</f>
        <v>19813.452023725906</v>
      </c>
      <c r="Q151" s="5">
        <f t="shared" si="29"/>
        <v>0.63619199923444059</v>
      </c>
      <c r="R151" s="5"/>
      <c r="S151" s="29"/>
    </row>
    <row r="152" spans="1:19">
      <c r="A152" s="1" t="s">
        <v>41</v>
      </c>
      <c r="B152" s="8" t="s">
        <v>258</v>
      </c>
      <c r="C152" s="422">
        <v>2.4049999999999998</v>
      </c>
      <c r="D152" s="21" t="s">
        <v>155</v>
      </c>
      <c r="E152" s="6">
        <f>0.0951+0.0022+0.007</f>
        <v>0.1043</v>
      </c>
      <c r="F152" s="10">
        <v>2.2800000000000001E-2</v>
      </c>
      <c r="G152" s="5">
        <f t="shared" si="28"/>
        <v>2.5654133851821528</v>
      </c>
      <c r="H152" s="21" t="s">
        <v>39</v>
      </c>
      <c r="I152" s="6">
        <v>0</v>
      </c>
      <c r="J152" s="7">
        <v>2.5000000000000001E-3</v>
      </c>
      <c r="K152" s="5">
        <f t="shared" si="30"/>
        <v>2.5718429926638122</v>
      </c>
      <c r="L152" s="21"/>
      <c r="M152" s="6">
        <v>0</v>
      </c>
      <c r="N152" s="7">
        <v>0</v>
      </c>
      <c r="O152" s="5">
        <f t="shared" si="31"/>
        <v>2.5718429926638122</v>
      </c>
      <c r="P152" s="329">
        <f>Weightings!$C$7</f>
        <v>669.60336394048545</v>
      </c>
      <c r="Q152" s="5">
        <f t="shared" si="29"/>
        <v>2.1629777879810314E-2</v>
      </c>
      <c r="R152" s="5"/>
      <c r="S152" s="245"/>
    </row>
    <row r="153" spans="1:19">
      <c r="A153" s="1" t="s">
        <v>26</v>
      </c>
      <c r="B153" s="8" t="s">
        <v>259</v>
      </c>
      <c r="C153" s="423">
        <f>C158</f>
        <v>2.0550000000000002</v>
      </c>
      <c r="D153" s="21" t="s">
        <v>31</v>
      </c>
      <c r="E153" s="609">
        <f>0.0331+0.0022+0.0097</f>
        <v>4.4999999999999998E-2</v>
      </c>
      <c r="F153" s="608">
        <v>5.04E-2</v>
      </c>
      <c r="G153" s="5">
        <f t="shared" si="28"/>
        <v>2.2090690817186185</v>
      </c>
      <c r="H153" s="21" t="s">
        <v>38</v>
      </c>
      <c r="I153" s="6">
        <f>E151</f>
        <v>0.1043</v>
      </c>
      <c r="J153" s="7">
        <v>2.2800000000000001E-2</v>
      </c>
      <c r="K153" s="5">
        <f t="shared" si="30"/>
        <v>2.3649110128107025</v>
      </c>
      <c r="L153" s="21" t="s">
        <v>39</v>
      </c>
      <c r="M153" s="6">
        <v>0</v>
      </c>
      <c r="N153" s="7">
        <v>2.5000000000000001E-3</v>
      </c>
      <c r="O153" s="5">
        <f t="shared" si="31"/>
        <v>2.3708381080809047</v>
      </c>
      <c r="P153" s="329">
        <f>Weightings!$C$8</f>
        <v>273.77460524748824</v>
      </c>
      <c r="Q153" s="5">
        <f t="shared" si="29"/>
        <v>8.1523917642434551E-3</v>
      </c>
      <c r="R153" s="5"/>
      <c r="S153" s="29"/>
    </row>
    <row r="154" spans="1:19">
      <c r="A154" s="1" t="s">
        <v>27</v>
      </c>
      <c r="B154" s="8" t="s">
        <v>103</v>
      </c>
      <c r="C154" s="423">
        <f>C159</f>
        <v>2.1749999999999998</v>
      </c>
      <c r="D154" s="21" t="s">
        <v>32</v>
      </c>
      <c r="E154" s="609">
        <f>0.0305+0.0022+0.0097</f>
        <v>4.24E-2</v>
      </c>
      <c r="F154" s="608">
        <v>4.6199999999999998E-2</v>
      </c>
      <c r="G154" s="5">
        <f t="shared" si="28"/>
        <v>2.3227522751100862</v>
      </c>
      <c r="H154" s="21" t="s">
        <v>38</v>
      </c>
      <c r="I154" s="6">
        <f>E151</f>
        <v>0.1043</v>
      </c>
      <c r="J154" s="7">
        <v>2.2800000000000001E-2</v>
      </c>
      <c r="K154" s="5">
        <f t="shared" si="30"/>
        <v>2.4812466589337761</v>
      </c>
      <c r="L154" s="21" t="s">
        <v>39</v>
      </c>
      <c r="M154" s="6">
        <v>0</v>
      </c>
      <c r="N154" s="7">
        <v>2.5000000000000001E-3</v>
      </c>
      <c r="O154" s="5">
        <f t="shared" si="31"/>
        <v>2.4874653222393746</v>
      </c>
      <c r="P154" s="329">
        <f>Weightings!$C$9</f>
        <v>6.554456479221634</v>
      </c>
      <c r="Q154" s="5">
        <f t="shared" si="29"/>
        <v>2.0477818995295378E-4</v>
      </c>
      <c r="R154" s="5"/>
      <c r="S154" s="29"/>
    </row>
    <row r="155" spans="1:19">
      <c r="A155" s="1" t="s">
        <v>0</v>
      </c>
      <c r="B155" s="8" t="s">
        <v>260</v>
      </c>
      <c r="C155" s="422">
        <v>2.0950000000000002</v>
      </c>
      <c r="D155" s="21" t="s">
        <v>37</v>
      </c>
      <c r="E155" s="6">
        <f>0.0366+0.0022</f>
        <v>3.8800000000000001E-2</v>
      </c>
      <c r="F155" s="10">
        <v>6.9699999999999996E-3</v>
      </c>
      <c r="G155" s="5">
        <f t="shared" si="28"/>
        <v>2.1485046413502116</v>
      </c>
      <c r="H155" s="21" t="s">
        <v>43</v>
      </c>
      <c r="I155" s="609">
        <f>0.017+0.0022</f>
        <v>1.9200000000000002E-2</v>
      </c>
      <c r="J155" s="608">
        <v>2.9020000000000001E-2</v>
      </c>
      <c r="K155" s="5">
        <f t="shared" si="30"/>
        <v>2.2319177092733238</v>
      </c>
      <c r="L155" s="15" t="s">
        <v>156</v>
      </c>
      <c r="M155" s="6">
        <f>E156</f>
        <v>2.2600000000000002E-2</v>
      </c>
      <c r="N155" s="10">
        <f>F156</f>
        <v>2.776E-2</v>
      </c>
      <c r="O155" s="247">
        <f t="shared" si="31"/>
        <v>2.318244809176051</v>
      </c>
      <c r="P155" s="329">
        <f>Weightings!$C$13</f>
        <v>31370.607479626047</v>
      </c>
      <c r="Q155" s="5">
        <f t="shared" si="29"/>
        <v>0.91342355233218731</v>
      </c>
      <c r="R155" s="247"/>
      <c r="S155" s="29"/>
    </row>
    <row r="156" spans="1:19">
      <c r="A156" s="1" t="s">
        <v>1</v>
      </c>
      <c r="B156" s="8" t="s">
        <v>261</v>
      </c>
      <c r="C156" s="422">
        <v>2.3050000000000002</v>
      </c>
      <c r="D156" s="21" t="s">
        <v>48</v>
      </c>
      <c r="E156" s="6">
        <f>0.0134+0.0022+0.007</f>
        <v>2.2600000000000002E-2</v>
      </c>
      <c r="F156" s="10">
        <v>2.776E-2</v>
      </c>
      <c r="G156" s="5">
        <f t="shared" si="28"/>
        <v>2.3934137908335393</v>
      </c>
      <c r="H156" s="21"/>
      <c r="I156" s="6">
        <v>0</v>
      </c>
      <c r="J156" s="7">
        <v>0</v>
      </c>
      <c r="K156" s="5">
        <f t="shared" si="30"/>
        <v>2.3934137908335393</v>
      </c>
      <c r="L156" s="15"/>
      <c r="M156" s="6">
        <v>0</v>
      </c>
      <c r="N156" s="7">
        <v>0</v>
      </c>
      <c r="O156" s="5">
        <f t="shared" si="31"/>
        <v>2.3934137908335393</v>
      </c>
      <c r="P156" s="329">
        <f>Weightings!$C$14</f>
        <v>5614.3227016821775</v>
      </c>
      <c r="Q156" s="5">
        <f t="shared" si="29"/>
        <v>0.16877384377710566</v>
      </c>
      <c r="R156" s="5"/>
      <c r="S156" s="246"/>
    </row>
    <row r="157" spans="1:19">
      <c r="A157" s="1" t="s">
        <v>2</v>
      </c>
      <c r="B157" s="8" t="s">
        <v>262</v>
      </c>
      <c r="C157" s="649">
        <v>2.0350000000000001</v>
      </c>
      <c r="D157" s="21" t="s">
        <v>33</v>
      </c>
      <c r="E157" s="609">
        <f>0.0299+0.0022+0.0097</f>
        <v>4.1799999999999997E-2</v>
      </c>
      <c r="F157" s="608">
        <v>4.58E-2</v>
      </c>
      <c r="G157" s="5">
        <f t="shared" si="28"/>
        <v>2.1744765877174594</v>
      </c>
      <c r="H157" s="21" t="s">
        <v>42</v>
      </c>
      <c r="I157" s="6">
        <v>0</v>
      </c>
      <c r="J157" s="7">
        <v>0.01</v>
      </c>
      <c r="K157" s="5">
        <f t="shared" si="30"/>
        <v>2.1964409976944035</v>
      </c>
      <c r="L157" s="15"/>
      <c r="M157" s="6">
        <v>0</v>
      </c>
      <c r="N157" s="7">
        <v>0</v>
      </c>
      <c r="O157" s="5">
        <f t="shared" si="31"/>
        <v>2.1964409976944035</v>
      </c>
      <c r="P157" s="329">
        <f>Weightings!$C$15</f>
        <v>3366</v>
      </c>
      <c r="Q157" s="5">
        <f t="shared" si="29"/>
        <v>9.2858921201703304E-2</v>
      </c>
      <c r="R157" s="5"/>
      <c r="S157" s="29"/>
    </row>
    <row r="158" spans="1:19">
      <c r="A158" s="1" t="s">
        <v>3</v>
      </c>
      <c r="B158" s="8" t="s">
        <v>259</v>
      </c>
      <c r="C158" s="422">
        <v>2.0550000000000002</v>
      </c>
      <c r="D158" s="21" t="s">
        <v>34</v>
      </c>
      <c r="E158" s="609">
        <f>0.0277+0.0022+0.0097</f>
        <v>3.9599999999999996E-2</v>
      </c>
      <c r="F158" s="608">
        <v>4.2299999999999997E-2</v>
      </c>
      <c r="G158" s="5">
        <f t="shared" si="28"/>
        <v>2.1853658974626713</v>
      </c>
      <c r="H158" s="21" t="s">
        <v>42</v>
      </c>
      <c r="I158" s="6">
        <v>0</v>
      </c>
      <c r="J158" s="7">
        <v>0.01</v>
      </c>
      <c r="K158" s="5">
        <f t="shared" si="30"/>
        <v>2.2074403004673449</v>
      </c>
      <c r="M158" s="6">
        <v>0</v>
      </c>
      <c r="N158" s="7">
        <v>0</v>
      </c>
      <c r="O158" s="5">
        <f t="shared" si="31"/>
        <v>2.2074403004673449</v>
      </c>
      <c r="P158" s="329">
        <f>Weightings!$C$16</f>
        <v>4950</v>
      </c>
      <c r="Q158" s="5">
        <f t="shared" si="29"/>
        <v>0.13724108625092674</v>
      </c>
      <c r="R158" s="5"/>
      <c r="S158" s="29"/>
    </row>
    <row r="159" spans="1:19">
      <c r="A159" s="1" t="s">
        <v>4</v>
      </c>
      <c r="B159" s="8" t="s">
        <v>103</v>
      </c>
      <c r="C159" s="422">
        <v>2.1749999999999998</v>
      </c>
      <c r="D159" s="21" t="s">
        <v>35</v>
      </c>
      <c r="E159" s="609">
        <f>0.0251+0.0022+0.0097</f>
        <v>3.7000000000000005E-2</v>
      </c>
      <c r="F159" s="608">
        <v>3.8100000000000002E-2</v>
      </c>
      <c r="G159" s="5">
        <f t="shared" si="28"/>
        <v>2.2981498076723148</v>
      </c>
      <c r="H159" s="21" t="s">
        <v>42</v>
      </c>
      <c r="I159" s="6">
        <v>0</v>
      </c>
      <c r="J159" s="7">
        <v>0.01</v>
      </c>
      <c r="K159" s="5">
        <f t="shared" si="30"/>
        <v>2.3213634420932472</v>
      </c>
      <c r="M159" s="6">
        <v>0</v>
      </c>
      <c r="N159" s="7">
        <v>0</v>
      </c>
      <c r="O159" s="5">
        <f t="shared" si="31"/>
        <v>2.3213634420932472</v>
      </c>
      <c r="P159" s="329">
        <f>Weightings!$C$17</f>
        <v>11172.172715894869</v>
      </c>
      <c r="Q159" s="5">
        <f t="shared" si="29"/>
        <v>0.32573975286757356</v>
      </c>
      <c r="R159" s="5"/>
      <c r="S159" s="29"/>
    </row>
    <row r="160" spans="1:19">
      <c r="O160" s="35"/>
      <c r="P160" s="67"/>
      <c r="Q160" s="35"/>
      <c r="R160" s="35"/>
      <c r="S160" s="244"/>
    </row>
    <row r="161" spans="1:19" ht="13.5" thickBot="1">
      <c r="O161" s="36"/>
      <c r="P161" s="330"/>
      <c r="Q161" s="36"/>
      <c r="R161" s="36"/>
    </row>
    <row r="162" spans="1:19" ht="13.5" thickBot="1">
      <c r="O162" s="331" t="s">
        <v>198</v>
      </c>
      <c r="P162" s="332"/>
      <c r="Q162" s="333">
        <f>SUM(Q149:Q159)</f>
        <v>2.3762510015851501</v>
      </c>
      <c r="R162" s="424">
        <f>B147</f>
        <v>37172</v>
      </c>
    </row>
    <row r="163" spans="1:19">
      <c r="O163" s="35"/>
      <c r="P163" s="35"/>
      <c r="Q163" s="35"/>
      <c r="R163" s="35"/>
      <c r="S163" s="35"/>
    </row>
    <row r="164" spans="1:19">
      <c r="D164" s="21"/>
      <c r="H164" s="5"/>
      <c r="O164" s="36" t="s">
        <v>263</v>
      </c>
      <c r="P164" s="404">
        <f>Weightings!C163</f>
        <v>0</v>
      </c>
      <c r="Q164" s="35" t="s">
        <v>206</v>
      </c>
      <c r="R164" s="344" t="s">
        <v>208</v>
      </c>
      <c r="S164" s="35"/>
    </row>
    <row r="165" spans="1:19" ht="13.5" thickBot="1">
      <c r="A165" s="675"/>
      <c r="B165" s="676"/>
      <c r="C165" s="675"/>
      <c r="D165" s="677"/>
      <c r="E165" s="675"/>
      <c r="F165" s="675"/>
      <c r="G165" s="675"/>
      <c r="H165" s="678"/>
      <c r="I165" s="675"/>
      <c r="J165" s="675"/>
      <c r="K165" s="675"/>
      <c r="L165" s="675"/>
      <c r="M165" s="675"/>
      <c r="N165" s="675"/>
      <c r="O165" s="675"/>
      <c r="P165" s="679"/>
      <c r="Q165" s="675"/>
      <c r="R165" s="675"/>
      <c r="S165" s="675"/>
    </row>
    <row r="166" spans="1:19" ht="14.25" thickTop="1" thickBot="1">
      <c r="A166" s="2"/>
      <c r="B166" s="28"/>
      <c r="D166" s="3" t="s">
        <v>10</v>
      </c>
      <c r="H166" s="3" t="s">
        <v>11</v>
      </c>
      <c r="L166" s="3" t="s">
        <v>12</v>
      </c>
    </row>
    <row r="167" spans="1:19" ht="14.25" thickTop="1" thickBot="1">
      <c r="A167" s="421" t="s">
        <v>255</v>
      </c>
      <c r="B167" s="433">
        <f>B147+1</f>
        <v>37173</v>
      </c>
      <c r="C167" s="434">
        <f>Q182</f>
        <v>2.2824428327900335</v>
      </c>
      <c r="E167" s="624"/>
    </row>
    <row r="168" spans="1:19" ht="54" customHeight="1" thickTop="1">
      <c r="A168" s="2" t="s">
        <v>5</v>
      </c>
      <c r="B168" s="9" t="s">
        <v>46</v>
      </c>
      <c r="C168" s="18" t="s">
        <v>256</v>
      </c>
      <c r="D168" s="14" t="s">
        <v>28</v>
      </c>
      <c r="E168" s="4" t="s">
        <v>7</v>
      </c>
      <c r="F168" s="4" t="s">
        <v>8</v>
      </c>
      <c r="G168" s="4" t="s">
        <v>9</v>
      </c>
      <c r="H168" s="14" t="s">
        <v>28</v>
      </c>
      <c r="I168" s="4" t="s">
        <v>7</v>
      </c>
      <c r="J168" s="4" t="s">
        <v>8</v>
      </c>
      <c r="K168" s="4" t="s">
        <v>9</v>
      </c>
      <c r="L168" s="14" t="s">
        <v>28</v>
      </c>
      <c r="M168" s="4" t="s">
        <v>7</v>
      </c>
      <c r="N168" s="4" t="s">
        <v>8</v>
      </c>
      <c r="O168" s="4" t="s">
        <v>9</v>
      </c>
      <c r="P168" s="4" t="s">
        <v>193</v>
      </c>
      <c r="Q168" s="4" t="s">
        <v>197</v>
      </c>
      <c r="R168" s="4"/>
      <c r="S168" s="4"/>
    </row>
    <row r="169" spans="1:19">
      <c r="A169" s="1" t="s">
        <v>49</v>
      </c>
      <c r="B169" s="8" t="s">
        <v>269</v>
      </c>
      <c r="C169" s="422">
        <v>2.02</v>
      </c>
      <c r="D169" s="21" t="s">
        <v>29</v>
      </c>
      <c r="E169" s="6">
        <v>5.2200000000000003E-2</v>
      </c>
      <c r="F169" s="10">
        <v>5.0599999999999999E-2</v>
      </c>
      <c r="G169" s="5">
        <f t="shared" ref="G169:G179" si="32">+C169/(1-F169)+E169</f>
        <v>2.1798595744680851</v>
      </c>
      <c r="H169" s="21" t="s">
        <v>38</v>
      </c>
      <c r="I169" s="6">
        <f>E171</f>
        <v>0.1043</v>
      </c>
      <c r="J169" s="7">
        <v>2.2800000000000001E-2</v>
      </c>
      <c r="K169" s="5">
        <f>+G169/(1-J169)+I169</f>
        <v>2.3350199902456867</v>
      </c>
      <c r="L169" s="21" t="s">
        <v>39</v>
      </c>
      <c r="M169" s="6">
        <v>0</v>
      </c>
      <c r="N169" s="7">
        <v>2.5000000000000001E-3</v>
      </c>
      <c r="O169" s="5">
        <f>+K169/(1-N169)+M169</f>
        <v>2.3408721706723674</v>
      </c>
      <c r="P169" s="329">
        <f>Weightings!$C$4</f>
        <v>1071.401539872767</v>
      </c>
      <c r="Q169" s="5">
        <f t="shared" ref="Q169:Q179" si="33">+P169/SUM($P$9:$P$19)*O169</f>
        <v>3.1500681210539554E-2</v>
      </c>
      <c r="R169" s="5"/>
      <c r="S169" s="245"/>
    </row>
    <row r="170" spans="1:19">
      <c r="A170" s="1" t="s">
        <v>50</v>
      </c>
      <c r="B170" s="8" t="s">
        <v>270</v>
      </c>
      <c r="C170" s="422">
        <v>1.9450000000000001</v>
      </c>
      <c r="D170" s="21" t="s">
        <v>30</v>
      </c>
      <c r="E170" s="6">
        <v>5.2200000000000003E-2</v>
      </c>
      <c r="F170" s="10">
        <v>5.8000000000000003E-2</v>
      </c>
      <c r="G170" s="5">
        <f t="shared" si="32"/>
        <v>2.1169558386411893</v>
      </c>
      <c r="H170" s="21" t="s">
        <v>38</v>
      </c>
      <c r="I170" s="6">
        <f>E171</f>
        <v>0.1043</v>
      </c>
      <c r="J170" s="7">
        <v>2.2800000000000001E-2</v>
      </c>
      <c r="K170" s="5">
        <f t="shared" ref="K170:K179" si="34">+G170/(1-J170)+I170</f>
        <v>2.2706485864113684</v>
      </c>
      <c r="L170" s="21" t="s">
        <v>39</v>
      </c>
      <c r="M170" s="6">
        <v>0</v>
      </c>
      <c r="N170" s="7">
        <v>2.5000000000000001E-3</v>
      </c>
      <c r="O170" s="5">
        <f t="shared" ref="O170:O179" si="35">+K170/(1-N170)+M170</f>
        <v>2.2763394349988655</v>
      </c>
      <c r="P170" s="329">
        <f>Weightings!$C$5</f>
        <v>1309.8829179244465</v>
      </c>
      <c r="Q170" s="5">
        <f t="shared" si="33"/>
        <v>3.7450660496106278E-2</v>
      </c>
      <c r="R170" s="5"/>
      <c r="S170" s="29"/>
    </row>
    <row r="171" spans="1:19">
      <c r="A171" s="1" t="s">
        <v>40</v>
      </c>
      <c r="B171" s="8" t="s">
        <v>257</v>
      </c>
      <c r="C171" s="422">
        <v>2.2799999999999998</v>
      </c>
      <c r="D171" s="21" t="s">
        <v>154</v>
      </c>
      <c r="E171" s="6">
        <f>0.0951+0.0022+0.007</f>
        <v>0.1043</v>
      </c>
      <c r="F171" s="10">
        <v>2.2800000000000001E-2</v>
      </c>
      <c r="G171" s="5">
        <f t="shared" si="32"/>
        <v>2.4374968890708142</v>
      </c>
      <c r="H171" s="21" t="s">
        <v>39</v>
      </c>
      <c r="I171" s="6">
        <v>0</v>
      </c>
      <c r="J171" s="7">
        <v>2.5000000000000001E-3</v>
      </c>
      <c r="K171" s="5">
        <f t="shared" si="34"/>
        <v>2.4436059038303899</v>
      </c>
      <c r="L171" s="21"/>
      <c r="M171" s="6">
        <v>0</v>
      </c>
      <c r="N171" s="7">
        <v>0</v>
      </c>
      <c r="O171" s="5">
        <f t="shared" si="35"/>
        <v>2.4436059038303899</v>
      </c>
      <c r="P171" s="329">
        <f>Weightings!$C$6</f>
        <v>19813.452023725906</v>
      </c>
      <c r="Q171" s="5">
        <f t="shared" si="33"/>
        <v>0.6081088084126105</v>
      </c>
      <c r="R171" s="5"/>
      <c r="S171" s="29"/>
    </row>
    <row r="172" spans="1:19">
      <c r="A172" s="1" t="s">
        <v>41</v>
      </c>
      <c r="B172" s="8" t="s">
        <v>258</v>
      </c>
      <c r="C172" s="422">
        <v>2.34</v>
      </c>
      <c r="D172" s="21" t="s">
        <v>155</v>
      </c>
      <c r="E172" s="6">
        <f>0.0951+0.0022+0.007</f>
        <v>0.1043</v>
      </c>
      <c r="F172" s="10">
        <v>2.2800000000000001E-2</v>
      </c>
      <c r="G172" s="5">
        <f t="shared" si="32"/>
        <v>2.498896807204257</v>
      </c>
      <c r="H172" s="21" t="s">
        <v>39</v>
      </c>
      <c r="I172" s="6">
        <v>0</v>
      </c>
      <c r="J172" s="7">
        <v>2.5000000000000001E-3</v>
      </c>
      <c r="K172" s="5">
        <f t="shared" si="34"/>
        <v>2.5051597064704327</v>
      </c>
      <c r="L172" s="21"/>
      <c r="M172" s="6">
        <v>0</v>
      </c>
      <c r="N172" s="7">
        <v>0</v>
      </c>
      <c r="O172" s="5">
        <f t="shared" si="35"/>
        <v>2.5051597064704327</v>
      </c>
      <c r="P172" s="329">
        <f>Weightings!$C$7</f>
        <v>669.60336394048545</v>
      </c>
      <c r="Q172" s="5">
        <f t="shared" si="33"/>
        <v>2.1068956448341555E-2</v>
      </c>
      <c r="R172" s="5"/>
      <c r="S172" s="245"/>
    </row>
    <row r="173" spans="1:19">
      <c r="A173" s="1" t="s">
        <v>26</v>
      </c>
      <c r="B173" s="8" t="s">
        <v>259</v>
      </c>
      <c r="C173" s="423">
        <f>C178</f>
        <v>1.99</v>
      </c>
      <c r="D173" s="21" t="s">
        <v>31</v>
      </c>
      <c r="E173" s="609">
        <f>0.0331+0.0022+0.0097</f>
        <v>4.4999999999999998E-2</v>
      </c>
      <c r="F173" s="608">
        <v>5.04E-2</v>
      </c>
      <c r="G173" s="5">
        <f t="shared" si="32"/>
        <v>2.1406192080876156</v>
      </c>
      <c r="H173" s="21" t="s">
        <v>38</v>
      </c>
      <c r="I173" s="6">
        <f>E171</f>
        <v>0.1043</v>
      </c>
      <c r="J173" s="7">
        <v>2.2800000000000001E-2</v>
      </c>
      <c r="K173" s="5">
        <f t="shared" si="34"/>
        <v>2.2948640688575681</v>
      </c>
      <c r="L173" s="21" t="s">
        <v>39</v>
      </c>
      <c r="M173" s="6">
        <v>0</v>
      </c>
      <c r="N173" s="7">
        <v>2.5000000000000001E-3</v>
      </c>
      <c r="O173" s="5">
        <f t="shared" si="35"/>
        <v>2.300615607877261</v>
      </c>
      <c r="P173" s="329">
        <f>Weightings!$C$8</f>
        <v>273.77460524748824</v>
      </c>
      <c r="Q173" s="5">
        <f t="shared" si="33"/>
        <v>7.9109238502709702E-3</v>
      </c>
      <c r="R173" s="5"/>
      <c r="S173" s="29"/>
    </row>
    <row r="174" spans="1:19">
      <c r="A174" s="1" t="s">
        <v>27</v>
      </c>
      <c r="B174" s="8" t="s">
        <v>103</v>
      </c>
      <c r="C174" s="423">
        <f>C179</f>
        <v>2.1</v>
      </c>
      <c r="D174" s="21" t="s">
        <v>32</v>
      </c>
      <c r="E174" s="609">
        <f>0.0305+0.0022+0.0097</f>
        <v>4.24E-2</v>
      </c>
      <c r="F174" s="608">
        <v>4.6199999999999998E-2</v>
      </c>
      <c r="G174" s="5">
        <f t="shared" si="32"/>
        <v>2.2441194380373246</v>
      </c>
      <c r="H174" s="21" t="s">
        <v>38</v>
      </c>
      <c r="I174" s="6">
        <f>E171</f>
        <v>0.1043</v>
      </c>
      <c r="J174" s="7">
        <v>2.2800000000000001E-2</v>
      </c>
      <c r="K174" s="5">
        <f t="shared" si="34"/>
        <v>2.4007791629526447</v>
      </c>
      <c r="L174" s="21" t="s">
        <v>39</v>
      </c>
      <c r="M174" s="6">
        <v>0</v>
      </c>
      <c r="N174" s="7">
        <v>2.5000000000000001E-3</v>
      </c>
      <c r="O174" s="5">
        <f t="shared" si="35"/>
        <v>2.4067961533359847</v>
      </c>
      <c r="P174" s="329">
        <f>Weightings!$C$9</f>
        <v>6.554456479221634</v>
      </c>
      <c r="Q174" s="5">
        <f t="shared" si="33"/>
        <v>1.981371782188993E-4</v>
      </c>
      <c r="R174" s="5"/>
      <c r="S174" s="29"/>
    </row>
    <row r="175" spans="1:19">
      <c r="A175" s="1" t="s">
        <v>0</v>
      </c>
      <c r="B175" s="8" t="s">
        <v>260</v>
      </c>
      <c r="C175" s="422">
        <v>2</v>
      </c>
      <c r="D175" s="21" t="s">
        <v>37</v>
      </c>
      <c r="E175" s="6">
        <f>0.0366+0.0022</f>
        <v>3.8800000000000001E-2</v>
      </c>
      <c r="F175" s="10">
        <v>6.9699999999999996E-3</v>
      </c>
      <c r="G175" s="5">
        <f t="shared" si="32"/>
        <v>2.0528378437710848</v>
      </c>
      <c r="H175" s="21" t="s">
        <v>43</v>
      </c>
      <c r="I175" s="609">
        <f>0.017+0.0022</f>
        <v>1.9200000000000002E-2</v>
      </c>
      <c r="J175" s="608">
        <v>2.9020000000000001E-2</v>
      </c>
      <c r="K175" s="5">
        <f t="shared" si="34"/>
        <v>2.133391686513713</v>
      </c>
      <c r="L175" s="15" t="s">
        <v>156</v>
      </c>
      <c r="M175" s="6">
        <f>E176</f>
        <v>2.2600000000000002E-2</v>
      </c>
      <c r="N175" s="10">
        <f>F176</f>
        <v>2.776E-2</v>
      </c>
      <c r="O175" s="247">
        <f t="shared" si="35"/>
        <v>2.2169056102543747</v>
      </c>
      <c r="P175" s="329">
        <f>Weightings!$C$13</f>
        <v>31370.607479626047</v>
      </c>
      <c r="Q175" s="5">
        <f t="shared" si="33"/>
        <v>0.87349437371259397</v>
      </c>
      <c r="R175" s="247"/>
      <c r="S175" s="29"/>
    </row>
    <row r="176" spans="1:19">
      <c r="A176" s="1" t="s">
        <v>1</v>
      </c>
      <c r="B176" s="8" t="s">
        <v>261</v>
      </c>
      <c r="C176" s="422">
        <v>2.2450000000000001</v>
      </c>
      <c r="D176" s="21" t="s">
        <v>48</v>
      </c>
      <c r="E176" s="6">
        <f>0.0134+0.0022+0.007</f>
        <v>2.2600000000000002E-2</v>
      </c>
      <c r="F176" s="10">
        <v>2.776E-2</v>
      </c>
      <c r="G176" s="5">
        <f t="shared" si="32"/>
        <v>2.3317006335884147</v>
      </c>
      <c r="H176" s="21"/>
      <c r="I176" s="6">
        <v>0</v>
      </c>
      <c r="J176" s="7">
        <v>0</v>
      </c>
      <c r="K176" s="5">
        <f t="shared" si="34"/>
        <v>2.3317006335884147</v>
      </c>
      <c r="L176" s="15"/>
      <c r="M176" s="6">
        <v>0</v>
      </c>
      <c r="N176" s="7">
        <v>0</v>
      </c>
      <c r="O176" s="5">
        <f t="shared" si="35"/>
        <v>2.3317006335884147</v>
      </c>
      <c r="P176" s="329">
        <f>Weightings!$C$14</f>
        <v>5614.3227016821775</v>
      </c>
      <c r="Q176" s="5">
        <f t="shared" si="33"/>
        <v>0.16442208195482033</v>
      </c>
      <c r="R176" s="5"/>
      <c r="S176" s="246"/>
    </row>
    <row r="177" spans="1:19">
      <c r="A177" s="1" t="s">
        <v>2</v>
      </c>
      <c r="B177" s="8" t="s">
        <v>262</v>
      </c>
      <c r="C177" s="649">
        <v>1.9850000000000001</v>
      </c>
      <c r="D177" s="21" t="s">
        <v>33</v>
      </c>
      <c r="E177" s="609">
        <f>0.0299+0.0022+0.0097</f>
        <v>4.1799999999999997E-2</v>
      </c>
      <c r="F177" s="608">
        <v>4.58E-2</v>
      </c>
      <c r="G177" s="5">
        <f t="shared" si="32"/>
        <v>2.1220766715573252</v>
      </c>
      <c r="H177" s="21" t="s">
        <v>42</v>
      </c>
      <c r="I177" s="6">
        <v>0</v>
      </c>
      <c r="J177" s="7">
        <v>0.01</v>
      </c>
      <c r="K177" s="5">
        <f t="shared" si="34"/>
        <v>2.1435117894518436</v>
      </c>
      <c r="L177" s="15"/>
      <c r="M177" s="6">
        <v>0</v>
      </c>
      <c r="N177" s="7">
        <v>0</v>
      </c>
      <c r="O177" s="5">
        <f t="shared" si="35"/>
        <v>2.1435117894518436</v>
      </c>
      <c r="P177" s="329">
        <f>Weightings!$C$15</f>
        <v>3366</v>
      </c>
      <c r="Q177" s="5">
        <f t="shared" si="33"/>
        <v>9.0621233422872177E-2</v>
      </c>
      <c r="R177" s="5"/>
      <c r="S177" s="29"/>
    </row>
    <row r="178" spans="1:19">
      <c r="A178" s="1" t="s">
        <v>3</v>
      </c>
      <c r="B178" s="8" t="s">
        <v>259</v>
      </c>
      <c r="C178" s="422">
        <v>1.99</v>
      </c>
      <c r="D178" s="21" t="s">
        <v>34</v>
      </c>
      <c r="E178" s="609">
        <f>0.0277+0.0022+0.0097</f>
        <v>3.9599999999999996E-2</v>
      </c>
      <c r="F178" s="608">
        <v>4.2299999999999997E-2</v>
      </c>
      <c r="G178" s="5">
        <f t="shared" si="32"/>
        <v>2.1174949566670147</v>
      </c>
      <c r="H178" s="21" t="s">
        <v>42</v>
      </c>
      <c r="I178" s="6">
        <v>0</v>
      </c>
      <c r="J178" s="7">
        <v>0.01</v>
      </c>
      <c r="K178" s="5">
        <f t="shared" si="34"/>
        <v>2.1388837946131463</v>
      </c>
      <c r="M178" s="6">
        <v>0</v>
      </c>
      <c r="N178" s="7">
        <v>0</v>
      </c>
      <c r="O178" s="5">
        <f t="shared" si="35"/>
        <v>2.1388837946131463</v>
      </c>
      <c r="P178" s="329">
        <f>Weightings!$C$16</f>
        <v>4950</v>
      </c>
      <c r="Q178" s="5">
        <f t="shared" si="33"/>
        <v>0.13297878781820976</v>
      </c>
      <c r="R178" s="5"/>
      <c r="S178" s="29"/>
    </row>
    <row r="179" spans="1:19">
      <c r="A179" s="1" t="s">
        <v>4</v>
      </c>
      <c r="B179" s="8" t="s">
        <v>103</v>
      </c>
      <c r="C179" s="422">
        <v>2.1</v>
      </c>
      <c r="D179" s="21" t="s">
        <v>35</v>
      </c>
      <c r="E179" s="609">
        <f>0.0251+0.0022+0.0097</f>
        <v>3.7000000000000005E-2</v>
      </c>
      <c r="F179" s="608">
        <v>3.8100000000000002E-2</v>
      </c>
      <c r="G179" s="5">
        <f t="shared" si="32"/>
        <v>2.2201791246491318</v>
      </c>
      <c r="H179" s="21" t="s">
        <v>42</v>
      </c>
      <c r="I179" s="6">
        <v>0</v>
      </c>
      <c r="J179" s="7">
        <v>0.01</v>
      </c>
      <c r="K179" s="5">
        <f t="shared" si="34"/>
        <v>2.2426051764132646</v>
      </c>
      <c r="M179" s="6">
        <v>0</v>
      </c>
      <c r="N179" s="7">
        <v>0</v>
      </c>
      <c r="O179" s="5">
        <f t="shared" si="35"/>
        <v>2.2426051764132646</v>
      </c>
      <c r="P179" s="329">
        <f>Weightings!$C$17</f>
        <v>11172.172715894869</v>
      </c>
      <c r="Q179" s="5">
        <f t="shared" si="33"/>
        <v>0.31468818828544914</v>
      </c>
      <c r="R179" s="5"/>
      <c r="S179" s="29"/>
    </row>
    <row r="180" spans="1:19">
      <c r="O180" s="35"/>
      <c r="P180" s="67"/>
      <c r="Q180" s="35"/>
      <c r="R180" s="35"/>
      <c r="S180" s="244"/>
    </row>
    <row r="181" spans="1:19" ht="13.5" thickBot="1">
      <c r="O181" s="36"/>
      <c r="P181" s="330"/>
      <c r="Q181" s="36"/>
      <c r="R181" s="36"/>
    </row>
    <row r="182" spans="1:19" ht="13.5" thickBot="1">
      <c r="O182" s="331" t="s">
        <v>198</v>
      </c>
      <c r="P182" s="332"/>
      <c r="Q182" s="333">
        <f>SUM(Q169:Q179)</f>
        <v>2.2824428327900335</v>
      </c>
      <c r="R182" s="424">
        <f>B167</f>
        <v>37173</v>
      </c>
    </row>
    <row r="183" spans="1:19">
      <c r="O183" s="35"/>
      <c r="P183" s="35"/>
      <c r="Q183" s="35"/>
      <c r="R183" s="35"/>
      <c r="S183" s="35"/>
    </row>
    <row r="184" spans="1:19">
      <c r="D184" s="21"/>
      <c r="H184" s="5"/>
      <c r="O184" s="36" t="s">
        <v>263</v>
      </c>
      <c r="P184" s="404">
        <f>Weightings!C183</f>
        <v>0</v>
      </c>
      <c r="Q184" s="35" t="s">
        <v>206</v>
      </c>
      <c r="R184" s="344" t="s">
        <v>208</v>
      </c>
      <c r="S184" s="35"/>
    </row>
    <row r="185" spans="1:19" ht="13.5" thickBot="1">
      <c r="A185" s="675"/>
      <c r="B185" s="676"/>
      <c r="C185" s="675"/>
      <c r="D185" s="677"/>
      <c r="E185" s="675"/>
      <c r="F185" s="675"/>
      <c r="G185" s="675"/>
      <c r="H185" s="678"/>
      <c r="I185" s="675"/>
      <c r="J185" s="675"/>
      <c r="K185" s="675"/>
      <c r="L185" s="675"/>
      <c r="M185" s="675"/>
      <c r="N185" s="675"/>
      <c r="O185" s="675"/>
      <c r="P185" s="679"/>
      <c r="Q185" s="675"/>
      <c r="R185" s="675"/>
      <c r="S185" s="675"/>
    </row>
    <row r="186" spans="1:19" ht="14.25" thickTop="1" thickBot="1">
      <c r="A186" s="2"/>
      <c r="B186" s="28"/>
      <c r="D186" s="3" t="s">
        <v>10</v>
      </c>
      <c r="H186" s="3" t="s">
        <v>11</v>
      </c>
      <c r="L186" s="3" t="s">
        <v>12</v>
      </c>
    </row>
    <row r="187" spans="1:19" ht="14.25" thickTop="1" thickBot="1">
      <c r="A187" s="421" t="s">
        <v>255</v>
      </c>
      <c r="B187" s="433">
        <f>B167+1</f>
        <v>37174</v>
      </c>
      <c r="C187" s="434">
        <f>Q202</f>
        <v>2.3536686618790421</v>
      </c>
      <c r="E187" s="624"/>
    </row>
    <row r="188" spans="1:19" ht="54" customHeight="1" thickTop="1">
      <c r="A188" s="2" t="s">
        <v>5</v>
      </c>
      <c r="B188" s="9" t="s">
        <v>46</v>
      </c>
      <c r="C188" s="18" t="s">
        <v>256</v>
      </c>
      <c r="D188" s="14" t="s">
        <v>28</v>
      </c>
      <c r="E188" s="4" t="s">
        <v>7</v>
      </c>
      <c r="F188" s="4" t="s">
        <v>8</v>
      </c>
      <c r="G188" s="4" t="s">
        <v>9</v>
      </c>
      <c r="H188" s="14" t="s">
        <v>28</v>
      </c>
      <c r="I188" s="4" t="s">
        <v>7</v>
      </c>
      <c r="J188" s="4" t="s">
        <v>8</v>
      </c>
      <c r="K188" s="4" t="s">
        <v>9</v>
      </c>
      <c r="L188" s="14" t="s">
        <v>28</v>
      </c>
      <c r="M188" s="4" t="s">
        <v>7</v>
      </c>
      <c r="N188" s="4" t="s">
        <v>8</v>
      </c>
      <c r="O188" s="4" t="s">
        <v>9</v>
      </c>
      <c r="P188" s="4" t="s">
        <v>193</v>
      </c>
      <c r="Q188" s="4" t="s">
        <v>197</v>
      </c>
      <c r="R188" s="4"/>
      <c r="S188" s="4"/>
    </row>
    <row r="189" spans="1:19">
      <c r="A189" s="1" t="s">
        <v>49</v>
      </c>
      <c r="B189" s="8" t="s">
        <v>269</v>
      </c>
      <c r="C189" s="422">
        <v>2.085</v>
      </c>
      <c r="D189" s="21" t="s">
        <v>29</v>
      </c>
      <c r="E189" s="6">
        <v>5.2200000000000003E-2</v>
      </c>
      <c r="F189" s="10">
        <v>5.0599999999999999E-2</v>
      </c>
      <c r="G189" s="5">
        <f t="shared" ref="G189:G199" si="36">+C189/(1-F189)+E189</f>
        <v>2.2483238677059196</v>
      </c>
      <c r="H189" s="21" t="s">
        <v>38</v>
      </c>
      <c r="I189" s="6">
        <f>E191</f>
        <v>0.1043</v>
      </c>
      <c r="J189" s="7">
        <v>2.2800000000000001E-2</v>
      </c>
      <c r="K189" s="5">
        <f>+G189/(1-J189)+I189</f>
        <v>2.4050816902434708</v>
      </c>
      <c r="L189" s="21" t="s">
        <v>39</v>
      </c>
      <c r="M189" s="6">
        <v>0</v>
      </c>
      <c r="N189" s="7">
        <v>2.5000000000000001E-3</v>
      </c>
      <c r="O189" s="5">
        <f>+K189/(1-N189)+M189</f>
        <v>2.4111094639032289</v>
      </c>
      <c r="P189" s="329">
        <f>Weightings!$C$4</f>
        <v>1071.401539872767</v>
      </c>
      <c r="Q189" s="5">
        <f t="shared" ref="Q189:Q199" si="37">+P189/SUM($P$9:$P$19)*O189</f>
        <v>3.2445851395770581E-2</v>
      </c>
      <c r="R189" s="5"/>
      <c r="S189" s="245"/>
    </row>
    <row r="190" spans="1:19">
      <c r="A190" s="1" t="s">
        <v>50</v>
      </c>
      <c r="B190" s="8" t="s">
        <v>270</v>
      </c>
      <c r="C190" s="422">
        <v>2.0299999999999998</v>
      </c>
      <c r="D190" s="21" t="s">
        <v>30</v>
      </c>
      <c r="E190" s="6">
        <v>5.2200000000000003E-2</v>
      </c>
      <c r="F190" s="10">
        <v>5.8000000000000003E-2</v>
      </c>
      <c r="G190" s="5">
        <f t="shared" si="36"/>
        <v>2.2071893842887471</v>
      </c>
      <c r="H190" s="21" t="s">
        <v>38</v>
      </c>
      <c r="I190" s="6">
        <f>E191</f>
        <v>0.1043</v>
      </c>
      <c r="J190" s="7">
        <v>2.2800000000000001E-2</v>
      </c>
      <c r="K190" s="5">
        <f t="shared" ref="K190:K199" si="38">+G190/(1-J190)+I190</f>
        <v>2.3629874583388735</v>
      </c>
      <c r="L190" s="21" t="s">
        <v>39</v>
      </c>
      <c r="M190" s="6">
        <v>0</v>
      </c>
      <c r="N190" s="7">
        <v>2.5000000000000001E-3</v>
      </c>
      <c r="O190" s="5">
        <f t="shared" ref="O190:O199" si="39">+K190/(1-N190)+M190</f>
        <v>2.3689097326705499</v>
      </c>
      <c r="P190" s="329">
        <f>Weightings!$C$5</f>
        <v>1309.8829179244465</v>
      </c>
      <c r="Q190" s="5">
        <f t="shared" si="37"/>
        <v>3.8973640213815858E-2</v>
      </c>
      <c r="R190" s="5"/>
      <c r="S190" s="29"/>
    </row>
    <row r="191" spans="1:19">
      <c r="A191" s="1" t="s">
        <v>40</v>
      </c>
      <c r="B191" s="8" t="s">
        <v>257</v>
      </c>
      <c r="C191" s="422">
        <v>2.3199999999999998</v>
      </c>
      <c r="D191" s="21" t="s">
        <v>154</v>
      </c>
      <c r="E191" s="6">
        <f>0.0951+0.0022+0.007</f>
        <v>0.1043</v>
      </c>
      <c r="F191" s="10">
        <v>2.2800000000000001E-2</v>
      </c>
      <c r="G191" s="5">
        <f t="shared" si="36"/>
        <v>2.4784301678264429</v>
      </c>
      <c r="H191" s="21" t="s">
        <v>39</v>
      </c>
      <c r="I191" s="6">
        <v>0</v>
      </c>
      <c r="J191" s="7">
        <v>2.5000000000000001E-3</v>
      </c>
      <c r="K191" s="5">
        <f t="shared" si="38"/>
        <v>2.4846417722570853</v>
      </c>
      <c r="L191" s="21"/>
      <c r="M191" s="6">
        <v>0</v>
      </c>
      <c r="N191" s="7">
        <v>0</v>
      </c>
      <c r="O191" s="5">
        <f t="shared" si="39"/>
        <v>2.4846417722570853</v>
      </c>
      <c r="P191" s="329">
        <f>Weightings!$C$6</f>
        <v>19813.452023725906</v>
      </c>
      <c r="Q191" s="5">
        <f t="shared" si="37"/>
        <v>0.618320877802367</v>
      </c>
      <c r="R191" s="5"/>
      <c r="S191" s="29"/>
    </row>
    <row r="192" spans="1:19">
      <c r="A192" s="1" t="s">
        <v>41</v>
      </c>
      <c r="B192" s="8" t="s">
        <v>258</v>
      </c>
      <c r="C192" s="422">
        <v>2.335</v>
      </c>
      <c r="D192" s="21" t="s">
        <v>155</v>
      </c>
      <c r="E192" s="6">
        <f>0.0951+0.0022+0.007</f>
        <v>0.1043</v>
      </c>
      <c r="F192" s="10">
        <v>2.2800000000000001E-2</v>
      </c>
      <c r="G192" s="5">
        <f t="shared" si="36"/>
        <v>2.4937801473598036</v>
      </c>
      <c r="H192" s="21" t="s">
        <v>39</v>
      </c>
      <c r="I192" s="6">
        <v>0</v>
      </c>
      <c r="J192" s="7">
        <v>2.5000000000000001E-3</v>
      </c>
      <c r="K192" s="5">
        <f t="shared" si="38"/>
        <v>2.5000302229170961</v>
      </c>
      <c r="L192" s="21"/>
      <c r="M192" s="6">
        <v>0</v>
      </c>
      <c r="N192" s="7">
        <v>0</v>
      </c>
      <c r="O192" s="5">
        <f t="shared" si="39"/>
        <v>2.5000302229170961</v>
      </c>
      <c r="P192" s="329">
        <f>Weightings!$C$7</f>
        <v>669.60336394048545</v>
      </c>
      <c r="Q192" s="5">
        <f t="shared" si="37"/>
        <v>2.1025816338228576E-2</v>
      </c>
      <c r="R192" s="5"/>
      <c r="S192" s="245"/>
    </row>
    <row r="193" spans="1:19">
      <c r="A193" s="1" t="s">
        <v>26</v>
      </c>
      <c r="B193" s="8" t="s">
        <v>259</v>
      </c>
      <c r="C193" s="423">
        <f>C198</f>
        <v>2.06</v>
      </c>
      <c r="D193" s="21" t="s">
        <v>31</v>
      </c>
      <c r="E193" s="609">
        <f>0.0331+0.0022+0.0097</f>
        <v>4.4999999999999998E-2</v>
      </c>
      <c r="F193" s="608">
        <v>5.04E-2</v>
      </c>
      <c r="G193" s="5">
        <f t="shared" si="36"/>
        <v>2.2143344566133107</v>
      </c>
      <c r="H193" s="21" t="s">
        <v>38</v>
      </c>
      <c r="I193" s="6">
        <f>E191</f>
        <v>0.1043</v>
      </c>
      <c r="J193" s="7">
        <v>2.2800000000000001E-2</v>
      </c>
      <c r="K193" s="5">
        <f t="shared" si="38"/>
        <v>2.3702992392686357</v>
      </c>
      <c r="L193" s="21" t="s">
        <v>39</v>
      </c>
      <c r="M193" s="6">
        <v>0</v>
      </c>
      <c r="N193" s="7">
        <v>2.5000000000000001E-3</v>
      </c>
      <c r="O193" s="5">
        <f t="shared" si="39"/>
        <v>2.3762398388657999</v>
      </c>
      <c r="P193" s="329">
        <f>Weightings!$C$8</f>
        <v>273.77460524748824</v>
      </c>
      <c r="Q193" s="5">
        <f t="shared" si="37"/>
        <v>8.170966219164414E-3</v>
      </c>
      <c r="R193" s="5"/>
      <c r="S193" s="29"/>
    </row>
    <row r="194" spans="1:19">
      <c r="A194" s="1" t="s">
        <v>27</v>
      </c>
      <c r="B194" s="8" t="s">
        <v>103</v>
      </c>
      <c r="C194" s="423">
        <f>C199</f>
        <v>2.19</v>
      </c>
      <c r="D194" s="21" t="s">
        <v>32</v>
      </c>
      <c r="E194" s="609">
        <f>0.0305+0.0022+0.0097</f>
        <v>4.24E-2</v>
      </c>
      <c r="F194" s="608">
        <v>4.6199999999999998E-2</v>
      </c>
      <c r="G194" s="5">
        <f t="shared" si="36"/>
        <v>2.3384788425246383</v>
      </c>
      <c r="H194" s="21" t="s">
        <v>38</v>
      </c>
      <c r="I194" s="6">
        <f>E191</f>
        <v>0.1043</v>
      </c>
      <c r="J194" s="7">
        <v>2.2800000000000001E-2</v>
      </c>
      <c r="K194" s="5">
        <f t="shared" si="38"/>
        <v>2.4973401581300023</v>
      </c>
      <c r="L194" s="21" t="s">
        <v>39</v>
      </c>
      <c r="M194" s="6">
        <v>0</v>
      </c>
      <c r="N194" s="7">
        <v>2.5000000000000001E-3</v>
      </c>
      <c r="O194" s="5">
        <f t="shared" si="39"/>
        <v>2.5035991560200523</v>
      </c>
      <c r="P194" s="329">
        <f>Weightings!$C$9</f>
        <v>6.554456479221634</v>
      </c>
      <c r="Q194" s="5">
        <f t="shared" si="37"/>
        <v>2.0610639229976465E-4</v>
      </c>
      <c r="R194" s="5"/>
      <c r="S194" s="29"/>
    </row>
    <row r="195" spans="1:19">
      <c r="A195" s="1" t="s">
        <v>0</v>
      </c>
      <c r="B195" s="8" t="s">
        <v>260</v>
      </c>
      <c r="C195" s="422">
        <v>2.08</v>
      </c>
      <c r="D195" s="21" t="s">
        <v>37</v>
      </c>
      <c r="E195" s="6">
        <f>0.0366+0.0022</f>
        <v>3.8800000000000001E-2</v>
      </c>
      <c r="F195" s="10">
        <v>6.9699999999999996E-3</v>
      </c>
      <c r="G195" s="5">
        <f t="shared" si="36"/>
        <v>2.1333993575219283</v>
      </c>
      <c r="H195" s="21" t="s">
        <v>43</v>
      </c>
      <c r="I195" s="609">
        <f>0.017+0.0022</f>
        <v>1.9200000000000002E-2</v>
      </c>
      <c r="J195" s="608">
        <v>2.9020000000000001E-2</v>
      </c>
      <c r="K195" s="5">
        <f t="shared" si="38"/>
        <v>2.2163609688375954</v>
      </c>
      <c r="L195" s="15" t="s">
        <v>156</v>
      </c>
      <c r="M195" s="6">
        <f>E196</f>
        <v>2.2600000000000002E-2</v>
      </c>
      <c r="N195" s="10">
        <f>F196</f>
        <v>2.776E-2</v>
      </c>
      <c r="O195" s="247">
        <f t="shared" si="39"/>
        <v>2.3022438830305227</v>
      </c>
      <c r="P195" s="329">
        <f>Weightings!$C$13</f>
        <v>31370.607479626047</v>
      </c>
      <c r="Q195" s="5">
        <f t="shared" si="37"/>
        <v>0.90711894518172509</v>
      </c>
      <c r="R195" s="247"/>
      <c r="S195" s="29"/>
    </row>
    <row r="196" spans="1:19">
      <c r="A196" s="1" t="s">
        <v>1</v>
      </c>
      <c r="B196" s="8" t="s">
        <v>261</v>
      </c>
      <c r="C196" s="422">
        <v>2.29</v>
      </c>
      <c r="D196" s="21" t="s">
        <v>48</v>
      </c>
      <c r="E196" s="6">
        <f>0.0134+0.0022+0.007</f>
        <v>2.2600000000000002E-2</v>
      </c>
      <c r="F196" s="10">
        <v>2.776E-2</v>
      </c>
      <c r="G196" s="5">
        <f t="shared" si="36"/>
        <v>2.3779855015222582</v>
      </c>
      <c r="H196" s="21"/>
      <c r="I196" s="6">
        <v>0</v>
      </c>
      <c r="J196" s="7">
        <v>0</v>
      </c>
      <c r="K196" s="5">
        <f t="shared" si="38"/>
        <v>2.3779855015222582</v>
      </c>
      <c r="L196" s="15"/>
      <c r="M196" s="6">
        <v>0</v>
      </c>
      <c r="N196" s="7">
        <v>0</v>
      </c>
      <c r="O196" s="5">
        <f t="shared" si="39"/>
        <v>2.3779855015222582</v>
      </c>
      <c r="P196" s="329">
        <f>Weightings!$C$14</f>
        <v>5614.3227016821775</v>
      </c>
      <c r="Q196" s="5">
        <f t="shared" si="37"/>
        <v>0.16768590332153432</v>
      </c>
      <c r="R196" s="5"/>
      <c r="S196" s="246"/>
    </row>
    <row r="197" spans="1:19">
      <c r="A197" s="1" t="s">
        <v>2</v>
      </c>
      <c r="B197" s="8" t="s">
        <v>262</v>
      </c>
      <c r="C197" s="649">
        <v>2.0649999999999999</v>
      </c>
      <c r="D197" s="21" t="s">
        <v>33</v>
      </c>
      <c r="E197" s="609">
        <f>0.0299+0.0022+0.0097</f>
        <v>4.1799999999999997E-2</v>
      </c>
      <c r="F197" s="608">
        <v>4.58E-2</v>
      </c>
      <c r="G197" s="5">
        <f t="shared" si="36"/>
        <v>2.2059165374135397</v>
      </c>
      <c r="H197" s="21" t="s">
        <v>42</v>
      </c>
      <c r="I197" s="6">
        <v>0</v>
      </c>
      <c r="J197" s="7">
        <v>0.01</v>
      </c>
      <c r="K197" s="5">
        <f t="shared" si="38"/>
        <v>2.2281985226399392</v>
      </c>
      <c r="L197" s="15"/>
      <c r="M197" s="6">
        <v>0</v>
      </c>
      <c r="N197" s="7">
        <v>0</v>
      </c>
      <c r="O197" s="5">
        <f t="shared" si="39"/>
        <v>2.2281985226399392</v>
      </c>
      <c r="P197" s="329">
        <f>Weightings!$C$15</f>
        <v>3366</v>
      </c>
      <c r="Q197" s="5">
        <f t="shared" si="37"/>
        <v>9.4201533869001972E-2</v>
      </c>
      <c r="R197" s="5"/>
      <c r="S197" s="29"/>
    </row>
    <row r="198" spans="1:19">
      <c r="A198" s="1" t="s">
        <v>3</v>
      </c>
      <c r="B198" s="8" t="s">
        <v>259</v>
      </c>
      <c r="C198" s="422">
        <v>2.06</v>
      </c>
      <c r="D198" s="21" t="s">
        <v>34</v>
      </c>
      <c r="E198" s="609">
        <f>0.0277+0.0022+0.0097</f>
        <v>3.9599999999999996E-2</v>
      </c>
      <c r="F198" s="608">
        <v>4.2299999999999997E-2</v>
      </c>
      <c r="G198" s="5">
        <f t="shared" si="36"/>
        <v>2.1905867390623368</v>
      </c>
      <c r="H198" s="21" t="s">
        <v>42</v>
      </c>
      <c r="I198" s="6">
        <v>0</v>
      </c>
      <c r="J198" s="7">
        <v>0.01</v>
      </c>
      <c r="K198" s="5">
        <f t="shared" si="38"/>
        <v>2.2127138778407445</v>
      </c>
      <c r="M198" s="6">
        <v>0</v>
      </c>
      <c r="N198" s="7">
        <v>0</v>
      </c>
      <c r="O198" s="5">
        <f t="shared" si="39"/>
        <v>2.2127138778407445</v>
      </c>
      <c r="P198" s="329">
        <f>Weightings!$C$16</f>
        <v>4950</v>
      </c>
      <c r="Q198" s="5">
        <f t="shared" si="37"/>
        <v>0.1375689553611357</v>
      </c>
      <c r="R198" s="5"/>
      <c r="S198" s="29"/>
    </row>
    <row r="199" spans="1:19">
      <c r="A199" s="1" t="s">
        <v>4</v>
      </c>
      <c r="B199" s="8" t="s">
        <v>103</v>
      </c>
      <c r="C199" s="422">
        <v>2.19</v>
      </c>
      <c r="D199" s="21" t="s">
        <v>35</v>
      </c>
      <c r="E199" s="609">
        <f>0.0251+0.0022+0.0097</f>
        <v>3.7000000000000005E-2</v>
      </c>
      <c r="F199" s="608">
        <v>3.8100000000000002E-2</v>
      </c>
      <c r="G199" s="5">
        <f t="shared" si="36"/>
        <v>2.3137439442769518</v>
      </c>
      <c r="H199" s="21" t="s">
        <v>42</v>
      </c>
      <c r="I199" s="6">
        <v>0</v>
      </c>
      <c r="J199" s="7">
        <v>0.01</v>
      </c>
      <c r="K199" s="5">
        <f t="shared" si="38"/>
        <v>2.3371150952292443</v>
      </c>
      <c r="M199" s="6">
        <v>0</v>
      </c>
      <c r="N199" s="7">
        <v>0</v>
      </c>
      <c r="O199" s="5">
        <f t="shared" si="39"/>
        <v>2.3371150952292443</v>
      </c>
      <c r="P199" s="329">
        <f>Weightings!$C$17</f>
        <v>11172.172715894869</v>
      </c>
      <c r="Q199" s="5">
        <f t="shared" si="37"/>
        <v>0.32795006578399855</v>
      </c>
      <c r="R199" s="5"/>
      <c r="S199" s="29"/>
    </row>
    <row r="200" spans="1:19">
      <c r="O200" s="35"/>
      <c r="P200" s="67"/>
      <c r="Q200" s="35"/>
      <c r="R200" s="35"/>
      <c r="S200" s="244"/>
    </row>
    <row r="201" spans="1:19" ht="13.5" thickBot="1">
      <c r="O201" s="36"/>
      <c r="P201" s="330"/>
      <c r="Q201" s="36"/>
      <c r="R201" s="36"/>
    </row>
    <row r="202" spans="1:19" ht="13.5" thickBot="1">
      <c r="O202" s="331" t="s">
        <v>198</v>
      </c>
      <c r="P202" s="332"/>
      <c r="Q202" s="333">
        <f>SUM(Q189:Q199)</f>
        <v>2.3536686618790421</v>
      </c>
      <c r="R202" s="424">
        <f>B187</f>
        <v>37174</v>
      </c>
    </row>
    <row r="203" spans="1:19">
      <c r="O203" s="35"/>
      <c r="P203" s="35"/>
      <c r="Q203" s="35"/>
      <c r="R203" s="35"/>
      <c r="S203" s="35"/>
    </row>
    <row r="204" spans="1:19">
      <c r="D204" s="21"/>
      <c r="H204" s="5"/>
      <c r="O204" s="36" t="s">
        <v>263</v>
      </c>
      <c r="P204" s="404">
        <f>Weightings!C203</f>
        <v>0</v>
      </c>
      <c r="Q204" s="35" t="s">
        <v>206</v>
      </c>
      <c r="R204" s="344" t="s">
        <v>208</v>
      </c>
      <c r="S204" s="35"/>
    </row>
    <row r="205" spans="1:19" ht="13.5" thickBot="1">
      <c r="A205" s="675"/>
      <c r="B205" s="676"/>
      <c r="C205" s="675"/>
      <c r="D205" s="677"/>
      <c r="E205" s="675"/>
      <c r="F205" s="675"/>
      <c r="G205" s="675"/>
      <c r="H205" s="678"/>
      <c r="I205" s="675"/>
      <c r="J205" s="675"/>
      <c r="K205" s="675"/>
      <c r="L205" s="675"/>
      <c r="M205" s="675"/>
      <c r="N205" s="675"/>
      <c r="O205" s="675"/>
      <c r="P205" s="679"/>
      <c r="Q205" s="675"/>
      <c r="R205" s="675"/>
      <c r="S205" s="675"/>
    </row>
    <row r="206" spans="1:19" ht="14.25" thickTop="1" thickBot="1">
      <c r="A206" s="2"/>
      <c r="B206" s="28"/>
      <c r="D206" s="3" t="s">
        <v>10</v>
      </c>
      <c r="H206" s="3" t="s">
        <v>11</v>
      </c>
      <c r="L206" s="3" t="s">
        <v>12</v>
      </c>
    </row>
    <row r="207" spans="1:19" ht="14.25" thickTop="1" thickBot="1">
      <c r="A207" s="421" t="s">
        <v>255</v>
      </c>
      <c r="B207" s="433">
        <f>B187+1</f>
        <v>37175</v>
      </c>
      <c r="C207" s="434">
        <f>Q222</f>
        <v>2.4484301287074235</v>
      </c>
      <c r="E207" s="624"/>
    </row>
    <row r="208" spans="1:19" ht="54" customHeight="1" thickTop="1">
      <c r="A208" s="2" t="s">
        <v>5</v>
      </c>
      <c r="B208" s="9" t="s">
        <v>46</v>
      </c>
      <c r="C208" s="18" t="s">
        <v>256</v>
      </c>
      <c r="D208" s="14" t="s">
        <v>28</v>
      </c>
      <c r="E208" s="4" t="s">
        <v>7</v>
      </c>
      <c r="F208" s="4" t="s">
        <v>8</v>
      </c>
      <c r="G208" s="4" t="s">
        <v>9</v>
      </c>
      <c r="H208" s="14" t="s">
        <v>28</v>
      </c>
      <c r="I208" s="4" t="s">
        <v>7</v>
      </c>
      <c r="J208" s="4" t="s">
        <v>8</v>
      </c>
      <c r="K208" s="4" t="s">
        <v>9</v>
      </c>
      <c r="L208" s="14" t="s">
        <v>28</v>
      </c>
      <c r="M208" s="4" t="s">
        <v>7</v>
      </c>
      <c r="N208" s="4" t="s">
        <v>8</v>
      </c>
      <c r="O208" s="4" t="s">
        <v>9</v>
      </c>
      <c r="P208" s="4" t="s">
        <v>193</v>
      </c>
      <c r="Q208" s="4" t="s">
        <v>197</v>
      </c>
      <c r="R208" s="4"/>
      <c r="S208" s="4"/>
    </row>
    <row r="209" spans="1:19">
      <c r="A209" s="1" t="s">
        <v>49</v>
      </c>
      <c r="B209" s="8" t="s">
        <v>269</v>
      </c>
      <c r="C209" s="422">
        <v>2.1800000000000002</v>
      </c>
      <c r="D209" s="21" t="s">
        <v>29</v>
      </c>
      <c r="E209" s="6">
        <v>5.2200000000000003E-2</v>
      </c>
      <c r="F209" s="10">
        <v>5.0599999999999999E-2</v>
      </c>
      <c r="G209" s="5">
        <f t="shared" ref="G209:G219" si="40">+C209/(1-F209)+E209</f>
        <v>2.3483870655150625</v>
      </c>
      <c r="H209" s="21" t="s">
        <v>38</v>
      </c>
      <c r="I209" s="6">
        <f>E211</f>
        <v>0.1043</v>
      </c>
      <c r="J209" s="7">
        <v>2.2800000000000001E-2</v>
      </c>
      <c r="K209" s="5">
        <f>+G209/(1-J209)+I209</f>
        <v>2.5074795594710011</v>
      </c>
      <c r="L209" s="21" t="s">
        <v>39</v>
      </c>
      <c r="M209" s="6">
        <v>0</v>
      </c>
      <c r="N209" s="7">
        <v>2.5000000000000001E-3</v>
      </c>
      <c r="O209" s="5">
        <f>+K209/(1-N209)+M209</f>
        <v>2.5137639693944873</v>
      </c>
      <c r="P209" s="329">
        <f>Weightings!$C$4</f>
        <v>1071.401539872767</v>
      </c>
      <c r="Q209" s="5">
        <f t="shared" ref="Q209:Q219" si="41">+P209/SUM($P$9:$P$19)*O209</f>
        <v>3.3827253974185151E-2</v>
      </c>
      <c r="R209" s="5"/>
      <c r="S209" s="245"/>
    </row>
    <row r="210" spans="1:19">
      <c r="A210" s="1" t="s">
        <v>50</v>
      </c>
      <c r="B210" s="8" t="s">
        <v>270</v>
      </c>
      <c r="C210" s="422">
        <v>2.125</v>
      </c>
      <c r="D210" s="21" t="s">
        <v>30</v>
      </c>
      <c r="E210" s="6">
        <v>5.2200000000000003E-2</v>
      </c>
      <c r="F210" s="10">
        <v>5.8000000000000003E-2</v>
      </c>
      <c r="G210" s="5">
        <f t="shared" si="40"/>
        <v>2.30803864118896</v>
      </c>
      <c r="H210" s="21" t="s">
        <v>38</v>
      </c>
      <c r="I210" s="6">
        <f>E211</f>
        <v>0.1043</v>
      </c>
      <c r="J210" s="7">
        <v>2.2800000000000001E-2</v>
      </c>
      <c r="K210" s="5">
        <f t="shared" ref="K210:K219" si="42">+G210/(1-J210)+I210</f>
        <v>2.4661897269637332</v>
      </c>
      <c r="L210" s="21" t="s">
        <v>39</v>
      </c>
      <c r="M210" s="6">
        <v>0</v>
      </c>
      <c r="N210" s="7">
        <v>2.5000000000000001E-3</v>
      </c>
      <c r="O210" s="5">
        <f t="shared" ref="O210:O219" si="43">+K210/(1-N210)+M210</f>
        <v>2.4723706535977272</v>
      </c>
      <c r="P210" s="329">
        <f>Weightings!$C$5</f>
        <v>1309.8829179244465</v>
      </c>
      <c r="Q210" s="5">
        <f t="shared" si="41"/>
        <v>4.0675794015961865E-2</v>
      </c>
      <c r="R210" s="5"/>
      <c r="S210" s="29"/>
    </row>
    <row r="211" spans="1:19">
      <c r="A211" s="1" t="s">
        <v>40</v>
      </c>
      <c r="B211" s="8" t="s">
        <v>257</v>
      </c>
      <c r="C211" s="422">
        <v>2.35</v>
      </c>
      <c r="D211" s="21" t="s">
        <v>154</v>
      </c>
      <c r="E211" s="6">
        <f>0.0951+0.0022+0.007</f>
        <v>0.1043</v>
      </c>
      <c r="F211" s="10">
        <v>2.2800000000000001E-2</v>
      </c>
      <c r="G211" s="5">
        <f t="shared" si="40"/>
        <v>2.5091301268931643</v>
      </c>
      <c r="H211" s="21" t="s">
        <v>39</v>
      </c>
      <c r="I211" s="6">
        <v>0</v>
      </c>
      <c r="J211" s="7">
        <v>2.5000000000000001E-3</v>
      </c>
      <c r="K211" s="5">
        <f t="shared" si="42"/>
        <v>2.5154186735771069</v>
      </c>
      <c r="L211" s="21"/>
      <c r="M211" s="6">
        <v>0</v>
      </c>
      <c r="N211" s="7">
        <v>0</v>
      </c>
      <c r="O211" s="5">
        <f t="shared" si="43"/>
        <v>2.5154186735771069</v>
      </c>
      <c r="P211" s="329">
        <f>Weightings!$C$6</f>
        <v>19813.452023725906</v>
      </c>
      <c r="Q211" s="5">
        <f t="shared" si="41"/>
        <v>0.62597992984468431</v>
      </c>
      <c r="R211" s="5"/>
      <c r="S211" s="29"/>
    </row>
    <row r="212" spans="1:19">
      <c r="A212" s="1" t="s">
        <v>41</v>
      </c>
      <c r="B212" s="8" t="s">
        <v>258</v>
      </c>
      <c r="C212" s="422">
        <v>2.38</v>
      </c>
      <c r="D212" s="21" t="s">
        <v>155</v>
      </c>
      <c r="E212" s="6">
        <f>0.0951+0.0022+0.007</f>
        <v>0.1043</v>
      </c>
      <c r="F212" s="10">
        <v>2.2800000000000001E-2</v>
      </c>
      <c r="G212" s="5">
        <f t="shared" si="40"/>
        <v>2.5398300859598852</v>
      </c>
      <c r="H212" s="21" t="s">
        <v>39</v>
      </c>
      <c r="I212" s="6">
        <v>0</v>
      </c>
      <c r="J212" s="7">
        <v>2.5000000000000001E-3</v>
      </c>
      <c r="K212" s="5">
        <f t="shared" si="42"/>
        <v>2.5461955748971281</v>
      </c>
      <c r="L212" s="21"/>
      <c r="M212" s="6">
        <v>0</v>
      </c>
      <c r="N212" s="7">
        <v>0</v>
      </c>
      <c r="O212" s="5">
        <f t="shared" si="43"/>
        <v>2.5461955748971281</v>
      </c>
      <c r="P212" s="329">
        <f>Weightings!$C$7</f>
        <v>669.60336394048545</v>
      </c>
      <c r="Q212" s="5">
        <f t="shared" si="41"/>
        <v>2.1414077329245409E-2</v>
      </c>
      <c r="R212" s="5"/>
      <c r="S212" s="245"/>
    </row>
    <row r="213" spans="1:19">
      <c r="A213" s="1" t="s">
        <v>26</v>
      </c>
      <c r="B213" s="8" t="s">
        <v>259</v>
      </c>
      <c r="C213" s="423">
        <f>C218</f>
        <v>2.165</v>
      </c>
      <c r="D213" s="21" t="s">
        <v>31</v>
      </c>
      <c r="E213" s="609">
        <f>0.0331+0.0022+0.0097</f>
        <v>4.4999999999999998E-2</v>
      </c>
      <c r="F213" s="608">
        <v>5.04E-2</v>
      </c>
      <c r="G213" s="5">
        <f t="shared" si="40"/>
        <v>2.3249073294018534</v>
      </c>
      <c r="H213" s="21" t="s">
        <v>38</v>
      </c>
      <c r="I213" s="6">
        <f>E211</f>
        <v>0.1043</v>
      </c>
      <c r="J213" s="7">
        <v>2.2800000000000001E-2</v>
      </c>
      <c r="K213" s="5">
        <f t="shared" si="42"/>
        <v>2.4834519948852369</v>
      </c>
      <c r="L213" s="21" t="s">
        <v>39</v>
      </c>
      <c r="M213" s="6">
        <v>0</v>
      </c>
      <c r="N213" s="7">
        <v>2.5000000000000001E-3</v>
      </c>
      <c r="O213" s="5">
        <f t="shared" si="43"/>
        <v>2.4896761853486082</v>
      </c>
      <c r="P213" s="329">
        <f>Weightings!$C$8</f>
        <v>273.77460524748824</v>
      </c>
      <c r="Q213" s="5">
        <f t="shared" si="41"/>
        <v>8.5610297725045807E-3</v>
      </c>
      <c r="R213" s="5"/>
      <c r="S213" s="29"/>
    </row>
    <row r="214" spans="1:19">
      <c r="A214" s="1" t="s">
        <v>27</v>
      </c>
      <c r="B214" s="8" t="s">
        <v>103</v>
      </c>
      <c r="C214" s="423">
        <f>C219</f>
        <v>2.2850000000000001</v>
      </c>
      <c r="D214" s="21" t="s">
        <v>32</v>
      </c>
      <c r="E214" s="609">
        <f>0.0305+0.0022+0.0097</f>
        <v>4.24E-2</v>
      </c>
      <c r="F214" s="608">
        <v>4.6199999999999998E-2</v>
      </c>
      <c r="G214" s="5">
        <f t="shared" si="40"/>
        <v>2.4380804361501367</v>
      </c>
      <c r="H214" s="21" t="s">
        <v>38</v>
      </c>
      <c r="I214" s="6">
        <f>E211</f>
        <v>0.1043</v>
      </c>
      <c r="J214" s="7">
        <v>2.2800000000000001E-2</v>
      </c>
      <c r="K214" s="5">
        <f t="shared" si="42"/>
        <v>2.5992656530394358</v>
      </c>
      <c r="L214" s="21" t="s">
        <v>39</v>
      </c>
      <c r="M214" s="6">
        <v>0</v>
      </c>
      <c r="N214" s="7">
        <v>2.5000000000000001E-3</v>
      </c>
      <c r="O214" s="5">
        <f t="shared" si="43"/>
        <v>2.60578010329768</v>
      </c>
      <c r="P214" s="329">
        <f>Weightings!$C$9</f>
        <v>6.554456479221634</v>
      </c>
      <c r="Q214" s="5">
        <f t="shared" si="41"/>
        <v>2.1451834049623369E-4</v>
      </c>
      <c r="R214" s="5"/>
      <c r="S214" s="29"/>
    </row>
    <row r="215" spans="1:19">
      <c r="A215" s="1" t="s">
        <v>0</v>
      </c>
      <c r="B215" s="8" t="s">
        <v>260</v>
      </c>
      <c r="C215" s="422">
        <v>2.21</v>
      </c>
      <c r="D215" s="21" t="s">
        <v>37</v>
      </c>
      <c r="E215" s="6">
        <f>0.0366+0.0022</f>
        <v>3.8800000000000001E-2</v>
      </c>
      <c r="F215" s="10">
        <v>6.9699999999999996E-3</v>
      </c>
      <c r="G215" s="5">
        <f t="shared" si="40"/>
        <v>2.2643118173670485</v>
      </c>
      <c r="H215" s="21" t="s">
        <v>43</v>
      </c>
      <c r="I215" s="609">
        <f>0.017+0.0022</f>
        <v>1.9200000000000002E-2</v>
      </c>
      <c r="J215" s="608">
        <v>2.9020000000000001E-2</v>
      </c>
      <c r="K215" s="5">
        <f t="shared" si="42"/>
        <v>2.3511860526139041</v>
      </c>
      <c r="L215" s="15" t="s">
        <v>156</v>
      </c>
      <c r="M215" s="6">
        <f>E216</f>
        <v>2.2600000000000002E-2</v>
      </c>
      <c r="N215" s="10">
        <f>F216</f>
        <v>2.776E-2</v>
      </c>
      <c r="O215" s="247">
        <f t="shared" si="43"/>
        <v>2.4409185762917636</v>
      </c>
      <c r="P215" s="329">
        <f>Weightings!$C$13</f>
        <v>31370.607479626047</v>
      </c>
      <c r="Q215" s="5">
        <f t="shared" si="41"/>
        <v>0.96175887381906322</v>
      </c>
      <c r="R215" s="247"/>
      <c r="S215" s="29"/>
    </row>
    <row r="216" spans="1:19">
      <c r="A216" s="1" t="s">
        <v>1</v>
      </c>
      <c r="B216" s="8" t="s">
        <v>261</v>
      </c>
      <c r="C216" s="422">
        <v>2.35</v>
      </c>
      <c r="D216" s="21" t="s">
        <v>48</v>
      </c>
      <c r="E216" s="6">
        <f>0.0134+0.0022+0.007</f>
        <v>2.2600000000000002E-2</v>
      </c>
      <c r="F216" s="10">
        <v>2.776E-2</v>
      </c>
      <c r="G216" s="5">
        <f t="shared" si="40"/>
        <v>2.4396986587673828</v>
      </c>
      <c r="H216" s="21"/>
      <c r="I216" s="6">
        <v>0</v>
      </c>
      <c r="J216" s="7">
        <v>0</v>
      </c>
      <c r="K216" s="5">
        <f t="shared" si="42"/>
        <v>2.4396986587673828</v>
      </c>
      <c r="L216" s="15"/>
      <c r="M216" s="6">
        <v>0</v>
      </c>
      <c r="N216" s="7">
        <v>0</v>
      </c>
      <c r="O216" s="5">
        <f t="shared" si="43"/>
        <v>2.4396986587673828</v>
      </c>
      <c r="P216" s="329">
        <f>Weightings!$C$14</f>
        <v>5614.3227016821775</v>
      </c>
      <c r="Q216" s="5">
        <f t="shared" si="41"/>
        <v>0.17203766514381966</v>
      </c>
      <c r="R216" s="5"/>
      <c r="S216" s="246"/>
    </row>
    <row r="217" spans="1:19">
      <c r="A217" s="1" t="s">
        <v>2</v>
      </c>
      <c r="B217" s="8" t="s">
        <v>262</v>
      </c>
      <c r="C217" s="649">
        <v>2.14</v>
      </c>
      <c r="D217" s="21" t="s">
        <v>33</v>
      </c>
      <c r="E217" s="609">
        <f>0.0299+0.0022+0.0097</f>
        <v>4.1799999999999997E-2</v>
      </c>
      <c r="F217" s="608">
        <v>4.58E-2</v>
      </c>
      <c r="G217" s="5">
        <f t="shared" si="40"/>
        <v>2.2845164116537413</v>
      </c>
      <c r="H217" s="21" t="s">
        <v>42</v>
      </c>
      <c r="I217" s="6">
        <v>0</v>
      </c>
      <c r="J217" s="7">
        <v>0.01</v>
      </c>
      <c r="K217" s="5">
        <f t="shared" si="42"/>
        <v>2.307592335003779</v>
      </c>
      <c r="L217" s="15"/>
      <c r="M217" s="6">
        <v>0</v>
      </c>
      <c r="N217" s="7">
        <v>0</v>
      </c>
      <c r="O217" s="5">
        <f t="shared" si="43"/>
        <v>2.307592335003779</v>
      </c>
      <c r="P217" s="329">
        <f>Weightings!$C$15</f>
        <v>3366</v>
      </c>
      <c r="Q217" s="5">
        <f t="shared" si="41"/>
        <v>9.7558065537248662E-2</v>
      </c>
      <c r="R217" s="5"/>
      <c r="S217" s="29"/>
    </row>
    <row r="218" spans="1:19">
      <c r="A218" s="1" t="s">
        <v>3</v>
      </c>
      <c r="B218" s="8" t="s">
        <v>259</v>
      </c>
      <c r="C218" s="422">
        <v>2.165</v>
      </c>
      <c r="D218" s="21" t="s">
        <v>34</v>
      </c>
      <c r="E218" s="609">
        <f>0.0277+0.0022+0.0097</f>
        <v>3.9599999999999996E-2</v>
      </c>
      <c r="F218" s="608">
        <v>4.2299999999999997E-2</v>
      </c>
      <c r="G218" s="5">
        <f t="shared" si="40"/>
        <v>2.3002244126553202</v>
      </c>
      <c r="H218" s="21" t="s">
        <v>42</v>
      </c>
      <c r="I218" s="6">
        <v>0</v>
      </c>
      <c r="J218" s="7">
        <v>0.01</v>
      </c>
      <c r="K218" s="5">
        <f t="shared" si="42"/>
        <v>2.3234590026821418</v>
      </c>
      <c r="M218" s="6">
        <v>0</v>
      </c>
      <c r="N218" s="7">
        <v>0</v>
      </c>
      <c r="O218" s="5">
        <f t="shared" si="43"/>
        <v>2.3234590026821418</v>
      </c>
      <c r="P218" s="329">
        <f>Weightings!$C$16</f>
        <v>4950</v>
      </c>
      <c r="Q218" s="5">
        <f t="shared" si="41"/>
        <v>0.14445420667552464</v>
      </c>
      <c r="R218" s="5"/>
      <c r="S218" s="29"/>
    </row>
    <row r="219" spans="1:19">
      <c r="A219" s="1" t="s">
        <v>4</v>
      </c>
      <c r="B219" s="8" t="s">
        <v>103</v>
      </c>
      <c r="C219" s="422">
        <v>2.2850000000000001</v>
      </c>
      <c r="D219" s="21" t="s">
        <v>35</v>
      </c>
      <c r="E219" s="609">
        <f>0.0251+0.0022+0.0097</f>
        <v>3.7000000000000005E-2</v>
      </c>
      <c r="F219" s="608">
        <v>3.8100000000000002E-2</v>
      </c>
      <c r="G219" s="5">
        <f t="shared" si="40"/>
        <v>2.4125068094396509</v>
      </c>
      <c r="H219" s="21" t="s">
        <v>42</v>
      </c>
      <c r="I219" s="6">
        <v>0</v>
      </c>
      <c r="J219" s="7">
        <v>0.01</v>
      </c>
      <c r="K219" s="5">
        <f t="shared" si="42"/>
        <v>2.4368755650905567</v>
      </c>
      <c r="M219" s="6">
        <v>0</v>
      </c>
      <c r="N219" s="7">
        <v>0</v>
      </c>
      <c r="O219" s="5">
        <f t="shared" si="43"/>
        <v>2.4368755650905567</v>
      </c>
      <c r="P219" s="329">
        <f>Weightings!$C$17</f>
        <v>11172.172715894869</v>
      </c>
      <c r="Q219" s="5">
        <f t="shared" si="41"/>
        <v>0.34194871425468965</v>
      </c>
      <c r="R219" s="5"/>
      <c r="S219" s="29"/>
    </row>
    <row r="220" spans="1:19">
      <c r="O220" s="35"/>
      <c r="P220" s="67"/>
      <c r="Q220" s="35"/>
      <c r="R220" s="35"/>
      <c r="S220" s="244"/>
    </row>
    <row r="221" spans="1:19" ht="13.5" thickBot="1">
      <c r="O221" s="36"/>
      <c r="P221" s="330"/>
      <c r="Q221" s="36"/>
      <c r="R221" s="36"/>
    </row>
    <row r="222" spans="1:19" ht="13.5" thickBot="1">
      <c r="O222" s="331" t="s">
        <v>198</v>
      </c>
      <c r="P222" s="332"/>
      <c r="Q222" s="333">
        <f>SUM(Q209:Q219)</f>
        <v>2.4484301287074235</v>
      </c>
      <c r="R222" s="424">
        <f>B207</f>
        <v>37175</v>
      </c>
    </row>
    <row r="223" spans="1:19">
      <c r="O223" s="35"/>
      <c r="P223" s="35"/>
      <c r="Q223" s="35"/>
      <c r="R223" s="35"/>
      <c r="S223" s="35"/>
    </row>
    <row r="224" spans="1:19">
      <c r="D224" s="21"/>
      <c r="H224" s="5"/>
      <c r="O224" s="36" t="s">
        <v>263</v>
      </c>
      <c r="P224" s="404">
        <f>Weightings!C223</f>
        <v>0</v>
      </c>
      <c r="Q224" s="35" t="s">
        <v>206</v>
      </c>
      <c r="R224" s="344" t="s">
        <v>208</v>
      </c>
      <c r="S224" s="35"/>
    </row>
    <row r="225" spans="1:19" ht="13.5" thickBot="1">
      <c r="A225" s="675"/>
      <c r="B225" s="676"/>
      <c r="C225" s="675"/>
      <c r="D225" s="677"/>
      <c r="E225" s="675"/>
      <c r="F225" s="675"/>
      <c r="G225" s="675"/>
      <c r="H225" s="678"/>
      <c r="I225" s="675"/>
      <c r="J225" s="675"/>
      <c r="K225" s="675"/>
      <c r="L225" s="675"/>
      <c r="M225" s="675"/>
      <c r="N225" s="675"/>
      <c r="O225" s="675"/>
      <c r="P225" s="679"/>
      <c r="Q225" s="675"/>
      <c r="R225" s="675"/>
      <c r="S225" s="675"/>
    </row>
    <row r="226" spans="1:19" ht="14.25" thickTop="1" thickBot="1">
      <c r="A226" s="2"/>
      <c r="B226" s="28"/>
      <c r="D226" s="3" t="s">
        <v>10</v>
      </c>
      <c r="H226" s="3" t="s">
        <v>11</v>
      </c>
      <c r="L226" s="3" t="s">
        <v>12</v>
      </c>
    </row>
    <row r="227" spans="1:19" ht="14.25" thickTop="1" thickBot="1">
      <c r="A227" s="421" t="s">
        <v>255</v>
      </c>
      <c r="B227" s="433">
        <f>B207+1</f>
        <v>37176</v>
      </c>
      <c r="C227" s="434">
        <f>Q242</f>
        <v>2.6047096543253856</v>
      </c>
      <c r="E227" s="624"/>
    </row>
    <row r="228" spans="1:19" ht="54" customHeight="1" thickTop="1">
      <c r="A228" s="2" t="s">
        <v>5</v>
      </c>
      <c r="B228" s="9" t="s">
        <v>46</v>
      </c>
      <c r="C228" s="18" t="s">
        <v>256</v>
      </c>
      <c r="D228" s="14" t="s">
        <v>28</v>
      </c>
      <c r="E228" s="4" t="s">
        <v>7</v>
      </c>
      <c r="F228" s="4" t="s">
        <v>8</v>
      </c>
      <c r="G228" s="4" t="s">
        <v>9</v>
      </c>
      <c r="H228" s="14" t="s">
        <v>28</v>
      </c>
      <c r="I228" s="4" t="s">
        <v>7</v>
      </c>
      <c r="J228" s="4" t="s">
        <v>8</v>
      </c>
      <c r="K228" s="4" t="s">
        <v>9</v>
      </c>
      <c r="L228" s="14" t="s">
        <v>28</v>
      </c>
      <c r="M228" s="4" t="s">
        <v>7</v>
      </c>
      <c r="N228" s="4" t="s">
        <v>8</v>
      </c>
      <c r="O228" s="4" t="s">
        <v>9</v>
      </c>
      <c r="P228" s="4" t="s">
        <v>193</v>
      </c>
      <c r="Q228" s="4" t="s">
        <v>197</v>
      </c>
      <c r="R228" s="4"/>
      <c r="S228" s="4"/>
    </row>
    <row r="229" spans="1:19">
      <c r="A229" s="1" t="s">
        <v>49</v>
      </c>
      <c r="B229" s="8" t="s">
        <v>269</v>
      </c>
      <c r="C229" s="422">
        <v>2.335</v>
      </c>
      <c r="D229" s="21" t="s">
        <v>29</v>
      </c>
      <c r="E229" s="6">
        <v>5.2200000000000003E-2</v>
      </c>
      <c r="F229" s="10">
        <v>5.0599999999999999E-2</v>
      </c>
      <c r="G229" s="5">
        <f t="shared" ref="G229:G239" si="44">+C229/(1-F229)+E229</f>
        <v>2.5116480724668211</v>
      </c>
      <c r="H229" s="21" t="s">
        <v>38</v>
      </c>
      <c r="I229" s="6">
        <f>E231</f>
        <v>0.1043</v>
      </c>
      <c r="J229" s="7">
        <v>2.2800000000000001E-2</v>
      </c>
      <c r="K229" s="5">
        <f>+G229/(1-J229)+I229</f>
        <v>2.6745497671580241</v>
      </c>
      <c r="L229" s="21" t="s">
        <v>39</v>
      </c>
      <c r="M229" s="6">
        <v>0</v>
      </c>
      <c r="N229" s="7">
        <v>2.5000000000000001E-3</v>
      </c>
      <c r="O229" s="5">
        <f>+K229/(1-N229)+M229</f>
        <v>2.6812528994065401</v>
      </c>
      <c r="P229" s="329">
        <f>Weightings!$C$4</f>
        <v>1071.401539872767</v>
      </c>
      <c r="Q229" s="5">
        <f t="shared" ref="Q229:Q239" si="45">+P229/SUM($P$9:$P$19)*O229</f>
        <v>3.6081121338966807E-2</v>
      </c>
      <c r="R229" s="5"/>
      <c r="S229" s="245"/>
    </row>
    <row r="230" spans="1:19">
      <c r="A230" s="1" t="s">
        <v>50</v>
      </c>
      <c r="B230" s="8" t="s">
        <v>270</v>
      </c>
      <c r="C230" s="422">
        <v>2.3050000000000002</v>
      </c>
      <c r="D230" s="21" t="s">
        <v>30</v>
      </c>
      <c r="E230" s="6">
        <v>5.2200000000000003E-2</v>
      </c>
      <c r="F230" s="10">
        <v>5.8000000000000003E-2</v>
      </c>
      <c r="G230" s="5">
        <f t="shared" si="44"/>
        <v>2.4991214437367306</v>
      </c>
      <c r="H230" s="21" t="s">
        <v>38</v>
      </c>
      <c r="I230" s="6">
        <f>E231</f>
        <v>0.1043</v>
      </c>
      <c r="J230" s="7">
        <v>2.2800000000000001E-2</v>
      </c>
      <c r="K230" s="5">
        <f t="shared" ref="K230:K239" si="46">+G230/(1-J230)+I230</f>
        <v>2.6617308675160976</v>
      </c>
      <c r="L230" s="21" t="s">
        <v>39</v>
      </c>
      <c r="M230" s="6">
        <v>0</v>
      </c>
      <c r="N230" s="7">
        <v>2.5000000000000001E-3</v>
      </c>
      <c r="O230" s="5">
        <f t="shared" ref="O230:O239" si="47">+K230/(1-N230)+M230</f>
        <v>2.668401872196589</v>
      </c>
      <c r="P230" s="329">
        <f>Weightings!$C$5</f>
        <v>1309.8829179244465</v>
      </c>
      <c r="Q230" s="5">
        <f t="shared" si="45"/>
        <v>4.3900927535817445E-2</v>
      </c>
      <c r="R230" s="5"/>
      <c r="S230" s="29"/>
    </row>
    <row r="231" spans="1:19">
      <c r="A231" s="1" t="s">
        <v>40</v>
      </c>
      <c r="B231" s="8" t="s">
        <v>257</v>
      </c>
      <c r="C231" s="422">
        <v>2.4700000000000002</v>
      </c>
      <c r="D231" s="21" t="s">
        <v>154</v>
      </c>
      <c r="E231" s="6">
        <f>0.0951+0.0022+0.007</f>
        <v>0.1043</v>
      </c>
      <c r="F231" s="10">
        <v>2.2800000000000001E-2</v>
      </c>
      <c r="G231" s="5">
        <f t="shared" si="44"/>
        <v>2.6319299631600495</v>
      </c>
      <c r="H231" s="21" t="s">
        <v>39</v>
      </c>
      <c r="I231" s="6">
        <v>0</v>
      </c>
      <c r="J231" s="7">
        <v>2.5000000000000001E-3</v>
      </c>
      <c r="K231" s="5">
        <f t="shared" si="46"/>
        <v>2.6385262788571922</v>
      </c>
      <c r="L231" s="21"/>
      <c r="M231" s="6">
        <v>0</v>
      </c>
      <c r="N231" s="7">
        <v>0</v>
      </c>
      <c r="O231" s="5">
        <f t="shared" si="47"/>
        <v>2.6385262788571922</v>
      </c>
      <c r="P231" s="329">
        <f>Weightings!$C$6</f>
        <v>19813.452023725906</v>
      </c>
      <c r="Q231" s="5">
        <f t="shared" si="45"/>
        <v>0.65661613801395335</v>
      </c>
      <c r="R231" s="5"/>
      <c r="S231" s="29"/>
    </row>
    <row r="232" spans="1:19">
      <c r="A232" s="1" t="s">
        <v>41</v>
      </c>
      <c r="B232" s="8" t="s">
        <v>258</v>
      </c>
      <c r="C232" s="422">
        <v>2.4700000000000002</v>
      </c>
      <c r="D232" s="21" t="s">
        <v>155</v>
      </c>
      <c r="E232" s="6">
        <f>0.0951+0.0022+0.007</f>
        <v>0.1043</v>
      </c>
      <c r="F232" s="10">
        <v>2.2800000000000001E-2</v>
      </c>
      <c r="G232" s="5">
        <f t="shared" si="44"/>
        <v>2.6319299631600495</v>
      </c>
      <c r="H232" s="21" t="s">
        <v>39</v>
      </c>
      <c r="I232" s="6">
        <v>0</v>
      </c>
      <c r="J232" s="7">
        <v>2.5000000000000001E-3</v>
      </c>
      <c r="K232" s="5">
        <f t="shared" si="46"/>
        <v>2.6385262788571922</v>
      </c>
      <c r="L232" s="21"/>
      <c r="M232" s="6">
        <v>0</v>
      </c>
      <c r="N232" s="7">
        <v>0</v>
      </c>
      <c r="O232" s="5">
        <f t="shared" si="47"/>
        <v>2.6385262788571922</v>
      </c>
      <c r="P232" s="329">
        <f>Weightings!$C$7</f>
        <v>669.60336394048545</v>
      </c>
      <c r="Q232" s="5">
        <f t="shared" si="45"/>
        <v>2.2190599311279081E-2</v>
      </c>
      <c r="R232" s="5"/>
      <c r="S232" s="245"/>
    </row>
    <row r="233" spans="1:19">
      <c r="A233" s="1" t="s">
        <v>26</v>
      </c>
      <c r="B233" s="8" t="s">
        <v>259</v>
      </c>
      <c r="C233" s="423">
        <f>C238</f>
        <v>2.355</v>
      </c>
      <c r="D233" s="21" t="s">
        <v>31</v>
      </c>
      <c r="E233" s="609">
        <f>0.0331+0.0022+0.0097</f>
        <v>4.4999999999999998E-2</v>
      </c>
      <c r="F233" s="608">
        <v>5.04E-2</v>
      </c>
      <c r="G233" s="5">
        <f t="shared" si="44"/>
        <v>2.5249915754001684</v>
      </c>
      <c r="H233" s="21" t="s">
        <v>38</v>
      </c>
      <c r="I233" s="6">
        <f>E231</f>
        <v>0.1043</v>
      </c>
      <c r="J233" s="7">
        <v>2.2800000000000001E-2</v>
      </c>
      <c r="K233" s="5">
        <f t="shared" si="46"/>
        <v>2.688204600286705</v>
      </c>
      <c r="L233" s="21" t="s">
        <v>39</v>
      </c>
      <c r="M233" s="6">
        <v>0</v>
      </c>
      <c r="N233" s="7">
        <v>2.5000000000000001E-3</v>
      </c>
      <c r="O233" s="5">
        <f t="shared" si="47"/>
        <v>2.6949419551746416</v>
      </c>
      <c r="P233" s="329">
        <f>Weightings!$C$8</f>
        <v>273.77460524748824</v>
      </c>
      <c r="Q233" s="5">
        <f t="shared" si="45"/>
        <v>9.2668590595010678E-3</v>
      </c>
      <c r="R233" s="5"/>
      <c r="S233" s="29"/>
    </row>
    <row r="234" spans="1:19">
      <c r="A234" s="1" t="s">
        <v>27</v>
      </c>
      <c r="B234" s="8" t="s">
        <v>103</v>
      </c>
      <c r="C234" s="423">
        <f>C239</f>
        <v>2.4449999999999998</v>
      </c>
      <c r="D234" s="21" t="s">
        <v>32</v>
      </c>
      <c r="E234" s="609">
        <f>0.0305+0.0022+0.0097</f>
        <v>4.24E-2</v>
      </c>
      <c r="F234" s="608">
        <v>4.6199999999999998E-2</v>
      </c>
      <c r="G234" s="5">
        <f t="shared" si="44"/>
        <v>2.6058304885720278</v>
      </c>
      <c r="H234" s="21" t="s">
        <v>38</v>
      </c>
      <c r="I234" s="6">
        <f>E231</f>
        <v>0.1043</v>
      </c>
      <c r="J234" s="7">
        <v>2.2800000000000001E-2</v>
      </c>
      <c r="K234" s="5">
        <f t="shared" si="46"/>
        <v>2.7709296444658493</v>
      </c>
      <c r="L234" s="21" t="s">
        <v>39</v>
      </c>
      <c r="M234" s="6">
        <v>0</v>
      </c>
      <c r="N234" s="7">
        <v>2.5000000000000001E-3</v>
      </c>
      <c r="O234" s="5">
        <f t="shared" si="47"/>
        <v>2.7778743302915783</v>
      </c>
      <c r="P234" s="329">
        <f>Weightings!$C$9</f>
        <v>6.554456479221634</v>
      </c>
      <c r="Q234" s="5">
        <f t="shared" si="45"/>
        <v>2.2868583219554989E-4</v>
      </c>
      <c r="R234" s="5"/>
      <c r="S234" s="29"/>
    </row>
    <row r="235" spans="1:19">
      <c r="A235" s="1" t="s">
        <v>0</v>
      </c>
      <c r="B235" s="8" t="s">
        <v>260</v>
      </c>
      <c r="C235" s="422">
        <v>2.3650000000000002</v>
      </c>
      <c r="D235" s="21" t="s">
        <v>37</v>
      </c>
      <c r="E235" s="6">
        <f>0.0366+0.0022</f>
        <v>3.8800000000000001E-2</v>
      </c>
      <c r="F235" s="10">
        <v>6.9699999999999996E-3</v>
      </c>
      <c r="G235" s="5">
        <f t="shared" si="44"/>
        <v>2.4203997502593078</v>
      </c>
      <c r="H235" s="21" t="s">
        <v>43</v>
      </c>
      <c r="I235" s="609">
        <f>0.017+0.0022</f>
        <v>1.9200000000000002E-2</v>
      </c>
      <c r="J235" s="608">
        <v>2.9020000000000001E-2</v>
      </c>
      <c r="K235" s="5">
        <f t="shared" si="46"/>
        <v>2.5119390371164267</v>
      </c>
      <c r="L235" s="15" t="s">
        <v>156</v>
      </c>
      <c r="M235" s="6">
        <f>E236</f>
        <v>2.2600000000000002E-2</v>
      </c>
      <c r="N235" s="10">
        <f>F236</f>
        <v>2.776E-2</v>
      </c>
      <c r="O235" s="247">
        <f t="shared" si="47"/>
        <v>2.6062614797955512</v>
      </c>
      <c r="P235" s="329">
        <f>Weightings!$C$13</f>
        <v>31370.607479626047</v>
      </c>
      <c r="Q235" s="5">
        <f t="shared" si="45"/>
        <v>1.0269064810405051</v>
      </c>
      <c r="R235" s="247"/>
      <c r="S235" s="29"/>
    </row>
    <row r="236" spans="1:19">
      <c r="A236" s="1" t="s">
        <v>1</v>
      </c>
      <c r="B236" s="8" t="s">
        <v>261</v>
      </c>
      <c r="C236" s="422">
        <v>2.48</v>
      </c>
      <c r="D236" s="21" t="s">
        <v>48</v>
      </c>
      <c r="E236" s="6">
        <f>0.0134+0.0022+0.007</f>
        <v>2.2600000000000002E-2</v>
      </c>
      <c r="F236" s="10">
        <v>2.776E-2</v>
      </c>
      <c r="G236" s="5">
        <f t="shared" si="44"/>
        <v>2.5734104994651528</v>
      </c>
      <c r="H236" s="21"/>
      <c r="I236" s="6">
        <v>0</v>
      </c>
      <c r="J236" s="7">
        <v>0</v>
      </c>
      <c r="K236" s="5">
        <f t="shared" si="46"/>
        <v>2.5734104994651528</v>
      </c>
      <c r="L236" s="15"/>
      <c r="M236" s="6">
        <v>0</v>
      </c>
      <c r="N236" s="7">
        <v>0</v>
      </c>
      <c r="O236" s="5">
        <f t="shared" si="47"/>
        <v>2.5734104994651528</v>
      </c>
      <c r="P236" s="329">
        <f>Weightings!$C$14</f>
        <v>5614.3227016821775</v>
      </c>
      <c r="Q236" s="5">
        <f t="shared" si="45"/>
        <v>0.18146648242543789</v>
      </c>
      <c r="R236" s="5"/>
      <c r="S236" s="246"/>
    </row>
    <row r="237" spans="1:19">
      <c r="A237" s="1" t="s">
        <v>2</v>
      </c>
      <c r="B237" s="8" t="s">
        <v>262</v>
      </c>
      <c r="C237" s="649">
        <v>2.3199999999999998</v>
      </c>
      <c r="D237" s="21" t="s">
        <v>33</v>
      </c>
      <c r="E237" s="609">
        <f>0.0299+0.0022+0.0097</f>
        <v>4.1799999999999997E-2</v>
      </c>
      <c r="F237" s="608">
        <v>4.58E-2</v>
      </c>
      <c r="G237" s="5">
        <f t="shared" si="44"/>
        <v>2.4731561098302239</v>
      </c>
      <c r="H237" s="21" t="s">
        <v>42</v>
      </c>
      <c r="I237" s="6">
        <v>0</v>
      </c>
      <c r="J237" s="7">
        <v>0.01</v>
      </c>
      <c r="K237" s="5">
        <f t="shared" si="46"/>
        <v>2.4981374846769939</v>
      </c>
      <c r="L237" s="15"/>
      <c r="M237" s="6">
        <v>0</v>
      </c>
      <c r="N237" s="7">
        <v>0</v>
      </c>
      <c r="O237" s="5">
        <f t="shared" si="47"/>
        <v>2.4981374846769939</v>
      </c>
      <c r="P237" s="329">
        <f>Weightings!$C$15</f>
        <v>3366</v>
      </c>
      <c r="Q237" s="5">
        <f t="shared" si="45"/>
        <v>0.10561374154104068</v>
      </c>
      <c r="R237" s="5"/>
      <c r="S237" s="29"/>
    </row>
    <row r="238" spans="1:19">
      <c r="A238" s="1" t="s">
        <v>3</v>
      </c>
      <c r="B238" s="8" t="s">
        <v>259</v>
      </c>
      <c r="C238" s="422">
        <v>2.355</v>
      </c>
      <c r="D238" s="21" t="s">
        <v>34</v>
      </c>
      <c r="E238" s="609">
        <f>0.0277+0.0022+0.0097</f>
        <v>3.9599999999999996E-2</v>
      </c>
      <c r="F238" s="608">
        <v>4.2299999999999997E-2</v>
      </c>
      <c r="G238" s="5">
        <f t="shared" si="44"/>
        <v>2.4986163934426231</v>
      </c>
      <c r="H238" s="21" t="s">
        <v>42</v>
      </c>
      <c r="I238" s="6">
        <v>0</v>
      </c>
      <c r="J238" s="7">
        <v>0.01</v>
      </c>
      <c r="K238" s="5">
        <f t="shared" si="46"/>
        <v>2.5238549428713366</v>
      </c>
      <c r="M238" s="6">
        <v>0</v>
      </c>
      <c r="N238" s="7">
        <v>0</v>
      </c>
      <c r="O238" s="5">
        <f t="shared" si="47"/>
        <v>2.5238549428713366</v>
      </c>
      <c r="P238" s="329">
        <f>Weightings!$C$16</f>
        <v>4950</v>
      </c>
      <c r="Q238" s="5">
        <f t="shared" si="45"/>
        <v>0.15691323286346645</v>
      </c>
      <c r="R238" s="5"/>
      <c r="S238" s="29"/>
    </row>
    <row r="239" spans="1:19">
      <c r="A239" s="1" t="s">
        <v>4</v>
      </c>
      <c r="B239" s="8" t="s">
        <v>103</v>
      </c>
      <c r="C239" s="422">
        <v>2.4449999999999998</v>
      </c>
      <c r="D239" s="21" t="s">
        <v>35</v>
      </c>
      <c r="E239" s="609">
        <f>0.0251+0.0022+0.0097</f>
        <v>3.7000000000000005E-2</v>
      </c>
      <c r="F239" s="608">
        <v>3.8100000000000002E-2</v>
      </c>
      <c r="G239" s="5">
        <f t="shared" si="44"/>
        <v>2.5788442665557749</v>
      </c>
      <c r="H239" s="21" t="s">
        <v>42</v>
      </c>
      <c r="I239" s="6">
        <v>0</v>
      </c>
      <c r="J239" s="7">
        <v>0.01</v>
      </c>
      <c r="K239" s="5">
        <f t="shared" si="46"/>
        <v>2.6048931985411867</v>
      </c>
      <c r="M239" s="6">
        <v>0</v>
      </c>
      <c r="N239" s="7">
        <v>0</v>
      </c>
      <c r="O239" s="5">
        <f t="shared" si="47"/>
        <v>2.6048931985411867</v>
      </c>
      <c r="P239" s="329">
        <f>Weightings!$C$17</f>
        <v>11172.172715894869</v>
      </c>
      <c r="Q239" s="5">
        <f t="shared" si="45"/>
        <v>0.36552538536322188</v>
      </c>
      <c r="R239" s="5"/>
      <c r="S239" s="29"/>
    </row>
    <row r="240" spans="1:19">
      <c r="O240" s="35"/>
      <c r="P240" s="67"/>
      <c r="Q240" s="35"/>
      <c r="R240" s="35"/>
      <c r="S240" s="244"/>
    </row>
    <row r="241" spans="1:19" ht="13.5" thickBot="1">
      <c r="O241" s="36"/>
      <c r="P241" s="330"/>
      <c r="Q241" s="36"/>
      <c r="R241" s="36"/>
    </row>
    <row r="242" spans="1:19" ht="13.5" thickBot="1">
      <c r="O242" s="331" t="s">
        <v>198</v>
      </c>
      <c r="P242" s="332"/>
      <c r="Q242" s="333">
        <f>SUM(Q229:Q239)</f>
        <v>2.6047096543253856</v>
      </c>
      <c r="R242" s="424">
        <f>B227</f>
        <v>37176</v>
      </c>
    </row>
    <row r="243" spans="1:19">
      <c r="O243" s="35"/>
      <c r="P243" s="35"/>
      <c r="Q243" s="35"/>
      <c r="R243" s="35"/>
      <c r="S243" s="35"/>
    </row>
    <row r="244" spans="1:19">
      <c r="D244" s="21"/>
      <c r="H244" s="5"/>
      <c r="O244" s="36" t="s">
        <v>263</v>
      </c>
      <c r="P244" s="404">
        <f>Weightings!C243</f>
        <v>0</v>
      </c>
      <c r="Q244" s="35" t="s">
        <v>206</v>
      </c>
      <c r="R244" s="344" t="s">
        <v>208</v>
      </c>
      <c r="S244" s="35"/>
    </row>
    <row r="245" spans="1:19" ht="13.5" thickBot="1">
      <c r="A245" s="675"/>
      <c r="B245" s="676"/>
      <c r="C245" s="675"/>
      <c r="D245" s="677"/>
      <c r="E245" s="675"/>
      <c r="F245" s="675"/>
      <c r="G245" s="675"/>
      <c r="H245" s="678"/>
      <c r="I245" s="675"/>
      <c r="J245" s="675"/>
      <c r="K245" s="675"/>
      <c r="L245" s="675"/>
      <c r="M245" s="675"/>
      <c r="N245" s="675"/>
      <c r="O245" s="675"/>
      <c r="P245" s="679"/>
      <c r="Q245" s="675"/>
      <c r="R245" s="675"/>
      <c r="S245" s="675"/>
    </row>
    <row r="246" spans="1:19" ht="14.25" thickTop="1" thickBot="1">
      <c r="A246" s="2"/>
      <c r="B246" s="28"/>
      <c r="D246" s="3" t="s">
        <v>10</v>
      </c>
      <c r="H246" s="3" t="s">
        <v>11</v>
      </c>
      <c r="L246" s="3" t="s">
        <v>12</v>
      </c>
    </row>
    <row r="247" spans="1:19" ht="14.25" thickTop="1" thickBot="1">
      <c r="A247" s="421" t="s">
        <v>255</v>
      </c>
      <c r="B247" s="433">
        <f>B227+1</f>
        <v>37177</v>
      </c>
      <c r="C247" s="434">
        <f>Q262</f>
        <v>2.5028620071325811</v>
      </c>
      <c r="E247" s="624"/>
    </row>
    <row r="248" spans="1:19" ht="54" customHeight="1" thickTop="1">
      <c r="A248" s="2" t="s">
        <v>5</v>
      </c>
      <c r="B248" s="9" t="s">
        <v>46</v>
      </c>
      <c r="C248" s="18" t="s">
        <v>256</v>
      </c>
      <c r="D248" s="14" t="s">
        <v>28</v>
      </c>
      <c r="E248" s="4" t="s">
        <v>7</v>
      </c>
      <c r="F248" s="4" t="s">
        <v>8</v>
      </c>
      <c r="G248" s="4" t="s">
        <v>9</v>
      </c>
      <c r="H248" s="14" t="s">
        <v>28</v>
      </c>
      <c r="I248" s="4" t="s">
        <v>7</v>
      </c>
      <c r="J248" s="4" t="s">
        <v>8</v>
      </c>
      <c r="K248" s="4" t="s">
        <v>9</v>
      </c>
      <c r="L248" s="14" t="s">
        <v>28</v>
      </c>
      <c r="M248" s="4" t="s">
        <v>7</v>
      </c>
      <c r="N248" s="4" t="s">
        <v>8</v>
      </c>
      <c r="O248" s="4" t="s">
        <v>9</v>
      </c>
      <c r="P248" s="4" t="s">
        <v>193</v>
      </c>
      <c r="Q248" s="4" t="s">
        <v>197</v>
      </c>
      <c r="R248" s="4"/>
      <c r="S248" s="4"/>
    </row>
    <row r="249" spans="1:19">
      <c r="A249" s="1" t="s">
        <v>49</v>
      </c>
      <c r="B249" s="8" t="s">
        <v>269</v>
      </c>
      <c r="C249" s="422">
        <v>2.2349999999999999</v>
      </c>
      <c r="D249" s="21" t="s">
        <v>29</v>
      </c>
      <c r="E249" s="6">
        <v>5.2200000000000003E-2</v>
      </c>
      <c r="F249" s="10">
        <v>5.0599999999999999E-2</v>
      </c>
      <c r="G249" s="5">
        <f t="shared" ref="G249:G259" si="48">+C249/(1-F249)+E249</f>
        <v>2.4063183905624603</v>
      </c>
      <c r="H249" s="21" t="s">
        <v>38</v>
      </c>
      <c r="I249" s="6">
        <f>E251</f>
        <v>0.1043</v>
      </c>
      <c r="J249" s="7">
        <v>2.2800000000000001E-2</v>
      </c>
      <c r="K249" s="5">
        <f>+G249/(1-J249)+I249</f>
        <v>2.5667625363922024</v>
      </c>
      <c r="L249" s="21" t="s">
        <v>39</v>
      </c>
      <c r="M249" s="6">
        <v>0</v>
      </c>
      <c r="N249" s="7">
        <v>2.5000000000000001E-3</v>
      </c>
      <c r="O249" s="5">
        <f>+K249/(1-N249)+M249</f>
        <v>2.5731955252052154</v>
      </c>
      <c r="P249" s="329">
        <f>Weightings!$C$4</f>
        <v>1071.401539872767</v>
      </c>
      <c r="Q249" s="5">
        <f t="shared" ref="Q249:Q259" si="49">+P249/SUM($P$9:$P$19)*O249</f>
        <v>3.4627013361688316E-2</v>
      </c>
      <c r="R249" s="5"/>
      <c r="S249" s="245"/>
    </row>
    <row r="250" spans="1:19">
      <c r="A250" s="1" t="s">
        <v>50</v>
      </c>
      <c r="B250" s="8" t="s">
        <v>270</v>
      </c>
      <c r="C250" s="422">
        <v>2.2200000000000002</v>
      </c>
      <c r="D250" s="21" t="s">
        <v>30</v>
      </c>
      <c r="E250" s="6">
        <v>5.2200000000000003E-2</v>
      </c>
      <c r="F250" s="10">
        <v>5.8000000000000003E-2</v>
      </c>
      <c r="G250" s="5">
        <f t="shared" si="48"/>
        <v>2.4088878980891724</v>
      </c>
      <c r="H250" s="21" t="s">
        <v>38</v>
      </c>
      <c r="I250" s="6">
        <f>E251</f>
        <v>0.1043</v>
      </c>
      <c r="J250" s="7">
        <v>2.2800000000000001E-2</v>
      </c>
      <c r="K250" s="5">
        <f t="shared" ref="K250:K259" si="50">+G250/(1-J250)+I250</f>
        <v>2.569391995588592</v>
      </c>
      <c r="L250" s="21" t="s">
        <v>39</v>
      </c>
      <c r="M250" s="6">
        <v>0</v>
      </c>
      <c r="N250" s="7">
        <v>2.5000000000000001E-3</v>
      </c>
      <c r="O250" s="5">
        <f t="shared" ref="O250:O259" si="51">+K250/(1-N250)+M250</f>
        <v>2.5758315745249041</v>
      </c>
      <c r="P250" s="329">
        <f>Weightings!$C$5</f>
        <v>1309.8829179244465</v>
      </c>
      <c r="Q250" s="5">
        <f t="shared" si="49"/>
        <v>4.2377947818107865E-2</v>
      </c>
      <c r="R250" s="5"/>
      <c r="S250" s="29"/>
    </row>
    <row r="251" spans="1:19">
      <c r="A251" s="1" t="s">
        <v>40</v>
      </c>
      <c r="B251" s="8" t="s">
        <v>257</v>
      </c>
      <c r="C251" s="422">
        <v>2.3849999999999998</v>
      </c>
      <c r="D251" s="21" t="s">
        <v>154</v>
      </c>
      <c r="E251" s="6">
        <f>0.0951+0.0022+0.007</f>
        <v>0.1043</v>
      </c>
      <c r="F251" s="10">
        <v>2.2800000000000001E-2</v>
      </c>
      <c r="G251" s="5">
        <f t="shared" si="48"/>
        <v>2.5449467458043387</v>
      </c>
      <c r="H251" s="21" t="s">
        <v>39</v>
      </c>
      <c r="I251" s="6">
        <v>0</v>
      </c>
      <c r="J251" s="7">
        <v>2.5000000000000001E-3</v>
      </c>
      <c r="K251" s="5">
        <f t="shared" si="50"/>
        <v>2.5513250584504648</v>
      </c>
      <c r="L251" s="21"/>
      <c r="M251" s="6">
        <v>0</v>
      </c>
      <c r="N251" s="7">
        <v>0</v>
      </c>
      <c r="O251" s="5">
        <f t="shared" si="51"/>
        <v>2.5513250584504648</v>
      </c>
      <c r="P251" s="329">
        <f>Weightings!$C$6</f>
        <v>19813.452023725906</v>
      </c>
      <c r="Q251" s="5">
        <f t="shared" si="49"/>
        <v>0.63491549056072105</v>
      </c>
      <c r="R251" s="5"/>
      <c r="S251" s="29"/>
    </row>
    <row r="252" spans="1:19">
      <c r="A252" s="1" t="s">
        <v>41</v>
      </c>
      <c r="B252" s="8" t="s">
        <v>258</v>
      </c>
      <c r="C252" s="422">
        <v>2.46</v>
      </c>
      <c r="D252" s="21" t="s">
        <v>155</v>
      </c>
      <c r="E252" s="6">
        <f>0.0951+0.0022+0.007</f>
        <v>0.1043</v>
      </c>
      <c r="F252" s="10">
        <v>2.2800000000000001E-2</v>
      </c>
      <c r="G252" s="5">
        <f t="shared" si="48"/>
        <v>2.6216966434711417</v>
      </c>
      <c r="H252" s="21" t="s">
        <v>39</v>
      </c>
      <c r="I252" s="6">
        <v>0</v>
      </c>
      <c r="J252" s="7">
        <v>2.5000000000000001E-3</v>
      </c>
      <c r="K252" s="5">
        <f t="shared" si="50"/>
        <v>2.628267311750518</v>
      </c>
      <c r="L252" s="21"/>
      <c r="M252" s="6">
        <v>0</v>
      </c>
      <c r="N252" s="7">
        <v>0</v>
      </c>
      <c r="O252" s="5">
        <f t="shared" si="51"/>
        <v>2.628267311750518</v>
      </c>
      <c r="P252" s="329">
        <f>Weightings!$C$7</f>
        <v>669.60336394048545</v>
      </c>
      <c r="Q252" s="5">
        <f t="shared" si="49"/>
        <v>2.2104319091053114E-2</v>
      </c>
      <c r="R252" s="5"/>
      <c r="S252" s="245"/>
    </row>
    <row r="253" spans="1:19">
      <c r="A253" s="1" t="s">
        <v>26</v>
      </c>
      <c r="B253" s="8" t="s">
        <v>259</v>
      </c>
      <c r="C253" s="423">
        <f>C258</f>
        <v>2.2200000000000002</v>
      </c>
      <c r="D253" s="21" t="s">
        <v>31</v>
      </c>
      <c r="E253" s="609">
        <f>0.0331+0.0022+0.0097</f>
        <v>4.4999999999999998E-2</v>
      </c>
      <c r="F253" s="608">
        <v>5.04E-2</v>
      </c>
      <c r="G253" s="5">
        <f t="shared" si="48"/>
        <v>2.3828264532434709</v>
      </c>
      <c r="H253" s="21" t="s">
        <v>38</v>
      </c>
      <c r="I253" s="6">
        <f>E251</f>
        <v>0.1043</v>
      </c>
      <c r="J253" s="7">
        <v>2.2800000000000001E-2</v>
      </c>
      <c r="K253" s="5">
        <f t="shared" si="50"/>
        <v>2.5427224859225039</v>
      </c>
      <c r="L253" s="21" t="s">
        <v>39</v>
      </c>
      <c r="M253" s="6">
        <v>0</v>
      </c>
      <c r="N253" s="7">
        <v>2.5000000000000001E-3</v>
      </c>
      <c r="O253" s="5">
        <f t="shared" si="51"/>
        <v>2.54909522398246</v>
      </c>
      <c r="P253" s="329">
        <f>Weightings!$C$8</f>
        <v>273.77460524748824</v>
      </c>
      <c r="Q253" s="5">
        <f t="shared" si="49"/>
        <v>8.7653487766351425E-3</v>
      </c>
      <c r="R253" s="5"/>
      <c r="S253" s="29"/>
    </row>
    <row r="254" spans="1:19">
      <c r="A254" s="1" t="s">
        <v>27</v>
      </c>
      <c r="B254" s="8" t="s">
        <v>103</v>
      </c>
      <c r="C254" s="423">
        <f>C259</f>
        <v>2.31</v>
      </c>
      <c r="D254" s="21" t="s">
        <v>32</v>
      </c>
      <c r="E254" s="609">
        <f>0.0305+0.0022+0.0097</f>
        <v>4.24E-2</v>
      </c>
      <c r="F254" s="608">
        <v>4.6199999999999998E-2</v>
      </c>
      <c r="G254" s="5">
        <f t="shared" si="48"/>
        <v>2.4642913818410572</v>
      </c>
      <c r="H254" s="21" t="s">
        <v>38</v>
      </c>
      <c r="I254" s="6">
        <f>E251</f>
        <v>0.1043</v>
      </c>
      <c r="J254" s="7">
        <v>2.2800000000000001E-2</v>
      </c>
      <c r="K254" s="5">
        <f t="shared" si="50"/>
        <v>2.6260881516998129</v>
      </c>
      <c r="L254" s="21" t="s">
        <v>39</v>
      </c>
      <c r="M254" s="6">
        <v>0</v>
      </c>
      <c r="N254" s="7">
        <v>2.5000000000000001E-3</v>
      </c>
      <c r="O254" s="5">
        <f t="shared" si="51"/>
        <v>2.6326698262654764</v>
      </c>
      <c r="P254" s="329">
        <f>Weightings!$C$9</f>
        <v>6.554456479221634</v>
      </c>
      <c r="Q254" s="5">
        <f t="shared" si="49"/>
        <v>2.1673201107425184E-4</v>
      </c>
      <c r="R254" s="5"/>
      <c r="S254" s="29"/>
    </row>
    <row r="255" spans="1:19">
      <c r="A255" s="1" t="s">
        <v>0</v>
      </c>
      <c r="B255" s="8" t="s">
        <v>260</v>
      </c>
      <c r="C255" s="422">
        <v>2.2799999999999998</v>
      </c>
      <c r="D255" s="21" t="s">
        <v>37</v>
      </c>
      <c r="E255" s="6">
        <f>0.0366+0.0022</f>
        <v>3.8800000000000001E-2</v>
      </c>
      <c r="F255" s="10">
        <v>6.9699999999999996E-3</v>
      </c>
      <c r="G255" s="5">
        <f t="shared" si="48"/>
        <v>2.3348031418990365</v>
      </c>
      <c r="H255" s="21" t="s">
        <v>43</v>
      </c>
      <c r="I255" s="609">
        <f>0.017+0.0022</f>
        <v>1.9200000000000002E-2</v>
      </c>
      <c r="J255" s="608">
        <v>2.9020000000000001E-2</v>
      </c>
      <c r="K255" s="5">
        <f t="shared" si="50"/>
        <v>2.4237841746473014</v>
      </c>
      <c r="L255" s="15" t="s">
        <v>156</v>
      </c>
      <c r="M255" s="6">
        <f>E256</f>
        <v>2.2600000000000002E-2</v>
      </c>
      <c r="N255" s="10">
        <f>F256</f>
        <v>2.776E-2</v>
      </c>
      <c r="O255" s="247">
        <f t="shared" si="51"/>
        <v>2.5155895649708935</v>
      </c>
      <c r="P255" s="329">
        <f>Weightings!$C$13</f>
        <v>31370.607479626047</v>
      </c>
      <c r="Q255" s="5">
        <f t="shared" si="49"/>
        <v>0.99118037385455304</v>
      </c>
      <c r="R255" s="247"/>
      <c r="S255" s="29"/>
    </row>
    <row r="256" spans="1:19">
      <c r="A256" s="1" t="s">
        <v>1</v>
      </c>
      <c r="B256" s="8" t="s">
        <v>261</v>
      </c>
      <c r="C256" s="422">
        <v>2.415</v>
      </c>
      <c r="D256" s="21" t="s">
        <v>48</v>
      </c>
      <c r="E256" s="6">
        <f>0.0134+0.0022+0.007</f>
        <v>2.2600000000000002E-2</v>
      </c>
      <c r="F256" s="10">
        <v>2.776E-2</v>
      </c>
      <c r="G256" s="5">
        <f t="shared" si="48"/>
        <v>2.5065545791162678</v>
      </c>
      <c r="H256" s="21"/>
      <c r="I256" s="6">
        <v>0</v>
      </c>
      <c r="J256" s="7">
        <v>0</v>
      </c>
      <c r="K256" s="5">
        <f t="shared" si="50"/>
        <v>2.5065545791162678</v>
      </c>
      <c r="L256" s="15"/>
      <c r="M256" s="6">
        <v>0</v>
      </c>
      <c r="N256" s="7">
        <v>0</v>
      </c>
      <c r="O256" s="5">
        <f t="shared" si="51"/>
        <v>2.5065545791162678</v>
      </c>
      <c r="P256" s="329">
        <f>Weightings!$C$14</f>
        <v>5614.3227016821775</v>
      </c>
      <c r="Q256" s="5">
        <f t="shared" si="49"/>
        <v>0.17675207378462879</v>
      </c>
      <c r="R256" s="5"/>
      <c r="S256" s="246"/>
    </row>
    <row r="257" spans="1:19">
      <c r="A257" s="1" t="s">
        <v>2</v>
      </c>
      <c r="B257" s="8" t="s">
        <v>262</v>
      </c>
      <c r="C257" s="649">
        <v>2.1549999999999998</v>
      </c>
      <c r="D257" s="21" t="s">
        <v>33</v>
      </c>
      <c r="E257" s="609">
        <f>0.0299+0.0022+0.0097</f>
        <v>4.1799999999999997E-2</v>
      </c>
      <c r="F257" s="608">
        <v>4.58E-2</v>
      </c>
      <c r="G257" s="5">
        <f t="shared" si="48"/>
        <v>2.3002363865017812</v>
      </c>
      <c r="H257" s="21" t="s">
        <v>42</v>
      </c>
      <c r="I257" s="6">
        <v>0</v>
      </c>
      <c r="J257" s="7">
        <v>0.01</v>
      </c>
      <c r="K257" s="5">
        <f t="shared" si="50"/>
        <v>2.3234710974765469</v>
      </c>
      <c r="L257" s="15"/>
      <c r="M257" s="6">
        <v>0</v>
      </c>
      <c r="N257" s="7">
        <v>0</v>
      </c>
      <c r="O257" s="5">
        <f t="shared" si="51"/>
        <v>2.3234710974765469</v>
      </c>
      <c r="P257" s="329">
        <f>Weightings!$C$15</f>
        <v>3366</v>
      </c>
      <c r="Q257" s="5">
        <f t="shared" si="49"/>
        <v>9.8229371870897988E-2</v>
      </c>
      <c r="R257" s="5"/>
      <c r="S257" s="29"/>
    </row>
    <row r="258" spans="1:19">
      <c r="A258" s="1" t="s">
        <v>3</v>
      </c>
      <c r="B258" s="8" t="s">
        <v>259</v>
      </c>
      <c r="C258" s="422">
        <v>2.2200000000000002</v>
      </c>
      <c r="D258" s="21" t="s">
        <v>34</v>
      </c>
      <c r="E258" s="609">
        <f>0.0277+0.0022+0.0097</f>
        <v>3.9599999999999996E-2</v>
      </c>
      <c r="F258" s="608">
        <v>4.2299999999999997E-2</v>
      </c>
      <c r="G258" s="5">
        <f t="shared" si="48"/>
        <v>2.3576536702516449</v>
      </c>
      <c r="H258" s="21" t="s">
        <v>42</v>
      </c>
      <c r="I258" s="6">
        <v>0</v>
      </c>
      <c r="J258" s="7">
        <v>0.01</v>
      </c>
      <c r="K258" s="5">
        <f t="shared" si="50"/>
        <v>2.3814683537895402</v>
      </c>
      <c r="M258" s="6">
        <v>0</v>
      </c>
      <c r="N258" s="7">
        <v>0</v>
      </c>
      <c r="O258" s="5">
        <f t="shared" si="51"/>
        <v>2.3814683537895402</v>
      </c>
      <c r="P258" s="329">
        <f>Weightings!$C$16</f>
        <v>4950</v>
      </c>
      <c r="Q258" s="5">
        <f t="shared" si="49"/>
        <v>0.14806076688782357</v>
      </c>
      <c r="R258" s="5"/>
      <c r="S258" s="29"/>
    </row>
    <row r="259" spans="1:19">
      <c r="A259" s="1" t="s">
        <v>4</v>
      </c>
      <c r="B259" s="8" t="s">
        <v>103</v>
      </c>
      <c r="C259" s="422">
        <v>2.31</v>
      </c>
      <c r="D259" s="21" t="s">
        <v>35</v>
      </c>
      <c r="E259" s="609">
        <f>0.0251+0.0022+0.0097</f>
        <v>3.7000000000000005E-2</v>
      </c>
      <c r="F259" s="608">
        <v>3.8100000000000002E-2</v>
      </c>
      <c r="G259" s="5">
        <f t="shared" si="48"/>
        <v>2.4384970371140451</v>
      </c>
      <c r="H259" s="21" t="s">
        <v>42</v>
      </c>
      <c r="I259" s="6">
        <v>0</v>
      </c>
      <c r="J259" s="7">
        <v>0.01</v>
      </c>
      <c r="K259" s="5">
        <f t="shared" si="50"/>
        <v>2.4631283203172174</v>
      </c>
      <c r="M259" s="6">
        <v>0</v>
      </c>
      <c r="N259" s="7">
        <v>0</v>
      </c>
      <c r="O259" s="5">
        <f t="shared" si="51"/>
        <v>2.4631283203172174</v>
      </c>
      <c r="P259" s="329">
        <f>Weightings!$C$17</f>
        <v>11172.172715894869</v>
      </c>
      <c r="Q259" s="5">
        <f t="shared" si="49"/>
        <v>0.3456325691153978</v>
      </c>
      <c r="R259" s="5"/>
      <c r="S259" s="29"/>
    </row>
    <row r="260" spans="1:19">
      <c r="O260" s="35"/>
      <c r="P260" s="67"/>
      <c r="Q260" s="35"/>
      <c r="R260" s="35"/>
      <c r="S260" s="244"/>
    </row>
    <row r="261" spans="1:19" ht="13.5" thickBot="1">
      <c r="O261" s="36"/>
      <c r="P261" s="330"/>
      <c r="Q261" s="36"/>
      <c r="R261" s="36"/>
    </row>
    <row r="262" spans="1:19" ht="13.5" thickBot="1">
      <c r="O262" s="331" t="s">
        <v>198</v>
      </c>
      <c r="P262" s="332"/>
      <c r="Q262" s="333">
        <f>SUM(Q249:Q259)</f>
        <v>2.5028620071325811</v>
      </c>
      <c r="R262" s="424">
        <f>B247</f>
        <v>37177</v>
      </c>
    </row>
    <row r="263" spans="1:19">
      <c r="O263" s="35"/>
      <c r="P263" s="35"/>
      <c r="Q263" s="35"/>
      <c r="R263" s="35"/>
      <c r="S263" s="35"/>
    </row>
    <row r="264" spans="1:19">
      <c r="D264" s="21"/>
      <c r="H264" s="5"/>
      <c r="O264" s="36" t="s">
        <v>263</v>
      </c>
      <c r="P264" s="404">
        <f>Weightings!C263</f>
        <v>0</v>
      </c>
      <c r="Q264" s="35" t="s">
        <v>206</v>
      </c>
      <c r="R264" s="344" t="s">
        <v>208</v>
      </c>
      <c r="S264" s="35"/>
    </row>
    <row r="265" spans="1:19" ht="13.5" thickBot="1">
      <c r="A265" s="675"/>
      <c r="B265" s="676"/>
      <c r="C265" s="675"/>
      <c r="D265" s="677"/>
      <c r="E265" s="675"/>
      <c r="F265" s="675"/>
      <c r="G265" s="675"/>
      <c r="H265" s="678"/>
      <c r="I265" s="675"/>
      <c r="J265" s="675"/>
      <c r="K265" s="675"/>
      <c r="L265" s="675"/>
      <c r="M265" s="675"/>
      <c r="N265" s="675"/>
      <c r="O265" s="675"/>
      <c r="P265" s="679"/>
      <c r="Q265" s="675"/>
      <c r="R265" s="675"/>
      <c r="S265" s="675"/>
    </row>
    <row r="266" spans="1:19" ht="14.25" thickTop="1" thickBot="1">
      <c r="A266" s="2"/>
      <c r="B266" s="28"/>
      <c r="D266" s="3" t="s">
        <v>10</v>
      </c>
      <c r="H266" s="3" t="s">
        <v>11</v>
      </c>
      <c r="L266" s="3" t="s">
        <v>12</v>
      </c>
    </row>
    <row r="267" spans="1:19" ht="14.25" thickTop="1" thickBot="1">
      <c r="A267" s="421" t="s">
        <v>255</v>
      </c>
      <c r="B267" s="433">
        <f>B247+1</f>
        <v>37178</v>
      </c>
      <c r="C267" s="434">
        <f>Q282</f>
        <v>2.5028620071325811</v>
      </c>
      <c r="E267" s="624"/>
    </row>
    <row r="268" spans="1:19" ht="54" customHeight="1" thickTop="1">
      <c r="A268" s="2" t="s">
        <v>5</v>
      </c>
      <c r="B268" s="9" t="s">
        <v>46</v>
      </c>
      <c r="C268" s="18" t="s">
        <v>256</v>
      </c>
      <c r="D268" s="14" t="s">
        <v>28</v>
      </c>
      <c r="E268" s="4" t="s">
        <v>7</v>
      </c>
      <c r="F268" s="4" t="s">
        <v>8</v>
      </c>
      <c r="G268" s="4" t="s">
        <v>9</v>
      </c>
      <c r="H268" s="14" t="s">
        <v>28</v>
      </c>
      <c r="I268" s="4" t="s">
        <v>7</v>
      </c>
      <c r="J268" s="4" t="s">
        <v>8</v>
      </c>
      <c r="K268" s="4" t="s">
        <v>9</v>
      </c>
      <c r="L268" s="14" t="s">
        <v>28</v>
      </c>
      <c r="M268" s="4" t="s">
        <v>7</v>
      </c>
      <c r="N268" s="4" t="s">
        <v>8</v>
      </c>
      <c r="O268" s="4" t="s">
        <v>9</v>
      </c>
      <c r="P268" s="4" t="s">
        <v>193</v>
      </c>
      <c r="Q268" s="4" t="s">
        <v>197</v>
      </c>
      <c r="R268" s="4"/>
      <c r="S268" s="4"/>
    </row>
    <row r="269" spans="1:19">
      <c r="A269" s="1" t="s">
        <v>49</v>
      </c>
      <c r="B269" s="8" t="s">
        <v>269</v>
      </c>
      <c r="C269" s="422">
        <v>2.2349999999999999</v>
      </c>
      <c r="D269" s="21" t="s">
        <v>29</v>
      </c>
      <c r="E269" s="6">
        <v>5.2200000000000003E-2</v>
      </c>
      <c r="F269" s="10">
        <v>5.0599999999999999E-2</v>
      </c>
      <c r="G269" s="5">
        <f t="shared" ref="G269:G279" si="52">+C269/(1-F269)+E269</f>
        <v>2.4063183905624603</v>
      </c>
      <c r="H269" s="21" t="s">
        <v>38</v>
      </c>
      <c r="I269" s="6">
        <f>E271</f>
        <v>0.1043</v>
      </c>
      <c r="J269" s="7">
        <v>2.2800000000000001E-2</v>
      </c>
      <c r="K269" s="5">
        <f>+G269/(1-J269)+I269</f>
        <v>2.5667625363922024</v>
      </c>
      <c r="L269" s="21" t="s">
        <v>39</v>
      </c>
      <c r="M269" s="6">
        <v>0</v>
      </c>
      <c r="N269" s="7">
        <v>2.5000000000000001E-3</v>
      </c>
      <c r="O269" s="5">
        <f>+K269/(1-N269)+M269</f>
        <v>2.5731955252052154</v>
      </c>
      <c r="P269" s="329">
        <f>Weightings!$C$4</f>
        <v>1071.401539872767</v>
      </c>
      <c r="Q269" s="5">
        <f t="shared" ref="Q269:Q279" si="53">+P269/SUM($P$9:$P$19)*O269</f>
        <v>3.4627013361688316E-2</v>
      </c>
      <c r="R269" s="5"/>
      <c r="S269" s="245"/>
    </row>
    <row r="270" spans="1:19">
      <c r="A270" s="1" t="s">
        <v>50</v>
      </c>
      <c r="B270" s="8" t="s">
        <v>270</v>
      </c>
      <c r="C270" s="422">
        <v>2.2200000000000002</v>
      </c>
      <c r="D270" s="21" t="s">
        <v>30</v>
      </c>
      <c r="E270" s="6">
        <v>5.2200000000000003E-2</v>
      </c>
      <c r="F270" s="10">
        <v>5.8000000000000003E-2</v>
      </c>
      <c r="G270" s="5">
        <f t="shared" si="52"/>
        <v>2.4088878980891724</v>
      </c>
      <c r="H270" s="21" t="s">
        <v>38</v>
      </c>
      <c r="I270" s="6">
        <f>E271</f>
        <v>0.1043</v>
      </c>
      <c r="J270" s="7">
        <v>2.2800000000000001E-2</v>
      </c>
      <c r="K270" s="5">
        <f t="shared" ref="K270:K279" si="54">+G270/(1-J270)+I270</f>
        <v>2.569391995588592</v>
      </c>
      <c r="L270" s="21" t="s">
        <v>39</v>
      </c>
      <c r="M270" s="6">
        <v>0</v>
      </c>
      <c r="N270" s="7">
        <v>2.5000000000000001E-3</v>
      </c>
      <c r="O270" s="5">
        <f t="shared" ref="O270:O279" si="55">+K270/(1-N270)+M270</f>
        <v>2.5758315745249041</v>
      </c>
      <c r="P270" s="329">
        <f>Weightings!$C$5</f>
        <v>1309.8829179244465</v>
      </c>
      <c r="Q270" s="5">
        <f t="shared" si="53"/>
        <v>4.2377947818107865E-2</v>
      </c>
      <c r="R270" s="5"/>
      <c r="S270" s="29"/>
    </row>
    <row r="271" spans="1:19">
      <c r="A271" s="1" t="s">
        <v>40</v>
      </c>
      <c r="B271" s="8" t="s">
        <v>257</v>
      </c>
      <c r="C271" s="422">
        <v>2.3849999999999998</v>
      </c>
      <c r="D271" s="21" t="s">
        <v>154</v>
      </c>
      <c r="E271" s="6">
        <f>0.0951+0.0022+0.007</f>
        <v>0.1043</v>
      </c>
      <c r="F271" s="10">
        <v>2.2800000000000001E-2</v>
      </c>
      <c r="G271" s="5">
        <f t="shared" si="52"/>
        <v>2.5449467458043387</v>
      </c>
      <c r="H271" s="21" t="s">
        <v>39</v>
      </c>
      <c r="I271" s="6">
        <v>0</v>
      </c>
      <c r="J271" s="7">
        <v>2.5000000000000001E-3</v>
      </c>
      <c r="K271" s="5">
        <f t="shared" si="54"/>
        <v>2.5513250584504648</v>
      </c>
      <c r="L271" s="21"/>
      <c r="M271" s="6">
        <v>0</v>
      </c>
      <c r="N271" s="7">
        <v>0</v>
      </c>
      <c r="O271" s="5">
        <f t="shared" si="55"/>
        <v>2.5513250584504648</v>
      </c>
      <c r="P271" s="329">
        <f>Weightings!$C$6</f>
        <v>19813.452023725906</v>
      </c>
      <c r="Q271" s="5">
        <f t="shared" si="53"/>
        <v>0.63491549056072105</v>
      </c>
      <c r="R271" s="5"/>
      <c r="S271" s="29"/>
    </row>
    <row r="272" spans="1:19">
      <c r="A272" s="1" t="s">
        <v>41</v>
      </c>
      <c r="B272" s="8" t="s">
        <v>258</v>
      </c>
      <c r="C272" s="422">
        <v>2.46</v>
      </c>
      <c r="D272" s="21" t="s">
        <v>155</v>
      </c>
      <c r="E272" s="6">
        <f>0.0951+0.0022+0.007</f>
        <v>0.1043</v>
      </c>
      <c r="F272" s="10">
        <v>2.2800000000000001E-2</v>
      </c>
      <c r="G272" s="5">
        <f t="shared" si="52"/>
        <v>2.6216966434711417</v>
      </c>
      <c r="H272" s="21" t="s">
        <v>39</v>
      </c>
      <c r="I272" s="6">
        <v>0</v>
      </c>
      <c r="J272" s="7">
        <v>2.5000000000000001E-3</v>
      </c>
      <c r="K272" s="5">
        <f t="shared" si="54"/>
        <v>2.628267311750518</v>
      </c>
      <c r="L272" s="21"/>
      <c r="M272" s="6">
        <v>0</v>
      </c>
      <c r="N272" s="7">
        <v>0</v>
      </c>
      <c r="O272" s="5">
        <f t="shared" si="55"/>
        <v>2.628267311750518</v>
      </c>
      <c r="P272" s="329">
        <f>Weightings!$C$7</f>
        <v>669.60336394048545</v>
      </c>
      <c r="Q272" s="5">
        <f t="shared" si="53"/>
        <v>2.2104319091053114E-2</v>
      </c>
      <c r="R272" s="5"/>
      <c r="S272" s="245"/>
    </row>
    <row r="273" spans="1:19">
      <c r="A273" s="1" t="s">
        <v>26</v>
      </c>
      <c r="B273" s="8" t="s">
        <v>259</v>
      </c>
      <c r="C273" s="423">
        <f>C278</f>
        <v>2.2200000000000002</v>
      </c>
      <c r="D273" s="21" t="s">
        <v>31</v>
      </c>
      <c r="E273" s="609">
        <f>0.0331+0.0022+0.0097</f>
        <v>4.4999999999999998E-2</v>
      </c>
      <c r="F273" s="608">
        <v>5.04E-2</v>
      </c>
      <c r="G273" s="5">
        <f t="shared" si="52"/>
        <v>2.3828264532434709</v>
      </c>
      <c r="H273" s="21" t="s">
        <v>38</v>
      </c>
      <c r="I273" s="6">
        <f>E271</f>
        <v>0.1043</v>
      </c>
      <c r="J273" s="7">
        <v>2.2800000000000001E-2</v>
      </c>
      <c r="K273" s="5">
        <f t="shared" si="54"/>
        <v>2.5427224859225039</v>
      </c>
      <c r="L273" s="21" t="s">
        <v>39</v>
      </c>
      <c r="M273" s="6">
        <v>0</v>
      </c>
      <c r="N273" s="7">
        <v>2.5000000000000001E-3</v>
      </c>
      <c r="O273" s="5">
        <f t="shared" si="55"/>
        <v>2.54909522398246</v>
      </c>
      <c r="P273" s="329">
        <f>Weightings!$C$8</f>
        <v>273.77460524748824</v>
      </c>
      <c r="Q273" s="5">
        <f t="shared" si="53"/>
        <v>8.7653487766351425E-3</v>
      </c>
      <c r="R273" s="5"/>
      <c r="S273" s="29"/>
    </row>
    <row r="274" spans="1:19">
      <c r="A274" s="1" t="s">
        <v>27</v>
      </c>
      <c r="B274" s="8" t="s">
        <v>103</v>
      </c>
      <c r="C274" s="423">
        <f>C279</f>
        <v>2.31</v>
      </c>
      <c r="D274" s="21" t="s">
        <v>32</v>
      </c>
      <c r="E274" s="609">
        <f>0.0305+0.0022+0.0097</f>
        <v>4.24E-2</v>
      </c>
      <c r="F274" s="608">
        <v>4.6199999999999998E-2</v>
      </c>
      <c r="G274" s="5">
        <f t="shared" si="52"/>
        <v>2.4642913818410572</v>
      </c>
      <c r="H274" s="21" t="s">
        <v>38</v>
      </c>
      <c r="I274" s="6">
        <f>E271</f>
        <v>0.1043</v>
      </c>
      <c r="J274" s="7">
        <v>2.2800000000000001E-2</v>
      </c>
      <c r="K274" s="5">
        <f t="shared" si="54"/>
        <v>2.6260881516998129</v>
      </c>
      <c r="L274" s="21" t="s">
        <v>39</v>
      </c>
      <c r="M274" s="6">
        <v>0</v>
      </c>
      <c r="N274" s="7">
        <v>2.5000000000000001E-3</v>
      </c>
      <c r="O274" s="5">
        <f t="shared" si="55"/>
        <v>2.6326698262654764</v>
      </c>
      <c r="P274" s="329">
        <f>Weightings!$C$9</f>
        <v>6.554456479221634</v>
      </c>
      <c r="Q274" s="5">
        <f t="shared" si="53"/>
        <v>2.1673201107425184E-4</v>
      </c>
      <c r="R274" s="5"/>
      <c r="S274" s="29"/>
    </row>
    <row r="275" spans="1:19">
      <c r="A275" s="1" t="s">
        <v>0</v>
      </c>
      <c r="B275" s="8" t="s">
        <v>260</v>
      </c>
      <c r="C275" s="422">
        <v>2.2799999999999998</v>
      </c>
      <c r="D275" s="21" t="s">
        <v>37</v>
      </c>
      <c r="E275" s="6">
        <f>0.0366+0.0022</f>
        <v>3.8800000000000001E-2</v>
      </c>
      <c r="F275" s="10">
        <v>6.9699999999999996E-3</v>
      </c>
      <c r="G275" s="5">
        <f t="shared" si="52"/>
        <v>2.3348031418990365</v>
      </c>
      <c r="H275" s="21" t="s">
        <v>43</v>
      </c>
      <c r="I275" s="609">
        <f>0.017+0.0022</f>
        <v>1.9200000000000002E-2</v>
      </c>
      <c r="J275" s="608">
        <v>2.9020000000000001E-2</v>
      </c>
      <c r="K275" s="5">
        <f t="shared" si="54"/>
        <v>2.4237841746473014</v>
      </c>
      <c r="L275" s="15" t="s">
        <v>156</v>
      </c>
      <c r="M275" s="6">
        <f>E276</f>
        <v>2.2600000000000002E-2</v>
      </c>
      <c r="N275" s="10">
        <f>F276</f>
        <v>2.776E-2</v>
      </c>
      <c r="O275" s="247">
        <f t="shared" si="55"/>
        <v>2.5155895649708935</v>
      </c>
      <c r="P275" s="329">
        <f>Weightings!$C$13</f>
        <v>31370.607479626047</v>
      </c>
      <c r="Q275" s="5">
        <f t="shared" si="53"/>
        <v>0.99118037385455304</v>
      </c>
      <c r="R275" s="247"/>
      <c r="S275" s="29"/>
    </row>
    <row r="276" spans="1:19">
      <c r="A276" s="1" t="s">
        <v>1</v>
      </c>
      <c r="B276" s="8" t="s">
        <v>261</v>
      </c>
      <c r="C276" s="422">
        <v>2.415</v>
      </c>
      <c r="D276" s="21" t="s">
        <v>48</v>
      </c>
      <c r="E276" s="6">
        <f>0.0134+0.0022+0.007</f>
        <v>2.2600000000000002E-2</v>
      </c>
      <c r="F276" s="10">
        <v>2.776E-2</v>
      </c>
      <c r="G276" s="5">
        <f t="shared" si="52"/>
        <v>2.5065545791162678</v>
      </c>
      <c r="H276" s="21"/>
      <c r="I276" s="6">
        <v>0</v>
      </c>
      <c r="J276" s="7">
        <v>0</v>
      </c>
      <c r="K276" s="5">
        <f t="shared" si="54"/>
        <v>2.5065545791162678</v>
      </c>
      <c r="L276" s="15"/>
      <c r="M276" s="6">
        <v>0</v>
      </c>
      <c r="N276" s="7">
        <v>0</v>
      </c>
      <c r="O276" s="5">
        <f t="shared" si="55"/>
        <v>2.5065545791162678</v>
      </c>
      <c r="P276" s="329">
        <f>Weightings!$C$14</f>
        <v>5614.3227016821775</v>
      </c>
      <c r="Q276" s="5">
        <f t="shared" si="53"/>
        <v>0.17675207378462879</v>
      </c>
      <c r="R276" s="5"/>
      <c r="S276" s="246"/>
    </row>
    <row r="277" spans="1:19">
      <c r="A277" s="1" t="s">
        <v>2</v>
      </c>
      <c r="B277" s="8" t="s">
        <v>262</v>
      </c>
      <c r="C277" s="649">
        <v>2.1549999999999998</v>
      </c>
      <c r="D277" s="21" t="s">
        <v>33</v>
      </c>
      <c r="E277" s="609">
        <f>0.0299+0.0022+0.0097</f>
        <v>4.1799999999999997E-2</v>
      </c>
      <c r="F277" s="608">
        <v>4.58E-2</v>
      </c>
      <c r="G277" s="5">
        <f t="shared" si="52"/>
        <v>2.3002363865017812</v>
      </c>
      <c r="H277" s="21" t="s">
        <v>42</v>
      </c>
      <c r="I277" s="6">
        <v>0</v>
      </c>
      <c r="J277" s="7">
        <v>0.01</v>
      </c>
      <c r="K277" s="5">
        <f t="shared" si="54"/>
        <v>2.3234710974765469</v>
      </c>
      <c r="L277" s="15"/>
      <c r="M277" s="6">
        <v>0</v>
      </c>
      <c r="N277" s="7">
        <v>0</v>
      </c>
      <c r="O277" s="5">
        <f t="shared" si="55"/>
        <v>2.3234710974765469</v>
      </c>
      <c r="P277" s="329">
        <f>Weightings!$C$15</f>
        <v>3366</v>
      </c>
      <c r="Q277" s="5">
        <f t="shared" si="53"/>
        <v>9.8229371870897988E-2</v>
      </c>
      <c r="R277" s="5"/>
      <c r="S277" s="29"/>
    </row>
    <row r="278" spans="1:19">
      <c r="A278" s="1" t="s">
        <v>3</v>
      </c>
      <c r="B278" s="8" t="s">
        <v>259</v>
      </c>
      <c r="C278" s="422">
        <v>2.2200000000000002</v>
      </c>
      <c r="D278" s="21" t="s">
        <v>34</v>
      </c>
      <c r="E278" s="609">
        <f>0.0277+0.0022+0.0097</f>
        <v>3.9599999999999996E-2</v>
      </c>
      <c r="F278" s="608">
        <v>4.2299999999999997E-2</v>
      </c>
      <c r="G278" s="5">
        <f t="shared" si="52"/>
        <v>2.3576536702516449</v>
      </c>
      <c r="H278" s="21" t="s">
        <v>42</v>
      </c>
      <c r="I278" s="6">
        <v>0</v>
      </c>
      <c r="J278" s="7">
        <v>0.01</v>
      </c>
      <c r="K278" s="5">
        <f t="shared" si="54"/>
        <v>2.3814683537895402</v>
      </c>
      <c r="M278" s="6">
        <v>0</v>
      </c>
      <c r="N278" s="7">
        <v>0</v>
      </c>
      <c r="O278" s="5">
        <f t="shared" si="55"/>
        <v>2.3814683537895402</v>
      </c>
      <c r="P278" s="329">
        <f>Weightings!$C$16</f>
        <v>4950</v>
      </c>
      <c r="Q278" s="5">
        <f t="shared" si="53"/>
        <v>0.14806076688782357</v>
      </c>
      <c r="R278" s="5"/>
      <c r="S278" s="29"/>
    </row>
    <row r="279" spans="1:19">
      <c r="A279" s="1" t="s">
        <v>4</v>
      </c>
      <c r="B279" s="8" t="s">
        <v>103</v>
      </c>
      <c r="C279" s="422">
        <v>2.31</v>
      </c>
      <c r="D279" s="21" t="s">
        <v>35</v>
      </c>
      <c r="E279" s="609">
        <f>0.0251+0.0022+0.0097</f>
        <v>3.7000000000000005E-2</v>
      </c>
      <c r="F279" s="608">
        <v>3.8100000000000002E-2</v>
      </c>
      <c r="G279" s="5">
        <f t="shared" si="52"/>
        <v>2.4384970371140451</v>
      </c>
      <c r="H279" s="21" t="s">
        <v>42</v>
      </c>
      <c r="I279" s="6">
        <v>0</v>
      </c>
      <c r="J279" s="7">
        <v>0.01</v>
      </c>
      <c r="K279" s="5">
        <f t="shared" si="54"/>
        <v>2.4631283203172174</v>
      </c>
      <c r="M279" s="6">
        <v>0</v>
      </c>
      <c r="N279" s="7">
        <v>0</v>
      </c>
      <c r="O279" s="5">
        <f t="shared" si="55"/>
        <v>2.4631283203172174</v>
      </c>
      <c r="P279" s="329">
        <f>Weightings!$C$17</f>
        <v>11172.172715894869</v>
      </c>
      <c r="Q279" s="5">
        <f t="shared" si="53"/>
        <v>0.3456325691153978</v>
      </c>
      <c r="R279" s="5"/>
      <c r="S279" s="29"/>
    </row>
    <row r="280" spans="1:19">
      <c r="O280" s="35"/>
      <c r="P280" s="67"/>
      <c r="Q280" s="35"/>
      <c r="R280" s="35"/>
      <c r="S280" s="244"/>
    </row>
    <row r="281" spans="1:19" ht="13.5" thickBot="1">
      <c r="O281" s="36"/>
      <c r="P281" s="330"/>
      <c r="Q281" s="36"/>
      <c r="R281" s="36"/>
    </row>
    <row r="282" spans="1:19" ht="13.5" thickBot="1">
      <c r="O282" s="331" t="s">
        <v>198</v>
      </c>
      <c r="P282" s="332"/>
      <c r="Q282" s="333">
        <f>SUM(Q269:Q279)</f>
        <v>2.5028620071325811</v>
      </c>
      <c r="R282" s="424">
        <f>B267</f>
        <v>37178</v>
      </c>
    </row>
    <row r="283" spans="1:19">
      <c r="O283" s="35"/>
      <c r="P283" s="35"/>
      <c r="Q283" s="35"/>
      <c r="R283" s="35"/>
      <c r="S283" s="35"/>
    </row>
    <row r="284" spans="1:19">
      <c r="D284" s="21"/>
      <c r="H284" s="5"/>
      <c r="O284" s="36" t="s">
        <v>263</v>
      </c>
      <c r="P284" s="404">
        <f>Weightings!C283</f>
        <v>0</v>
      </c>
      <c r="Q284" s="35" t="s">
        <v>206</v>
      </c>
      <c r="R284" s="344" t="s">
        <v>208</v>
      </c>
      <c r="S284" s="35"/>
    </row>
    <row r="285" spans="1:19" ht="13.5" thickBot="1">
      <c r="A285" s="675"/>
      <c r="B285" s="676"/>
      <c r="C285" s="675"/>
      <c r="D285" s="677"/>
      <c r="E285" s="675"/>
      <c r="F285" s="675"/>
      <c r="G285" s="675"/>
      <c r="H285" s="678"/>
      <c r="I285" s="675"/>
      <c r="J285" s="675"/>
      <c r="K285" s="675"/>
      <c r="L285" s="675"/>
      <c r="M285" s="675"/>
      <c r="N285" s="675"/>
      <c r="O285" s="675"/>
      <c r="P285" s="679"/>
      <c r="Q285" s="675"/>
      <c r="R285" s="675"/>
      <c r="S285" s="675"/>
    </row>
    <row r="286" spans="1:19" ht="14.25" thickTop="1" thickBot="1">
      <c r="A286" s="2"/>
      <c r="B286" s="28"/>
      <c r="D286" s="3" t="s">
        <v>10</v>
      </c>
      <c r="H286" s="3" t="s">
        <v>11</v>
      </c>
      <c r="L286" s="3" t="s">
        <v>12</v>
      </c>
    </row>
    <row r="287" spans="1:19" ht="14.25" thickTop="1" thickBot="1">
      <c r="A287" s="421" t="s">
        <v>255</v>
      </c>
      <c r="B287" s="433">
        <f>B267+1</f>
        <v>37179</v>
      </c>
      <c r="C287" s="434">
        <f>Q302</f>
        <v>2.5028620071325811</v>
      </c>
      <c r="E287" s="624"/>
    </row>
    <row r="288" spans="1:19" ht="54" customHeight="1" thickTop="1">
      <c r="A288" s="2" t="s">
        <v>5</v>
      </c>
      <c r="B288" s="9" t="s">
        <v>46</v>
      </c>
      <c r="C288" s="18" t="s">
        <v>256</v>
      </c>
      <c r="D288" s="14" t="s">
        <v>28</v>
      </c>
      <c r="E288" s="4" t="s">
        <v>7</v>
      </c>
      <c r="F288" s="4" t="s">
        <v>8</v>
      </c>
      <c r="G288" s="4" t="s">
        <v>9</v>
      </c>
      <c r="H288" s="14" t="s">
        <v>28</v>
      </c>
      <c r="I288" s="4" t="s">
        <v>7</v>
      </c>
      <c r="J288" s="4" t="s">
        <v>8</v>
      </c>
      <c r="K288" s="4" t="s">
        <v>9</v>
      </c>
      <c r="L288" s="14" t="s">
        <v>28</v>
      </c>
      <c r="M288" s="4" t="s">
        <v>7</v>
      </c>
      <c r="N288" s="4" t="s">
        <v>8</v>
      </c>
      <c r="O288" s="4" t="s">
        <v>9</v>
      </c>
      <c r="P288" s="4" t="s">
        <v>193</v>
      </c>
      <c r="Q288" s="4" t="s">
        <v>197</v>
      </c>
      <c r="R288" s="4"/>
      <c r="S288" s="4"/>
    </row>
    <row r="289" spans="1:19">
      <c r="A289" s="1" t="s">
        <v>49</v>
      </c>
      <c r="B289" s="8" t="s">
        <v>269</v>
      </c>
      <c r="C289" s="422">
        <v>2.2349999999999999</v>
      </c>
      <c r="D289" s="21" t="s">
        <v>29</v>
      </c>
      <c r="E289" s="6">
        <v>5.2200000000000003E-2</v>
      </c>
      <c r="F289" s="10">
        <v>5.0599999999999999E-2</v>
      </c>
      <c r="G289" s="5">
        <f t="shared" ref="G289:G299" si="56">+C289/(1-F289)+E289</f>
        <v>2.4063183905624603</v>
      </c>
      <c r="H289" s="21" t="s">
        <v>38</v>
      </c>
      <c r="I289" s="6">
        <f>E291</f>
        <v>0.1043</v>
      </c>
      <c r="J289" s="7">
        <v>2.2800000000000001E-2</v>
      </c>
      <c r="K289" s="5">
        <f>+G289/(1-J289)+I289</f>
        <v>2.5667625363922024</v>
      </c>
      <c r="L289" s="21" t="s">
        <v>39</v>
      </c>
      <c r="M289" s="6">
        <v>0</v>
      </c>
      <c r="N289" s="7">
        <v>2.5000000000000001E-3</v>
      </c>
      <c r="O289" s="5">
        <f>+K289/(1-N289)+M289</f>
        <v>2.5731955252052154</v>
      </c>
      <c r="P289" s="329">
        <f>Weightings!$C$4</f>
        <v>1071.401539872767</v>
      </c>
      <c r="Q289" s="5">
        <f t="shared" ref="Q289:Q299" si="57">+P289/SUM($P$9:$P$19)*O289</f>
        <v>3.4627013361688316E-2</v>
      </c>
      <c r="R289" s="5"/>
      <c r="S289" s="245"/>
    </row>
    <row r="290" spans="1:19">
      <c r="A290" s="1" t="s">
        <v>50</v>
      </c>
      <c r="B290" s="8" t="s">
        <v>270</v>
      </c>
      <c r="C290" s="422">
        <v>2.2200000000000002</v>
      </c>
      <c r="D290" s="21" t="s">
        <v>30</v>
      </c>
      <c r="E290" s="6">
        <v>5.2200000000000003E-2</v>
      </c>
      <c r="F290" s="10">
        <v>5.8000000000000003E-2</v>
      </c>
      <c r="G290" s="5">
        <f t="shared" si="56"/>
        <v>2.4088878980891724</v>
      </c>
      <c r="H290" s="21" t="s">
        <v>38</v>
      </c>
      <c r="I290" s="6">
        <f>E291</f>
        <v>0.1043</v>
      </c>
      <c r="J290" s="7">
        <v>2.2800000000000001E-2</v>
      </c>
      <c r="K290" s="5">
        <f t="shared" ref="K290:K299" si="58">+G290/(1-J290)+I290</f>
        <v>2.569391995588592</v>
      </c>
      <c r="L290" s="21" t="s">
        <v>39</v>
      </c>
      <c r="M290" s="6">
        <v>0</v>
      </c>
      <c r="N290" s="7">
        <v>2.5000000000000001E-3</v>
      </c>
      <c r="O290" s="5">
        <f t="shared" ref="O290:O299" si="59">+K290/(1-N290)+M290</f>
        <v>2.5758315745249041</v>
      </c>
      <c r="P290" s="329">
        <f>Weightings!$C$5</f>
        <v>1309.8829179244465</v>
      </c>
      <c r="Q290" s="5">
        <f t="shared" si="57"/>
        <v>4.2377947818107865E-2</v>
      </c>
      <c r="R290" s="5"/>
      <c r="S290" s="29"/>
    </row>
    <row r="291" spans="1:19">
      <c r="A291" s="1" t="s">
        <v>40</v>
      </c>
      <c r="B291" s="8" t="s">
        <v>257</v>
      </c>
      <c r="C291" s="422">
        <v>2.3849999999999998</v>
      </c>
      <c r="D291" s="21" t="s">
        <v>154</v>
      </c>
      <c r="E291" s="6">
        <f>0.0951+0.0022+0.007</f>
        <v>0.1043</v>
      </c>
      <c r="F291" s="10">
        <v>2.2800000000000001E-2</v>
      </c>
      <c r="G291" s="5">
        <f t="shared" si="56"/>
        <v>2.5449467458043387</v>
      </c>
      <c r="H291" s="21" t="s">
        <v>39</v>
      </c>
      <c r="I291" s="6">
        <v>0</v>
      </c>
      <c r="J291" s="7">
        <v>2.5000000000000001E-3</v>
      </c>
      <c r="K291" s="5">
        <f t="shared" si="58"/>
        <v>2.5513250584504648</v>
      </c>
      <c r="L291" s="21"/>
      <c r="M291" s="6">
        <v>0</v>
      </c>
      <c r="N291" s="7">
        <v>0</v>
      </c>
      <c r="O291" s="5">
        <f t="shared" si="59"/>
        <v>2.5513250584504648</v>
      </c>
      <c r="P291" s="329">
        <f>Weightings!$C$6</f>
        <v>19813.452023725906</v>
      </c>
      <c r="Q291" s="5">
        <f t="shared" si="57"/>
        <v>0.63491549056072105</v>
      </c>
      <c r="R291" s="5"/>
      <c r="S291" s="29"/>
    </row>
    <row r="292" spans="1:19">
      <c r="A292" s="1" t="s">
        <v>41</v>
      </c>
      <c r="B292" s="8" t="s">
        <v>258</v>
      </c>
      <c r="C292" s="422">
        <v>2.46</v>
      </c>
      <c r="D292" s="21" t="s">
        <v>155</v>
      </c>
      <c r="E292" s="6">
        <f>0.0951+0.0022+0.007</f>
        <v>0.1043</v>
      </c>
      <c r="F292" s="10">
        <v>2.2800000000000001E-2</v>
      </c>
      <c r="G292" s="5">
        <f t="shared" si="56"/>
        <v>2.6216966434711417</v>
      </c>
      <c r="H292" s="21" t="s">
        <v>39</v>
      </c>
      <c r="I292" s="6">
        <v>0</v>
      </c>
      <c r="J292" s="7">
        <v>2.5000000000000001E-3</v>
      </c>
      <c r="K292" s="5">
        <f t="shared" si="58"/>
        <v>2.628267311750518</v>
      </c>
      <c r="L292" s="21"/>
      <c r="M292" s="6">
        <v>0</v>
      </c>
      <c r="N292" s="7">
        <v>0</v>
      </c>
      <c r="O292" s="5">
        <f t="shared" si="59"/>
        <v>2.628267311750518</v>
      </c>
      <c r="P292" s="329">
        <f>Weightings!$C$7</f>
        <v>669.60336394048545</v>
      </c>
      <c r="Q292" s="5">
        <f t="shared" si="57"/>
        <v>2.2104319091053114E-2</v>
      </c>
      <c r="R292" s="5"/>
      <c r="S292" s="245"/>
    </row>
    <row r="293" spans="1:19">
      <c r="A293" s="1" t="s">
        <v>26</v>
      </c>
      <c r="B293" s="8" t="s">
        <v>259</v>
      </c>
      <c r="C293" s="423">
        <f>C298</f>
        <v>2.2200000000000002</v>
      </c>
      <c r="D293" s="21" t="s">
        <v>31</v>
      </c>
      <c r="E293" s="609">
        <f>0.0331+0.0022+0.0097</f>
        <v>4.4999999999999998E-2</v>
      </c>
      <c r="F293" s="608">
        <v>5.04E-2</v>
      </c>
      <c r="G293" s="5">
        <f t="shared" si="56"/>
        <v>2.3828264532434709</v>
      </c>
      <c r="H293" s="21" t="s">
        <v>38</v>
      </c>
      <c r="I293" s="6">
        <f>E291</f>
        <v>0.1043</v>
      </c>
      <c r="J293" s="7">
        <v>2.2800000000000001E-2</v>
      </c>
      <c r="K293" s="5">
        <f t="shared" si="58"/>
        <v>2.5427224859225039</v>
      </c>
      <c r="L293" s="21" t="s">
        <v>39</v>
      </c>
      <c r="M293" s="6">
        <v>0</v>
      </c>
      <c r="N293" s="7">
        <v>2.5000000000000001E-3</v>
      </c>
      <c r="O293" s="5">
        <f t="shared" si="59"/>
        <v>2.54909522398246</v>
      </c>
      <c r="P293" s="329">
        <f>Weightings!$C$8</f>
        <v>273.77460524748824</v>
      </c>
      <c r="Q293" s="5">
        <f t="shared" si="57"/>
        <v>8.7653487766351425E-3</v>
      </c>
      <c r="R293" s="5"/>
      <c r="S293" s="29"/>
    </row>
    <row r="294" spans="1:19">
      <c r="A294" s="1" t="s">
        <v>27</v>
      </c>
      <c r="B294" s="8" t="s">
        <v>103</v>
      </c>
      <c r="C294" s="423">
        <f>C299</f>
        <v>2.31</v>
      </c>
      <c r="D294" s="21" t="s">
        <v>32</v>
      </c>
      <c r="E294" s="609">
        <f>0.0305+0.0022+0.0097</f>
        <v>4.24E-2</v>
      </c>
      <c r="F294" s="608">
        <v>4.6199999999999998E-2</v>
      </c>
      <c r="G294" s="5">
        <f t="shared" si="56"/>
        <v>2.4642913818410572</v>
      </c>
      <c r="H294" s="21" t="s">
        <v>38</v>
      </c>
      <c r="I294" s="6">
        <f>E291</f>
        <v>0.1043</v>
      </c>
      <c r="J294" s="7">
        <v>2.2800000000000001E-2</v>
      </c>
      <c r="K294" s="5">
        <f t="shared" si="58"/>
        <v>2.6260881516998129</v>
      </c>
      <c r="L294" s="21" t="s">
        <v>39</v>
      </c>
      <c r="M294" s="6">
        <v>0</v>
      </c>
      <c r="N294" s="7">
        <v>2.5000000000000001E-3</v>
      </c>
      <c r="O294" s="5">
        <f t="shared" si="59"/>
        <v>2.6326698262654764</v>
      </c>
      <c r="P294" s="329">
        <f>Weightings!$C$9</f>
        <v>6.554456479221634</v>
      </c>
      <c r="Q294" s="5">
        <f t="shared" si="57"/>
        <v>2.1673201107425184E-4</v>
      </c>
      <c r="R294" s="5"/>
      <c r="S294" s="29"/>
    </row>
    <row r="295" spans="1:19">
      <c r="A295" s="1" t="s">
        <v>0</v>
      </c>
      <c r="B295" s="8" t="s">
        <v>260</v>
      </c>
      <c r="C295" s="422">
        <v>2.2799999999999998</v>
      </c>
      <c r="D295" s="21" t="s">
        <v>37</v>
      </c>
      <c r="E295" s="6">
        <f>0.0366+0.0022</f>
        <v>3.8800000000000001E-2</v>
      </c>
      <c r="F295" s="10">
        <v>6.9699999999999996E-3</v>
      </c>
      <c r="G295" s="5">
        <f t="shared" si="56"/>
        <v>2.3348031418990365</v>
      </c>
      <c r="H295" s="21" t="s">
        <v>43</v>
      </c>
      <c r="I295" s="609">
        <f>0.017+0.0022</f>
        <v>1.9200000000000002E-2</v>
      </c>
      <c r="J295" s="608">
        <v>2.9020000000000001E-2</v>
      </c>
      <c r="K295" s="5">
        <f t="shared" si="58"/>
        <v>2.4237841746473014</v>
      </c>
      <c r="L295" s="15" t="s">
        <v>156</v>
      </c>
      <c r="M295" s="6">
        <f>E296</f>
        <v>2.2600000000000002E-2</v>
      </c>
      <c r="N295" s="10">
        <f>F296</f>
        <v>2.776E-2</v>
      </c>
      <c r="O295" s="247">
        <f t="shared" si="59"/>
        <v>2.5155895649708935</v>
      </c>
      <c r="P295" s="329">
        <f>Weightings!$C$13</f>
        <v>31370.607479626047</v>
      </c>
      <c r="Q295" s="5">
        <f t="shared" si="57"/>
        <v>0.99118037385455304</v>
      </c>
      <c r="R295" s="247"/>
      <c r="S295" s="29"/>
    </row>
    <row r="296" spans="1:19">
      <c r="A296" s="1" t="s">
        <v>1</v>
      </c>
      <c r="B296" s="8" t="s">
        <v>261</v>
      </c>
      <c r="C296" s="422">
        <v>2.415</v>
      </c>
      <c r="D296" s="21" t="s">
        <v>48</v>
      </c>
      <c r="E296" s="6">
        <f>0.0134+0.0022+0.007</f>
        <v>2.2600000000000002E-2</v>
      </c>
      <c r="F296" s="10">
        <v>2.776E-2</v>
      </c>
      <c r="G296" s="5">
        <f t="shared" si="56"/>
        <v>2.5065545791162678</v>
      </c>
      <c r="H296" s="21"/>
      <c r="I296" s="6">
        <v>0</v>
      </c>
      <c r="J296" s="7">
        <v>0</v>
      </c>
      <c r="K296" s="5">
        <f t="shared" si="58"/>
        <v>2.5065545791162678</v>
      </c>
      <c r="L296" s="15"/>
      <c r="M296" s="6">
        <v>0</v>
      </c>
      <c r="N296" s="7">
        <v>0</v>
      </c>
      <c r="O296" s="5">
        <f t="shared" si="59"/>
        <v>2.5065545791162678</v>
      </c>
      <c r="P296" s="329">
        <f>Weightings!$C$14</f>
        <v>5614.3227016821775</v>
      </c>
      <c r="Q296" s="5">
        <f t="shared" si="57"/>
        <v>0.17675207378462879</v>
      </c>
      <c r="R296" s="5"/>
      <c r="S296" s="246"/>
    </row>
    <row r="297" spans="1:19">
      <c r="A297" s="1" t="s">
        <v>2</v>
      </c>
      <c r="B297" s="8" t="s">
        <v>262</v>
      </c>
      <c r="C297" s="649">
        <v>2.1549999999999998</v>
      </c>
      <c r="D297" s="21" t="s">
        <v>33</v>
      </c>
      <c r="E297" s="609">
        <f>0.0299+0.0022+0.0097</f>
        <v>4.1799999999999997E-2</v>
      </c>
      <c r="F297" s="608">
        <v>4.58E-2</v>
      </c>
      <c r="G297" s="5">
        <f t="shared" si="56"/>
        <v>2.3002363865017812</v>
      </c>
      <c r="H297" s="21" t="s">
        <v>42</v>
      </c>
      <c r="I297" s="6">
        <v>0</v>
      </c>
      <c r="J297" s="7">
        <v>0.01</v>
      </c>
      <c r="K297" s="5">
        <f t="shared" si="58"/>
        <v>2.3234710974765469</v>
      </c>
      <c r="L297" s="15"/>
      <c r="M297" s="6">
        <v>0</v>
      </c>
      <c r="N297" s="7">
        <v>0</v>
      </c>
      <c r="O297" s="5">
        <f t="shared" si="59"/>
        <v>2.3234710974765469</v>
      </c>
      <c r="P297" s="329">
        <f>Weightings!$C$15</f>
        <v>3366</v>
      </c>
      <c r="Q297" s="5">
        <f t="shared" si="57"/>
        <v>9.8229371870897988E-2</v>
      </c>
      <c r="R297" s="5"/>
      <c r="S297" s="29"/>
    </row>
    <row r="298" spans="1:19">
      <c r="A298" s="1" t="s">
        <v>3</v>
      </c>
      <c r="B298" s="8" t="s">
        <v>259</v>
      </c>
      <c r="C298" s="422">
        <v>2.2200000000000002</v>
      </c>
      <c r="D298" s="21" t="s">
        <v>34</v>
      </c>
      <c r="E298" s="609">
        <f>0.0277+0.0022+0.0097</f>
        <v>3.9599999999999996E-2</v>
      </c>
      <c r="F298" s="608">
        <v>4.2299999999999997E-2</v>
      </c>
      <c r="G298" s="5">
        <f t="shared" si="56"/>
        <v>2.3576536702516449</v>
      </c>
      <c r="H298" s="21" t="s">
        <v>42</v>
      </c>
      <c r="I298" s="6">
        <v>0</v>
      </c>
      <c r="J298" s="7">
        <v>0.01</v>
      </c>
      <c r="K298" s="5">
        <f t="shared" si="58"/>
        <v>2.3814683537895402</v>
      </c>
      <c r="M298" s="6">
        <v>0</v>
      </c>
      <c r="N298" s="7">
        <v>0</v>
      </c>
      <c r="O298" s="5">
        <f t="shared" si="59"/>
        <v>2.3814683537895402</v>
      </c>
      <c r="P298" s="329">
        <f>Weightings!$C$16</f>
        <v>4950</v>
      </c>
      <c r="Q298" s="5">
        <f t="shared" si="57"/>
        <v>0.14806076688782357</v>
      </c>
      <c r="R298" s="5"/>
      <c r="S298" s="29"/>
    </row>
    <row r="299" spans="1:19">
      <c r="A299" s="1" t="s">
        <v>4</v>
      </c>
      <c r="B299" s="8" t="s">
        <v>103</v>
      </c>
      <c r="C299" s="422">
        <v>2.31</v>
      </c>
      <c r="D299" s="21" t="s">
        <v>35</v>
      </c>
      <c r="E299" s="609">
        <f>0.0251+0.0022+0.0097</f>
        <v>3.7000000000000005E-2</v>
      </c>
      <c r="F299" s="608">
        <v>3.8100000000000002E-2</v>
      </c>
      <c r="G299" s="5">
        <f t="shared" si="56"/>
        <v>2.4384970371140451</v>
      </c>
      <c r="H299" s="21" t="s">
        <v>42</v>
      </c>
      <c r="I299" s="6">
        <v>0</v>
      </c>
      <c r="J299" s="7">
        <v>0.01</v>
      </c>
      <c r="K299" s="5">
        <f t="shared" si="58"/>
        <v>2.4631283203172174</v>
      </c>
      <c r="M299" s="6">
        <v>0</v>
      </c>
      <c r="N299" s="7">
        <v>0</v>
      </c>
      <c r="O299" s="5">
        <f t="shared" si="59"/>
        <v>2.4631283203172174</v>
      </c>
      <c r="P299" s="329">
        <f>Weightings!$C$17</f>
        <v>11172.172715894869</v>
      </c>
      <c r="Q299" s="5">
        <f t="shared" si="57"/>
        <v>0.3456325691153978</v>
      </c>
      <c r="R299" s="5"/>
      <c r="S299" s="29"/>
    </row>
    <row r="300" spans="1:19">
      <c r="O300" s="35"/>
      <c r="P300" s="67"/>
      <c r="Q300" s="35"/>
      <c r="R300" s="35"/>
      <c r="S300" s="244"/>
    </row>
    <row r="301" spans="1:19" ht="13.5" thickBot="1">
      <c r="O301" s="36"/>
      <c r="P301" s="330"/>
      <c r="Q301" s="36"/>
      <c r="R301" s="36"/>
    </row>
    <row r="302" spans="1:19" ht="13.5" thickBot="1">
      <c r="O302" s="331" t="s">
        <v>198</v>
      </c>
      <c r="P302" s="332"/>
      <c r="Q302" s="333">
        <f>SUM(Q289:Q299)</f>
        <v>2.5028620071325811</v>
      </c>
      <c r="R302" s="424">
        <f>B287</f>
        <v>37179</v>
      </c>
    </row>
    <row r="303" spans="1:19">
      <c r="O303" s="35"/>
      <c r="P303" s="35"/>
      <c r="Q303" s="35"/>
      <c r="R303" s="35"/>
      <c r="S303" s="35"/>
    </row>
    <row r="304" spans="1:19">
      <c r="D304" s="21"/>
      <c r="H304" s="5"/>
      <c r="O304" s="36" t="s">
        <v>263</v>
      </c>
      <c r="P304" s="404">
        <f>Weightings!C303</f>
        <v>0</v>
      </c>
      <c r="Q304" s="35" t="s">
        <v>206</v>
      </c>
      <c r="R304" s="344" t="s">
        <v>208</v>
      </c>
      <c r="S304" s="35"/>
    </row>
    <row r="305" spans="1:19" ht="13.5" thickBot="1">
      <c r="A305" s="675"/>
      <c r="B305" s="676"/>
      <c r="C305" s="675"/>
      <c r="D305" s="677"/>
      <c r="E305" s="675"/>
      <c r="F305" s="675"/>
      <c r="G305" s="675"/>
      <c r="H305" s="678"/>
      <c r="I305" s="675"/>
      <c r="J305" s="675"/>
      <c r="K305" s="675"/>
      <c r="L305" s="675"/>
      <c r="M305" s="675"/>
      <c r="N305" s="675"/>
      <c r="O305" s="675"/>
      <c r="P305" s="679"/>
      <c r="Q305" s="675"/>
      <c r="R305" s="675"/>
      <c r="S305" s="675"/>
    </row>
    <row r="306" spans="1:19" ht="14.25" thickTop="1" thickBot="1">
      <c r="A306" s="2"/>
      <c r="B306" s="28"/>
      <c r="D306" s="3" t="s">
        <v>10</v>
      </c>
      <c r="H306" s="3" t="s">
        <v>11</v>
      </c>
      <c r="L306" s="3" t="s">
        <v>12</v>
      </c>
    </row>
    <row r="307" spans="1:19" ht="14.25" thickTop="1" thickBot="1">
      <c r="A307" s="421" t="s">
        <v>255</v>
      </c>
      <c r="B307" s="433">
        <f>B287+1</f>
        <v>37180</v>
      </c>
      <c r="C307" s="434">
        <f>Q322</f>
        <v>2.4794196139819515</v>
      </c>
      <c r="E307" s="624"/>
    </row>
    <row r="308" spans="1:19" ht="54" customHeight="1" thickTop="1">
      <c r="A308" s="2" t="s">
        <v>5</v>
      </c>
      <c r="B308" s="9" t="s">
        <v>46</v>
      </c>
      <c r="C308" s="18" t="s">
        <v>256</v>
      </c>
      <c r="D308" s="14" t="s">
        <v>28</v>
      </c>
      <c r="E308" s="4" t="s">
        <v>7</v>
      </c>
      <c r="F308" s="4" t="s">
        <v>8</v>
      </c>
      <c r="G308" s="4" t="s">
        <v>9</v>
      </c>
      <c r="H308" s="14" t="s">
        <v>28</v>
      </c>
      <c r="I308" s="4" t="s">
        <v>7</v>
      </c>
      <c r="J308" s="4" t="s">
        <v>8</v>
      </c>
      <c r="K308" s="4" t="s">
        <v>9</v>
      </c>
      <c r="L308" s="14" t="s">
        <v>28</v>
      </c>
      <c r="M308" s="4" t="s">
        <v>7</v>
      </c>
      <c r="N308" s="4" t="s">
        <v>8</v>
      </c>
      <c r="O308" s="4" t="s">
        <v>9</v>
      </c>
      <c r="P308" s="4" t="s">
        <v>193</v>
      </c>
      <c r="Q308" s="4" t="s">
        <v>197</v>
      </c>
      <c r="R308" s="4"/>
      <c r="S308" s="4"/>
    </row>
    <row r="309" spans="1:19">
      <c r="A309" s="1" t="s">
        <v>49</v>
      </c>
      <c r="B309" s="8" t="s">
        <v>269</v>
      </c>
      <c r="C309" s="422">
        <v>2.165</v>
      </c>
      <c r="D309" s="21" t="s">
        <v>29</v>
      </c>
      <c r="E309" s="6">
        <v>5.2200000000000003E-2</v>
      </c>
      <c r="F309" s="10">
        <v>5.0599999999999999E-2</v>
      </c>
      <c r="G309" s="5">
        <f t="shared" ref="G309:G319" si="60">+C309/(1-F309)+E309</f>
        <v>2.3325876132294079</v>
      </c>
      <c r="H309" s="21" t="s">
        <v>38</v>
      </c>
      <c r="I309" s="6">
        <f>E311</f>
        <v>0.1043</v>
      </c>
      <c r="J309" s="7">
        <v>2.2800000000000001E-2</v>
      </c>
      <c r="K309" s="5">
        <f>+G309/(1-J309)+I309</f>
        <v>2.4913114748561274</v>
      </c>
      <c r="L309" s="21" t="s">
        <v>39</v>
      </c>
      <c r="M309" s="6">
        <v>0</v>
      </c>
      <c r="N309" s="7">
        <v>2.5000000000000001E-3</v>
      </c>
      <c r="O309" s="5">
        <f>+K309/(1-N309)+M309</f>
        <v>2.4975553632642877</v>
      </c>
      <c r="P309" s="329">
        <f>Weightings!$C$4</f>
        <v>1071.401539872767</v>
      </c>
      <c r="Q309" s="5">
        <f t="shared" ref="Q309:Q319" si="61">+P309/SUM($P$9:$P$19)*O309</f>
        <v>3.3609137777593362E-2</v>
      </c>
      <c r="R309" s="5"/>
      <c r="S309" s="245"/>
    </row>
    <row r="310" spans="1:19">
      <c r="A310" s="1" t="s">
        <v>50</v>
      </c>
      <c r="B310" s="8" t="s">
        <v>270</v>
      </c>
      <c r="C310" s="422">
        <v>2.1549999999999998</v>
      </c>
      <c r="D310" s="21" t="s">
        <v>30</v>
      </c>
      <c r="E310" s="6">
        <v>5.2200000000000003E-2</v>
      </c>
      <c r="F310" s="10">
        <v>5.8000000000000003E-2</v>
      </c>
      <c r="G310" s="5">
        <f t="shared" si="60"/>
        <v>2.3398857749469215</v>
      </c>
      <c r="H310" s="21" t="s">
        <v>38</v>
      </c>
      <c r="I310" s="6">
        <f>E311</f>
        <v>0.1043</v>
      </c>
      <c r="J310" s="7">
        <v>2.2800000000000001E-2</v>
      </c>
      <c r="K310" s="5">
        <f t="shared" ref="K310:K319" si="62">+G310/(1-J310)+I310</f>
        <v>2.4987799170557934</v>
      </c>
      <c r="L310" s="21" t="s">
        <v>39</v>
      </c>
      <c r="M310" s="6">
        <v>0</v>
      </c>
      <c r="N310" s="7">
        <v>2.5000000000000001E-3</v>
      </c>
      <c r="O310" s="5">
        <f t="shared" ref="O310:O319" si="63">+K310/(1-N310)+M310</f>
        <v>2.505042523364204</v>
      </c>
      <c r="P310" s="329">
        <f>Weightings!$C$5</f>
        <v>1309.8829179244465</v>
      </c>
      <c r="Q310" s="5">
        <f t="shared" si="61"/>
        <v>4.1213316269271126E-2</v>
      </c>
      <c r="R310" s="5"/>
      <c r="S310" s="29"/>
    </row>
    <row r="311" spans="1:19">
      <c r="A311" s="1" t="s">
        <v>40</v>
      </c>
      <c r="B311" s="8" t="s">
        <v>257</v>
      </c>
      <c r="C311" s="422">
        <v>2.42</v>
      </c>
      <c r="D311" s="21" t="s">
        <v>154</v>
      </c>
      <c r="E311" s="6">
        <f>0.0951+0.0022+0.007</f>
        <v>0.1043</v>
      </c>
      <c r="F311" s="10">
        <v>2.2800000000000001E-2</v>
      </c>
      <c r="G311" s="5">
        <f t="shared" si="60"/>
        <v>2.5807633647155135</v>
      </c>
      <c r="H311" s="21" t="s">
        <v>39</v>
      </c>
      <c r="I311" s="6">
        <v>0</v>
      </c>
      <c r="J311" s="7">
        <v>2.5000000000000001E-3</v>
      </c>
      <c r="K311" s="5">
        <f t="shared" si="62"/>
        <v>2.587231443323823</v>
      </c>
      <c r="L311" s="21"/>
      <c r="M311" s="6">
        <v>0</v>
      </c>
      <c r="N311" s="7">
        <v>0</v>
      </c>
      <c r="O311" s="5">
        <f t="shared" si="63"/>
        <v>2.587231443323823</v>
      </c>
      <c r="P311" s="329">
        <f>Weightings!$C$6</f>
        <v>19813.452023725906</v>
      </c>
      <c r="Q311" s="5">
        <f t="shared" si="61"/>
        <v>0.64385105127675779</v>
      </c>
      <c r="R311" s="5"/>
      <c r="S311" s="29"/>
    </row>
    <row r="312" spans="1:19">
      <c r="A312" s="1" t="s">
        <v>41</v>
      </c>
      <c r="B312" s="8" t="s">
        <v>258</v>
      </c>
      <c r="C312" s="422">
        <v>2.4500000000000002</v>
      </c>
      <c r="D312" s="21" t="s">
        <v>155</v>
      </c>
      <c r="E312" s="6">
        <f>0.0951+0.0022+0.007</f>
        <v>0.1043</v>
      </c>
      <c r="F312" s="10">
        <v>2.2800000000000001E-2</v>
      </c>
      <c r="G312" s="5">
        <f t="shared" si="60"/>
        <v>2.6114633237822349</v>
      </c>
      <c r="H312" s="21" t="s">
        <v>39</v>
      </c>
      <c r="I312" s="6">
        <v>0</v>
      </c>
      <c r="J312" s="7">
        <v>2.5000000000000001E-3</v>
      </c>
      <c r="K312" s="5">
        <f t="shared" si="62"/>
        <v>2.6180083446438442</v>
      </c>
      <c r="L312" s="21"/>
      <c r="M312" s="6">
        <v>0</v>
      </c>
      <c r="N312" s="7">
        <v>0</v>
      </c>
      <c r="O312" s="5">
        <f t="shared" si="63"/>
        <v>2.6180083446438442</v>
      </c>
      <c r="P312" s="329">
        <f>Weightings!$C$7</f>
        <v>669.60336394048545</v>
      </c>
      <c r="Q312" s="5">
        <f t="shared" si="61"/>
        <v>2.201803887082715E-2</v>
      </c>
      <c r="R312" s="5"/>
      <c r="S312" s="245"/>
    </row>
    <row r="313" spans="1:19">
      <c r="A313" s="1" t="s">
        <v>26</v>
      </c>
      <c r="B313" s="8" t="s">
        <v>259</v>
      </c>
      <c r="C313" s="423">
        <f>C318</f>
        <v>2.1949999999999998</v>
      </c>
      <c r="D313" s="21" t="s">
        <v>31</v>
      </c>
      <c r="E313" s="609">
        <f>0.0331+0.0022+0.0097</f>
        <v>4.4999999999999998E-2</v>
      </c>
      <c r="F313" s="608">
        <v>5.04E-2</v>
      </c>
      <c r="G313" s="5">
        <f t="shared" si="60"/>
        <v>2.3564995787700083</v>
      </c>
      <c r="H313" s="21" t="s">
        <v>38</v>
      </c>
      <c r="I313" s="6">
        <f>E311</f>
        <v>0.1043</v>
      </c>
      <c r="J313" s="7">
        <v>2.2800000000000001E-2</v>
      </c>
      <c r="K313" s="5">
        <f t="shared" si="62"/>
        <v>2.5157813536328368</v>
      </c>
      <c r="L313" s="21" t="s">
        <v>39</v>
      </c>
      <c r="M313" s="6">
        <v>0</v>
      </c>
      <c r="N313" s="7">
        <v>2.5000000000000001E-3</v>
      </c>
      <c r="O313" s="5">
        <f t="shared" si="63"/>
        <v>2.5220865700579815</v>
      </c>
      <c r="P313" s="329">
        <f>Weightings!$C$8</f>
        <v>273.77460524748824</v>
      </c>
      <c r="Q313" s="5">
        <f t="shared" si="61"/>
        <v>8.6724765020303393E-3</v>
      </c>
      <c r="R313" s="5"/>
      <c r="S313" s="29"/>
    </row>
    <row r="314" spans="1:19">
      <c r="A314" s="1" t="s">
        <v>27</v>
      </c>
      <c r="B314" s="8" t="s">
        <v>103</v>
      </c>
      <c r="C314" s="423">
        <f>C319</f>
        <v>2.2599999999999998</v>
      </c>
      <c r="D314" s="21" t="s">
        <v>32</v>
      </c>
      <c r="E314" s="609">
        <f>0.0305+0.0022+0.0097</f>
        <v>4.24E-2</v>
      </c>
      <c r="F314" s="608">
        <v>4.6199999999999998E-2</v>
      </c>
      <c r="G314" s="5">
        <f t="shared" si="60"/>
        <v>2.4118694904592157</v>
      </c>
      <c r="H314" s="21" t="s">
        <v>38</v>
      </c>
      <c r="I314" s="6">
        <f>E311</f>
        <v>0.1043</v>
      </c>
      <c r="J314" s="7">
        <v>2.2800000000000001E-2</v>
      </c>
      <c r="K314" s="5">
        <f t="shared" si="62"/>
        <v>2.5724431543790582</v>
      </c>
      <c r="L314" s="21" t="s">
        <v>39</v>
      </c>
      <c r="M314" s="6">
        <v>0</v>
      </c>
      <c r="N314" s="7">
        <v>2.5000000000000001E-3</v>
      </c>
      <c r="O314" s="5">
        <f t="shared" si="63"/>
        <v>2.5788903803298826</v>
      </c>
      <c r="P314" s="329">
        <f>Weightings!$C$9</f>
        <v>6.554456479221634</v>
      </c>
      <c r="Q314" s="5">
        <f t="shared" si="61"/>
        <v>2.1230466991821548E-4</v>
      </c>
      <c r="R314" s="5"/>
      <c r="S314" s="29"/>
    </row>
    <row r="315" spans="1:19">
      <c r="A315" s="1" t="s">
        <v>0</v>
      </c>
      <c r="B315" s="8" t="s">
        <v>260</v>
      </c>
      <c r="C315" s="422">
        <v>2.2349999999999999</v>
      </c>
      <c r="D315" s="21" t="s">
        <v>37</v>
      </c>
      <c r="E315" s="6">
        <f>0.0366+0.0022</f>
        <v>3.8800000000000001E-2</v>
      </c>
      <c r="F315" s="10">
        <v>6.9699999999999996E-3</v>
      </c>
      <c r="G315" s="5">
        <f t="shared" si="60"/>
        <v>2.2894872904141872</v>
      </c>
      <c r="H315" s="21" t="s">
        <v>43</v>
      </c>
      <c r="I315" s="609">
        <f>0.017+0.0022</f>
        <v>1.9200000000000002E-2</v>
      </c>
      <c r="J315" s="608">
        <v>2.9020000000000001E-2</v>
      </c>
      <c r="K315" s="5">
        <f t="shared" si="62"/>
        <v>2.3771139533401175</v>
      </c>
      <c r="L315" s="15" t="s">
        <v>156</v>
      </c>
      <c r="M315" s="6">
        <f>E316</f>
        <v>2.2600000000000002E-2</v>
      </c>
      <c r="N315" s="10">
        <f>F316</f>
        <v>2.776E-2</v>
      </c>
      <c r="O315" s="247">
        <f t="shared" si="63"/>
        <v>2.4675867865343104</v>
      </c>
      <c r="P315" s="329">
        <f>Weightings!$C$13</f>
        <v>31370.607479626047</v>
      </c>
      <c r="Q315" s="5">
        <f t="shared" si="61"/>
        <v>0.97226655240316695</v>
      </c>
      <c r="R315" s="247"/>
      <c r="S315" s="29"/>
    </row>
    <row r="316" spans="1:19">
      <c r="A316" s="1" t="s">
        <v>1</v>
      </c>
      <c r="B316" s="8" t="s">
        <v>261</v>
      </c>
      <c r="C316" s="422">
        <v>2.38</v>
      </c>
      <c r="D316" s="21" t="s">
        <v>48</v>
      </c>
      <c r="E316" s="6">
        <f>0.0134+0.0022+0.007</f>
        <v>2.2600000000000002E-2</v>
      </c>
      <c r="F316" s="10">
        <v>2.776E-2</v>
      </c>
      <c r="G316" s="5">
        <f t="shared" si="60"/>
        <v>2.4705552373899451</v>
      </c>
      <c r="H316" s="21"/>
      <c r="I316" s="6">
        <v>0</v>
      </c>
      <c r="J316" s="7">
        <v>0</v>
      </c>
      <c r="K316" s="5">
        <f t="shared" si="62"/>
        <v>2.4705552373899451</v>
      </c>
      <c r="L316" s="15"/>
      <c r="M316" s="6">
        <v>0</v>
      </c>
      <c r="N316" s="7">
        <v>0</v>
      </c>
      <c r="O316" s="5">
        <f t="shared" si="63"/>
        <v>2.4705552373899451</v>
      </c>
      <c r="P316" s="329">
        <f>Weightings!$C$14</f>
        <v>5614.3227016821775</v>
      </c>
      <c r="Q316" s="5">
        <f t="shared" si="61"/>
        <v>0.17421354605496234</v>
      </c>
      <c r="R316" s="5"/>
      <c r="S316" s="246"/>
    </row>
    <row r="317" spans="1:19">
      <c r="A317" s="1" t="s">
        <v>2</v>
      </c>
      <c r="B317" s="8" t="s">
        <v>262</v>
      </c>
      <c r="C317" s="649">
        <v>2.165</v>
      </c>
      <c r="D317" s="21" t="s">
        <v>33</v>
      </c>
      <c r="E317" s="609">
        <f>0.0299+0.0022+0.0097</f>
        <v>4.1799999999999997E-2</v>
      </c>
      <c r="F317" s="608">
        <v>4.58E-2</v>
      </c>
      <c r="G317" s="5">
        <f t="shared" si="60"/>
        <v>2.3107163697338082</v>
      </c>
      <c r="H317" s="21" t="s">
        <v>42</v>
      </c>
      <c r="I317" s="6">
        <v>0</v>
      </c>
      <c r="J317" s="7">
        <v>0.01</v>
      </c>
      <c r="K317" s="5">
        <f t="shared" si="62"/>
        <v>2.334056939125059</v>
      </c>
      <c r="L317" s="15"/>
      <c r="M317" s="6">
        <v>0</v>
      </c>
      <c r="N317" s="7">
        <v>0</v>
      </c>
      <c r="O317" s="5">
        <f t="shared" si="63"/>
        <v>2.334056939125059</v>
      </c>
      <c r="P317" s="329">
        <f>Weightings!$C$15</f>
        <v>3366</v>
      </c>
      <c r="Q317" s="5">
        <f t="shared" si="61"/>
        <v>9.8676909426664225E-2</v>
      </c>
      <c r="R317" s="5"/>
      <c r="S317" s="29"/>
    </row>
    <row r="318" spans="1:19">
      <c r="A318" s="1" t="s">
        <v>3</v>
      </c>
      <c r="B318" s="8" t="s">
        <v>259</v>
      </c>
      <c r="C318" s="422">
        <v>2.1949999999999998</v>
      </c>
      <c r="D318" s="21" t="s">
        <v>34</v>
      </c>
      <c r="E318" s="609">
        <f>0.0277+0.0022+0.0097</f>
        <v>3.9599999999999996E-2</v>
      </c>
      <c r="F318" s="608">
        <v>4.2299999999999997E-2</v>
      </c>
      <c r="G318" s="5">
        <f t="shared" si="60"/>
        <v>2.3315494622533151</v>
      </c>
      <c r="H318" s="21" t="s">
        <v>42</v>
      </c>
      <c r="I318" s="6">
        <v>0</v>
      </c>
      <c r="J318" s="7">
        <v>0.01</v>
      </c>
      <c r="K318" s="5">
        <f t="shared" si="62"/>
        <v>2.3551004669225404</v>
      </c>
      <c r="M318" s="6">
        <v>0</v>
      </c>
      <c r="N318" s="7">
        <v>0</v>
      </c>
      <c r="O318" s="5">
        <f t="shared" si="63"/>
        <v>2.3551004669225404</v>
      </c>
      <c r="P318" s="329">
        <f>Weightings!$C$16</f>
        <v>4950</v>
      </c>
      <c r="Q318" s="5">
        <f t="shared" si="61"/>
        <v>0.14642142133677857</v>
      </c>
      <c r="R318" s="5"/>
      <c r="S318" s="29"/>
    </row>
    <row r="319" spans="1:19">
      <c r="A319" s="1" t="s">
        <v>4</v>
      </c>
      <c r="B319" s="8" t="s">
        <v>103</v>
      </c>
      <c r="C319" s="422">
        <v>2.2599999999999998</v>
      </c>
      <c r="D319" s="21" t="s">
        <v>35</v>
      </c>
      <c r="E319" s="609">
        <f>0.0251+0.0022+0.0097</f>
        <v>3.7000000000000005E-2</v>
      </c>
      <c r="F319" s="608">
        <v>3.8100000000000002E-2</v>
      </c>
      <c r="G319" s="5">
        <f t="shared" si="60"/>
        <v>2.3865165817652558</v>
      </c>
      <c r="H319" s="21" t="s">
        <v>42</v>
      </c>
      <c r="I319" s="6">
        <v>0</v>
      </c>
      <c r="J319" s="7">
        <v>0.01</v>
      </c>
      <c r="K319" s="5">
        <f t="shared" si="62"/>
        <v>2.4106228098638947</v>
      </c>
      <c r="M319" s="6">
        <v>0</v>
      </c>
      <c r="N319" s="7">
        <v>0</v>
      </c>
      <c r="O319" s="5">
        <f t="shared" si="63"/>
        <v>2.4106228098638947</v>
      </c>
      <c r="P319" s="329">
        <f>Weightings!$C$17</f>
        <v>11172.172715894869</v>
      </c>
      <c r="Q319" s="5">
        <f t="shared" si="61"/>
        <v>0.33826485939398138</v>
      </c>
      <c r="R319" s="5"/>
      <c r="S319" s="29"/>
    </row>
    <row r="320" spans="1:19">
      <c r="O320" s="35"/>
      <c r="P320" s="67"/>
      <c r="Q320" s="35"/>
      <c r="R320" s="35"/>
      <c r="S320" s="244"/>
    </row>
    <row r="321" spans="1:19" ht="13.5" thickBot="1">
      <c r="O321" s="36"/>
      <c r="P321" s="330"/>
      <c r="Q321" s="36"/>
      <c r="R321" s="36"/>
    </row>
    <row r="322" spans="1:19" ht="13.5" thickBot="1">
      <c r="O322" s="331" t="s">
        <v>198</v>
      </c>
      <c r="P322" s="332"/>
      <c r="Q322" s="333">
        <f>SUM(Q309:Q319)</f>
        <v>2.4794196139819515</v>
      </c>
      <c r="R322" s="424">
        <f>B307</f>
        <v>37180</v>
      </c>
    </row>
    <row r="323" spans="1:19">
      <c r="O323" s="35"/>
      <c r="P323" s="35"/>
      <c r="Q323" s="35"/>
      <c r="R323" s="35"/>
      <c r="S323" s="35"/>
    </row>
    <row r="324" spans="1:19">
      <c r="D324" s="21"/>
      <c r="H324" s="5"/>
      <c r="O324" s="36" t="s">
        <v>263</v>
      </c>
      <c r="P324" s="404">
        <f>Weightings!C323</f>
        <v>0</v>
      </c>
      <c r="Q324" s="35" t="s">
        <v>206</v>
      </c>
      <c r="R324" s="344" t="s">
        <v>208</v>
      </c>
      <c r="S324" s="35"/>
    </row>
    <row r="325" spans="1:19" ht="13.5" thickBot="1">
      <c r="A325" s="675"/>
      <c r="B325" s="676"/>
      <c r="C325" s="675"/>
      <c r="D325" s="677"/>
      <c r="E325" s="675"/>
      <c r="F325" s="675"/>
      <c r="G325" s="675"/>
      <c r="H325" s="678"/>
      <c r="I325" s="675"/>
      <c r="J325" s="675"/>
      <c r="K325" s="675"/>
      <c r="L325" s="675"/>
      <c r="M325" s="675"/>
      <c r="N325" s="675"/>
      <c r="O325" s="675"/>
      <c r="P325" s="679"/>
      <c r="Q325" s="675"/>
      <c r="R325" s="675"/>
      <c r="S325" s="675"/>
    </row>
    <row r="326" spans="1:19" ht="14.25" thickTop="1" thickBot="1">
      <c r="A326" s="2"/>
      <c r="B326" s="28"/>
      <c r="D326" s="3" t="s">
        <v>10</v>
      </c>
      <c r="H326" s="3" t="s">
        <v>11</v>
      </c>
      <c r="L326" s="3" t="s">
        <v>12</v>
      </c>
    </row>
    <row r="327" spans="1:19" ht="14.25" thickTop="1" thickBot="1">
      <c r="A327" s="421" t="s">
        <v>255</v>
      </c>
      <c r="B327" s="433">
        <f>B307+1</f>
        <v>37181</v>
      </c>
      <c r="C327" s="434">
        <f>Q342</f>
        <v>2.7852036003733875</v>
      </c>
      <c r="E327" s="624"/>
    </row>
    <row r="328" spans="1:19" ht="54" customHeight="1" thickTop="1">
      <c r="A328" s="2" t="s">
        <v>5</v>
      </c>
      <c r="B328" s="9" t="s">
        <v>46</v>
      </c>
      <c r="C328" s="18" t="s">
        <v>256</v>
      </c>
      <c r="D328" s="14" t="s">
        <v>28</v>
      </c>
      <c r="E328" s="4" t="s">
        <v>7</v>
      </c>
      <c r="F328" s="4" t="s">
        <v>8</v>
      </c>
      <c r="G328" s="4" t="s">
        <v>9</v>
      </c>
      <c r="H328" s="14" t="s">
        <v>28</v>
      </c>
      <c r="I328" s="4" t="s">
        <v>7</v>
      </c>
      <c r="J328" s="4" t="s">
        <v>8</v>
      </c>
      <c r="K328" s="4" t="s">
        <v>9</v>
      </c>
      <c r="L328" s="14" t="s">
        <v>28</v>
      </c>
      <c r="M328" s="4" t="s">
        <v>7</v>
      </c>
      <c r="N328" s="4" t="s">
        <v>8</v>
      </c>
      <c r="O328" s="4" t="s">
        <v>9</v>
      </c>
      <c r="P328" s="4" t="s">
        <v>193</v>
      </c>
      <c r="Q328" s="4" t="s">
        <v>197</v>
      </c>
      <c r="R328" s="4"/>
      <c r="S328" s="4"/>
    </row>
    <row r="329" spans="1:19">
      <c r="A329" s="1" t="s">
        <v>49</v>
      </c>
      <c r="B329" s="8" t="s">
        <v>269</v>
      </c>
      <c r="C329" s="422">
        <v>2.4449999999999998</v>
      </c>
      <c r="D329" s="21" t="s">
        <v>29</v>
      </c>
      <c r="E329" s="6">
        <v>5.2200000000000003E-2</v>
      </c>
      <c r="F329" s="10">
        <v>5.0599999999999999E-2</v>
      </c>
      <c r="G329" s="5">
        <f t="shared" ref="G329:G339" si="64">+C329/(1-F329)+E329</f>
        <v>2.6275107225616177</v>
      </c>
      <c r="H329" s="21" t="s">
        <v>38</v>
      </c>
      <c r="I329" s="6">
        <f>E331</f>
        <v>0.1043</v>
      </c>
      <c r="J329" s="7">
        <v>2.2800000000000001E-2</v>
      </c>
      <c r="K329" s="5">
        <f>+G329/(1-J329)+I329</f>
        <v>2.7931157210004272</v>
      </c>
      <c r="L329" s="21" t="s">
        <v>39</v>
      </c>
      <c r="M329" s="6">
        <v>0</v>
      </c>
      <c r="N329" s="7">
        <v>2.5000000000000001E-3</v>
      </c>
      <c r="O329" s="5">
        <f>+K329/(1-N329)+M329</f>
        <v>2.8001160110279968</v>
      </c>
      <c r="P329" s="329">
        <f>Weightings!$C$4</f>
        <v>1071.401539872767</v>
      </c>
      <c r="Q329" s="5">
        <f t="shared" ref="Q329:Q339" si="65">+P329/SUM($P$9:$P$19)*O329</f>
        <v>3.7680640113973138E-2</v>
      </c>
      <c r="R329" s="5"/>
      <c r="S329" s="245"/>
    </row>
    <row r="330" spans="1:19">
      <c r="A330" s="1" t="s">
        <v>50</v>
      </c>
      <c r="B330" s="8" t="s">
        <v>270</v>
      </c>
      <c r="C330" s="422">
        <v>2.4249999999999998</v>
      </c>
      <c r="D330" s="21" t="s">
        <v>30</v>
      </c>
      <c r="E330" s="6">
        <v>5.2200000000000003E-2</v>
      </c>
      <c r="F330" s="10">
        <v>5.8000000000000003E-2</v>
      </c>
      <c r="G330" s="5">
        <f t="shared" si="64"/>
        <v>2.6265099787685773</v>
      </c>
      <c r="H330" s="21" t="s">
        <v>38</v>
      </c>
      <c r="I330" s="6">
        <f>E331</f>
        <v>0.1043</v>
      </c>
      <c r="J330" s="7">
        <v>2.2800000000000001E-2</v>
      </c>
      <c r="K330" s="5">
        <f t="shared" ref="K330:K339" si="66">+G330/(1-J330)+I330</f>
        <v>2.7920916278843402</v>
      </c>
      <c r="L330" s="21" t="s">
        <v>39</v>
      </c>
      <c r="M330" s="6">
        <v>0</v>
      </c>
      <c r="N330" s="7">
        <v>2.5000000000000001E-3</v>
      </c>
      <c r="O330" s="5">
        <f t="shared" ref="O330:O339" si="67">+K330/(1-N330)+M330</f>
        <v>2.7990893512624964</v>
      </c>
      <c r="P330" s="329">
        <f>Weightings!$C$5</f>
        <v>1309.8829179244465</v>
      </c>
      <c r="Q330" s="5">
        <f t="shared" si="65"/>
        <v>4.6051016549054496E-2</v>
      </c>
      <c r="R330" s="5"/>
      <c r="S330" s="29"/>
    </row>
    <row r="331" spans="1:19">
      <c r="A331" s="1" t="s">
        <v>40</v>
      </c>
      <c r="B331" s="8" t="s">
        <v>257</v>
      </c>
      <c r="C331" s="422">
        <v>2.77</v>
      </c>
      <c r="D331" s="21" t="s">
        <v>154</v>
      </c>
      <c r="E331" s="6">
        <f>0.0951+0.0022+0.007</f>
        <v>0.1043</v>
      </c>
      <c r="F331" s="10">
        <v>2.2800000000000001E-2</v>
      </c>
      <c r="G331" s="5">
        <f t="shared" si="64"/>
        <v>2.9389295538272617</v>
      </c>
      <c r="H331" s="21" t="s">
        <v>39</v>
      </c>
      <c r="I331" s="6">
        <v>0</v>
      </c>
      <c r="J331" s="7">
        <v>2.5000000000000001E-3</v>
      </c>
      <c r="K331" s="5">
        <f t="shared" si="66"/>
        <v>2.946295292057405</v>
      </c>
      <c r="L331" s="21"/>
      <c r="M331" s="6">
        <v>0</v>
      </c>
      <c r="N331" s="7">
        <v>0</v>
      </c>
      <c r="O331" s="5">
        <f t="shared" si="67"/>
        <v>2.946295292057405</v>
      </c>
      <c r="P331" s="329">
        <f>Weightings!$C$6</f>
        <v>19813.452023725906</v>
      </c>
      <c r="Q331" s="5">
        <f t="shared" si="65"/>
        <v>0.73320665843712585</v>
      </c>
      <c r="R331" s="5"/>
      <c r="S331" s="29"/>
    </row>
    <row r="332" spans="1:19">
      <c r="A332" s="1" t="s">
        <v>41</v>
      </c>
      <c r="B332" s="8" t="s">
        <v>258</v>
      </c>
      <c r="C332" s="422">
        <v>2.81</v>
      </c>
      <c r="D332" s="21" t="s">
        <v>155</v>
      </c>
      <c r="E332" s="6">
        <f>0.0951+0.0022+0.007</f>
        <v>0.1043</v>
      </c>
      <c r="F332" s="10">
        <v>2.2800000000000001E-2</v>
      </c>
      <c r="G332" s="5">
        <f t="shared" si="64"/>
        <v>2.97986283258289</v>
      </c>
      <c r="H332" s="21" t="s">
        <v>39</v>
      </c>
      <c r="I332" s="6">
        <v>0</v>
      </c>
      <c r="J332" s="7">
        <v>2.5000000000000001E-3</v>
      </c>
      <c r="K332" s="5">
        <f t="shared" si="66"/>
        <v>2.9873311604841</v>
      </c>
      <c r="L332" s="21"/>
      <c r="M332" s="6">
        <v>0</v>
      </c>
      <c r="N332" s="7">
        <v>0</v>
      </c>
      <c r="O332" s="5">
        <f t="shared" si="67"/>
        <v>2.9873311604841</v>
      </c>
      <c r="P332" s="329">
        <f>Weightings!$C$7</f>
        <v>669.60336394048545</v>
      </c>
      <c r="Q332" s="5">
        <f t="shared" si="65"/>
        <v>2.5124126798961824E-2</v>
      </c>
      <c r="R332" s="5"/>
      <c r="S332" s="245"/>
    </row>
    <row r="333" spans="1:19">
      <c r="A333" s="1" t="s">
        <v>26</v>
      </c>
      <c r="B333" s="8" t="s">
        <v>259</v>
      </c>
      <c r="C333" s="423">
        <f>C338</f>
        <v>2.4700000000000002</v>
      </c>
      <c r="D333" s="21" t="s">
        <v>31</v>
      </c>
      <c r="E333" s="609">
        <f>0.0331+0.0022+0.0097</f>
        <v>4.4999999999999998E-2</v>
      </c>
      <c r="F333" s="608">
        <v>5.04E-2</v>
      </c>
      <c r="G333" s="5">
        <f t="shared" si="64"/>
        <v>2.646095197978096</v>
      </c>
      <c r="H333" s="21" t="s">
        <v>38</v>
      </c>
      <c r="I333" s="6">
        <f>E331</f>
        <v>0.1043</v>
      </c>
      <c r="J333" s="7">
        <v>2.2800000000000001E-2</v>
      </c>
      <c r="K333" s="5">
        <f t="shared" si="66"/>
        <v>2.8121338088191732</v>
      </c>
      <c r="L333" s="21" t="s">
        <v>39</v>
      </c>
      <c r="M333" s="6">
        <v>0</v>
      </c>
      <c r="N333" s="7">
        <v>2.5000000000000001E-3</v>
      </c>
      <c r="O333" s="5">
        <f t="shared" si="67"/>
        <v>2.8191817632272413</v>
      </c>
      <c r="P333" s="329">
        <f>Weightings!$C$8</f>
        <v>273.77460524748824</v>
      </c>
      <c r="Q333" s="5">
        <f t="shared" si="65"/>
        <v>9.694071522683154E-3</v>
      </c>
      <c r="R333" s="5"/>
      <c r="S333" s="29"/>
    </row>
    <row r="334" spans="1:19">
      <c r="A334" s="1" t="s">
        <v>27</v>
      </c>
      <c r="B334" s="8" t="s">
        <v>103</v>
      </c>
      <c r="C334" s="423">
        <f>C339</f>
        <v>2.5499999999999998</v>
      </c>
      <c r="D334" s="21" t="s">
        <v>32</v>
      </c>
      <c r="E334" s="609">
        <f>0.0305+0.0022+0.0097</f>
        <v>4.24E-2</v>
      </c>
      <c r="F334" s="608">
        <v>4.6199999999999998E-2</v>
      </c>
      <c r="G334" s="5">
        <f t="shared" si="64"/>
        <v>2.7159164604738941</v>
      </c>
      <c r="H334" s="21" t="s">
        <v>38</v>
      </c>
      <c r="I334" s="6">
        <f>E331</f>
        <v>0.1043</v>
      </c>
      <c r="J334" s="7">
        <v>2.2800000000000001E-2</v>
      </c>
      <c r="K334" s="5">
        <f t="shared" si="66"/>
        <v>2.8835841388394332</v>
      </c>
      <c r="L334" s="21" t="s">
        <v>39</v>
      </c>
      <c r="M334" s="6">
        <v>0</v>
      </c>
      <c r="N334" s="7">
        <v>2.5000000000000001E-3</v>
      </c>
      <c r="O334" s="5">
        <f t="shared" si="67"/>
        <v>2.8908111667563237</v>
      </c>
      <c r="P334" s="329">
        <f>Weightings!$C$9</f>
        <v>6.554456479221634</v>
      </c>
      <c r="Q334" s="5">
        <f t="shared" si="65"/>
        <v>2.3798324862322613E-4</v>
      </c>
      <c r="R334" s="5"/>
      <c r="S334" s="29"/>
    </row>
    <row r="335" spans="1:19">
      <c r="A335" s="1" t="s">
        <v>0</v>
      </c>
      <c r="B335" s="8" t="s">
        <v>260</v>
      </c>
      <c r="C335" s="422">
        <v>2.5</v>
      </c>
      <c r="D335" s="21" t="s">
        <v>37</v>
      </c>
      <c r="E335" s="6">
        <f>0.0366+0.0022</f>
        <v>3.8800000000000001E-2</v>
      </c>
      <c r="F335" s="10">
        <v>6.9699999999999996E-3</v>
      </c>
      <c r="G335" s="5">
        <f t="shared" si="64"/>
        <v>2.5563473047138556</v>
      </c>
      <c r="H335" s="21" t="s">
        <v>43</v>
      </c>
      <c r="I335" s="609">
        <f>0.017+0.0022</f>
        <v>1.9200000000000002E-2</v>
      </c>
      <c r="J335" s="608">
        <v>2.9020000000000001E-2</v>
      </c>
      <c r="K335" s="5">
        <f t="shared" si="66"/>
        <v>2.651949701037978</v>
      </c>
      <c r="L335" s="15" t="s">
        <v>156</v>
      </c>
      <c r="M335" s="6">
        <f>E336</f>
        <v>2.2600000000000002E-2</v>
      </c>
      <c r="N335" s="10">
        <f>F336</f>
        <v>2.776E-2</v>
      </c>
      <c r="O335" s="247">
        <f t="shared" si="67"/>
        <v>2.7502698151053013</v>
      </c>
      <c r="P335" s="329">
        <f>Weightings!$C$13</f>
        <v>31370.607479626047</v>
      </c>
      <c r="Q335" s="5">
        <f t="shared" si="65"/>
        <v>1.0836479453946639</v>
      </c>
      <c r="R335" s="247"/>
      <c r="S335" s="29"/>
    </row>
    <row r="336" spans="1:19">
      <c r="A336" s="1" t="s">
        <v>1</v>
      </c>
      <c r="B336" s="8" t="s">
        <v>261</v>
      </c>
      <c r="C336" s="422">
        <v>2.65</v>
      </c>
      <c r="D336" s="21" t="s">
        <v>48</v>
      </c>
      <c r="E336" s="6">
        <f>0.0134+0.0022+0.007</f>
        <v>2.2600000000000002E-2</v>
      </c>
      <c r="F336" s="10">
        <v>2.776E-2</v>
      </c>
      <c r="G336" s="5">
        <f t="shared" si="64"/>
        <v>2.7482644449930058</v>
      </c>
      <c r="H336" s="21"/>
      <c r="I336" s="6">
        <v>0</v>
      </c>
      <c r="J336" s="7">
        <v>0</v>
      </c>
      <c r="K336" s="5">
        <f t="shared" si="66"/>
        <v>2.7482644449930058</v>
      </c>
      <c r="L336" s="15"/>
      <c r="M336" s="6">
        <v>0</v>
      </c>
      <c r="N336" s="7">
        <v>0</v>
      </c>
      <c r="O336" s="5">
        <f t="shared" si="67"/>
        <v>2.7482644449930058</v>
      </c>
      <c r="P336" s="329">
        <f>Weightings!$C$14</f>
        <v>5614.3227016821775</v>
      </c>
      <c r="Q336" s="5">
        <f t="shared" si="65"/>
        <v>0.19379647425524635</v>
      </c>
      <c r="R336" s="5"/>
      <c r="S336" s="246"/>
    </row>
    <row r="337" spans="1:19">
      <c r="A337" s="1" t="s">
        <v>2</v>
      </c>
      <c r="B337" s="8" t="s">
        <v>262</v>
      </c>
      <c r="C337" s="649">
        <v>2.4249999999999998</v>
      </c>
      <c r="D337" s="21" t="s">
        <v>33</v>
      </c>
      <c r="E337" s="609">
        <f>0.0299+0.0022+0.0097</f>
        <v>4.1799999999999997E-2</v>
      </c>
      <c r="F337" s="608">
        <v>4.58E-2</v>
      </c>
      <c r="G337" s="5">
        <f t="shared" si="64"/>
        <v>2.5831959337665054</v>
      </c>
      <c r="H337" s="21" t="s">
        <v>42</v>
      </c>
      <c r="I337" s="6">
        <v>0</v>
      </c>
      <c r="J337" s="7">
        <v>0.01</v>
      </c>
      <c r="K337" s="5">
        <f t="shared" si="66"/>
        <v>2.609288821986369</v>
      </c>
      <c r="L337" s="15"/>
      <c r="M337" s="6">
        <v>0</v>
      </c>
      <c r="N337" s="7">
        <v>0</v>
      </c>
      <c r="O337" s="5">
        <f t="shared" si="67"/>
        <v>2.609288821986369</v>
      </c>
      <c r="P337" s="329">
        <f>Weightings!$C$15</f>
        <v>3366</v>
      </c>
      <c r="Q337" s="5">
        <f t="shared" si="65"/>
        <v>0.11031288587658603</v>
      </c>
      <c r="R337" s="5"/>
      <c r="S337" s="29"/>
    </row>
    <row r="338" spans="1:19">
      <c r="A338" s="1" t="s">
        <v>3</v>
      </c>
      <c r="B338" s="8" t="s">
        <v>259</v>
      </c>
      <c r="C338" s="422">
        <v>2.4700000000000002</v>
      </c>
      <c r="D338" s="21" t="s">
        <v>34</v>
      </c>
      <c r="E338" s="609">
        <f>0.0277+0.0022+0.0097</f>
        <v>3.9599999999999996E-2</v>
      </c>
      <c r="F338" s="608">
        <v>4.2299999999999997E-2</v>
      </c>
      <c r="G338" s="5">
        <f t="shared" si="64"/>
        <v>2.6186957502349379</v>
      </c>
      <c r="H338" s="21" t="s">
        <v>42</v>
      </c>
      <c r="I338" s="6">
        <v>0</v>
      </c>
      <c r="J338" s="7">
        <v>0.01</v>
      </c>
      <c r="K338" s="5">
        <f t="shared" si="66"/>
        <v>2.6451472224595332</v>
      </c>
      <c r="M338" s="6">
        <v>0</v>
      </c>
      <c r="N338" s="7">
        <v>0</v>
      </c>
      <c r="O338" s="5">
        <f t="shared" si="67"/>
        <v>2.6451472224595332</v>
      </c>
      <c r="P338" s="329">
        <f>Weightings!$C$16</f>
        <v>4950</v>
      </c>
      <c r="Q338" s="5">
        <f t="shared" si="65"/>
        <v>0.16445422239827334</v>
      </c>
      <c r="R338" s="5"/>
      <c r="S338" s="29"/>
    </row>
    <row r="339" spans="1:19">
      <c r="A339" s="1" t="s">
        <v>4</v>
      </c>
      <c r="B339" s="8" t="s">
        <v>103</v>
      </c>
      <c r="C339" s="422">
        <v>2.5499999999999998</v>
      </c>
      <c r="D339" s="21" t="s">
        <v>35</v>
      </c>
      <c r="E339" s="609">
        <f>0.0251+0.0022+0.0097</f>
        <v>3.7000000000000005E-2</v>
      </c>
      <c r="F339" s="608">
        <v>3.8100000000000002E-2</v>
      </c>
      <c r="G339" s="5">
        <f t="shared" si="64"/>
        <v>2.6880032227882316</v>
      </c>
      <c r="H339" s="21" t="s">
        <v>42</v>
      </c>
      <c r="I339" s="6">
        <v>0</v>
      </c>
      <c r="J339" s="7">
        <v>0.01</v>
      </c>
      <c r="K339" s="5">
        <f t="shared" si="66"/>
        <v>2.7151547704931631</v>
      </c>
      <c r="M339" s="6">
        <v>0</v>
      </c>
      <c r="N339" s="7">
        <v>0</v>
      </c>
      <c r="O339" s="5">
        <f t="shared" si="67"/>
        <v>2.7151547704931631</v>
      </c>
      <c r="P339" s="329">
        <f>Weightings!$C$17</f>
        <v>11172.172715894869</v>
      </c>
      <c r="Q339" s="5">
        <f t="shared" si="65"/>
        <v>0.38099757577819626</v>
      </c>
      <c r="R339" s="5"/>
      <c r="S339" s="29"/>
    </row>
    <row r="340" spans="1:19">
      <c r="O340" s="35"/>
      <c r="P340" s="67"/>
      <c r="Q340" s="35"/>
      <c r="R340" s="35"/>
      <c r="S340" s="244"/>
    </row>
    <row r="341" spans="1:19" ht="13.5" thickBot="1">
      <c r="O341" s="36"/>
      <c r="P341" s="330"/>
      <c r="Q341" s="36"/>
      <c r="R341" s="36"/>
    </row>
    <row r="342" spans="1:19" ht="13.5" thickBot="1">
      <c r="O342" s="331" t="s">
        <v>198</v>
      </c>
      <c r="P342" s="332"/>
      <c r="Q342" s="333">
        <f>SUM(Q329:Q339)</f>
        <v>2.7852036003733875</v>
      </c>
      <c r="R342" s="424">
        <f>B327</f>
        <v>37181</v>
      </c>
    </row>
    <row r="343" spans="1:19">
      <c r="O343" s="35"/>
      <c r="P343" s="35"/>
      <c r="Q343" s="35"/>
      <c r="R343" s="35"/>
      <c r="S343" s="35"/>
    </row>
    <row r="344" spans="1:19">
      <c r="D344" s="21"/>
      <c r="H344" s="5"/>
      <c r="O344" s="36" t="s">
        <v>263</v>
      </c>
      <c r="P344" s="404">
        <f>Weightings!C343</f>
        <v>0</v>
      </c>
      <c r="Q344" s="35" t="s">
        <v>206</v>
      </c>
      <c r="R344" s="344" t="s">
        <v>208</v>
      </c>
      <c r="S344" s="35"/>
    </row>
    <row r="345" spans="1:19" ht="13.5" thickBot="1">
      <c r="A345" s="675"/>
      <c r="B345" s="676"/>
      <c r="C345" s="675"/>
      <c r="D345" s="677"/>
      <c r="E345" s="675"/>
      <c r="F345" s="675"/>
      <c r="G345" s="675"/>
      <c r="H345" s="678"/>
      <c r="I345" s="675"/>
      <c r="J345" s="675"/>
      <c r="K345" s="675"/>
      <c r="L345" s="675"/>
      <c r="M345" s="675"/>
      <c r="N345" s="675"/>
      <c r="O345" s="675"/>
      <c r="P345" s="679"/>
      <c r="Q345" s="675"/>
      <c r="R345" s="675"/>
      <c r="S345" s="675"/>
    </row>
    <row r="346" spans="1:19" ht="14.25" thickTop="1" thickBot="1">
      <c r="A346" s="2"/>
      <c r="B346" s="28"/>
      <c r="D346" s="3" t="s">
        <v>10</v>
      </c>
      <c r="H346" s="3" t="s">
        <v>11</v>
      </c>
      <c r="L346" s="3" t="s">
        <v>12</v>
      </c>
    </row>
    <row r="347" spans="1:19" ht="14.25" thickTop="1" thickBot="1">
      <c r="A347" s="421" t="s">
        <v>255</v>
      </c>
      <c r="B347" s="433">
        <f>B327+1</f>
        <v>37182</v>
      </c>
      <c r="C347" s="434">
        <f>Q362</f>
        <v>2.9559766847612208</v>
      </c>
      <c r="E347" s="624"/>
    </row>
    <row r="348" spans="1:19" ht="54" customHeight="1" thickTop="1">
      <c r="A348" s="2" t="s">
        <v>5</v>
      </c>
      <c r="B348" s="9" t="s">
        <v>46</v>
      </c>
      <c r="C348" s="18" t="s">
        <v>256</v>
      </c>
      <c r="D348" s="14" t="s">
        <v>28</v>
      </c>
      <c r="E348" s="4" t="s">
        <v>7</v>
      </c>
      <c r="F348" s="4" t="s">
        <v>8</v>
      </c>
      <c r="G348" s="4" t="s">
        <v>9</v>
      </c>
      <c r="H348" s="14" t="s">
        <v>28</v>
      </c>
      <c r="I348" s="4" t="s">
        <v>7</v>
      </c>
      <c r="J348" s="4" t="s">
        <v>8</v>
      </c>
      <c r="K348" s="4" t="s">
        <v>9</v>
      </c>
      <c r="L348" s="14" t="s">
        <v>28</v>
      </c>
      <c r="M348" s="4" t="s">
        <v>7</v>
      </c>
      <c r="N348" s="4" t="s">
        <v>8</v>
      </c>
      <c r="O348" s="4" t="s">
        <v>9</v>
      </c>
      <c r="P348" s="4" t="s">
        <v>193</v>
      </c>
      <c r="Q348" s="4" t="s">
        <v>197</v>
      </c>
      <c r="R348" s="4"/>
      <c r="S348" s="4"/>
    </row>
    <row r="349" spans="1:19">
      <c r="A349" s="1" t="s">
        <v>49</v>
      </c>
      <c r="B349" s="8" t="s">
        <v>269</v>
      </c>
      <c r="C349" s="422">
        <v>2.625</v>
      </c>
      <c r="D349" s="21" t="s">
        <v>29</v>
      </c>
      <c r="E349" s="6">
        <v>5.2200000000000003E-2</v>
      </c>
      <c r="F349" s="10">
        <v>5.0599999999999999E-2</v>
      </c>
      <c r="G349" s="5">
        <f t="shared" ref="G349:G359" si="68">+C349/(1-F349)+E349</f>
        <v>2.8171041499894671</v>
      </c>
      <c r="H349" s="21" t="s">
        <v>38</v>
      </c>
      <c r="I349" s="6">
        <f>E351</f>
        <v>0.1043</v>
      </c>
      <c r="J349" s="7">
        <v>2.2800000000000001E-2</v>
      </c>
      <c r="K349" s="5">
        <f>+G349/(1-J349)+I349</f>
        <v>2.9871327363789062</v>
      </c>
      <c r="L349" s="21" t="s">
        <v>39</v>
      </c>
      <c r="M349" s="6">
        <v>0</v>
      </c>
      <c r="N349" s="7">
        <v>2.5000000000000001E-3</v>
      </c>
      <c r="O349" s="5">
        <f>+K349/(1-N349)+M349</f>
        <v>2.9946192845903821</v>
      </c>
      <c r="P349" s="329">
        <f>Weightings!$C$4</f>
        <v>1071.401539872767</v>
      </c>
      <c r="Q349" s="5">
        <f t="shared" ref="Q349:Q359" si="69">+P349/SUM($P$9:$P$19)*O349</f>
        <v>4.0298034473074437E-2</v>
      </c>
      <c r="R349" s="5"/>
      <c r="S349" s="245"/>
    </row>
    <row r="350" spans="1:19">
      <c r="A350" s="1" t="s">
        <v>50</v>
      </c>
      <c r="B350" s="8" t="s">
        <v>270</v>
      </c>
      <c r="C350" s="422">
        <v>2.59</v>
      </c>
      <c r="D350" s="21" t="s">
        <v>30</v>
      </c>
      <c r="E350" s="6">
        <v>5.2200000000000003E-2</v>
      </c>
      <c r="F350" s="10">
        <v>5.8000000000000003E-2</v>
      </c>
      <c r="G350" s="5">
        <f t="shared" si="68"/>
        <v>2.8016692144373674</v>
      </c>
      <c r="H350" s="21" t="s">
        <v>38</v>
      </c>
      <c r="I350" s="6">
        <f>E351</f>
        <v>0.1043</v>
      </c>
      <c r="J350" s="7">
        <v>2.2800000000000001E-2</v>
      </c>
      <c r="K350" s="5">
        <f t="shared" ref="K350:K359" si="70">+G350/(1-J350)+I350</f>
        <v>2.9713376733906749</v>
      </c>
      <c r="L350" s="21" t="s">
        <v>39</v>
      </c>
      <c r="M350" s="6">
        <v>0</v>
      </c>
      <c r="N350" s="7">
        <v>2.5000000000000001E-3</v>
      </c>
      <c r="O350" s="5">
        <f t="shared" ref="O350:O359" si="71">+K350/(1-N350)+M350</f>
        <v>2.97878463497812</v>
      </c>
      <c r="P350" s="329">
        <f>Weightings!$C$5</f>
        <v>1309.8829179244465</v>
      </c>
      <c r="Q350" s="5">
        <f t="shared" si="69"/>
        <v>4.9007388942255453E-2</v>
      </c>
      <c r="R350" s="5"/>
      <c r="S350" s="29"/>
    </row>
    <row r="351" spans="1:19">
      <c r="A351" s="1" t="s">
        <v>40</v>
      </c>
      <c r="B351" s="8" t="s">
        <v>257</v>
      </c>
      <c r="C351" s="422">
        <v>2.95</v>
      </c>
      <c r="D351" s="21" t="s">
        <v>154</v>
      </c>
      <c r="E351" s="6">
        <f>0.0951+0.0022+0.007</f>
        <v>0.1043</v>
      </c>
      <c r="F351" s="10">
        <v>2.2800000000000001E-2</v>
      </c>
      <c r="G351" s="5">
        <f t="shared" si="68"/>
        <v>3.1231293082275893</v>
      </c>
      <c r="H351" s="21" t="s">
        <v>39</v>
      </c>
      <c r="I351" s="6">
        <v>0</v>
      </c>
      <c r="J351" s="7">
        <v>2.5000000000000001E-3</v>
      </c>
      <c r="K351" s="5">
        <f t="shared" si="70"/>
        <v>3.1309566999775331</v>
      </c>
      <c r="L351" s="21"/>
      <c r="M351" s="6">
        <v>0</v>
      </c>
      <c r="N351" s="7">
        <v>0</v>
      </c>
      <c r="O351" s="5">
        <f t="shared" si="71"/>
        <v>3.1309566999775331</v>
      </c>
      <c r="P351" s="329">
        <f>Weightings!$C$6</f>
        <v>19813.452023725906</v>
      </c>
      <c r="Q351" s="5">
        <f t="shared" si="69"/>
        <v>0.77916097069102952</v>
      </c>
      <c r="R351" s="5"/>
      <c r="S351" s="29"/>
    </row>
    <row r="352" spans="1:19">
      <c r="A352" s="1" t="s">
        <v>41</v>
      </c>
      <c r="B352" s="8" t="s">
        <v>258</v>
      </c>
      <c r="C352" s="422">
        <v>3.07</v>
      </c>
      <c r="D352" s="21" t="s">
        <v>155</v>
      </c>
      <c r="E352" s="6">
        <f>0.0951+0.0022+0.007</f>
        <v>0.1043</v>
      </c>
      <c r="F352" s="10">
        <v>2.2800000000000001E-2</v>
      </c>
      <c r="G352" s="5">
        <f t="shared" si="68"/>
        <v>3.245929144494474</v>
      </c>
      <c r="H352" s="21" t="s">
        <v>39</v>
      </c>
      <c r="I352" s="6">
        <v>0</v>
      </c>
      <c r="J352" s="7">
        <v>2.5000000000000001E-3</v>
      </c>
      <c r="K352" s="5">
        <f t="shared" si="70"/>
        <v>3.2540643052576179</v>
      </c>
      <c r="L352" s="21"/>
      <c r="M352" s="6">
        <v>0</v>
      </c>
      <c r="N352" s="7">
        <v>0</v>
      </c>
      <c r="O352" s="5">
        <f t="shared" si="71"/>
        <v>3.2540643052576179</v>
      </c>
      <c r="P352" s="329">
        <f>Weightings!$C$7</f>
        <v>669.60336394048545</v>
      </c>
      <c r="Q352" s="5">
        <f t="shared" si="69"/>
        <v>2.7367412524836866E-2</v>
      </c>
      <c r="R352" s="5"/>
      <c r="S352" s="245"/>
    </row>
    <row r="353" spans="1:19">
      <c r="A353" s="1" t="s">
        <v>26</v>
      </c>
      <c r="B353" s="8" t="s">
        <v>259</v>
      </c>
      <c r="C353" s="423">
        <f>C358</f>
        <v>2.64</v>
      </c>
      <c r="D353" s="21" t="s">
        <v>31</v>
      </c>
      <c r="E353" s="609">
        <f>0.0331+0.0022+0.0097</f>
        <v>4.4999999999999998E-2</v>
      </c>
      <c r="F353" s="608">
        <v>5.04E-2</v>
      </c>
      <c r="G353" s="5">
        <f t="shared" si="68"/>
        <v>2.8251179443976411</v>
      </c>
      <c r="H353" s="21" t="s">
        <v>38</v>
      </c>
      <c r="I353" s="6">
        <f>E351</f>
        <v>0.1043</v>
      </c>
      <c r="J353" s="7">
        <v>2.2800000000000001E-2</v>
      </c>
      <c r="K353" s="5">
        <f t="shared" si="70"/>
        <v>2.9953335083889083</v>
      </c>
      <c r="L353" s="21" t="s">
        <v>39</v>
      </c>
      <c r="M353" s="6">
        <v>0</v>
      </c>
      <c r="N353" s="7">
        <v>2.5000000000000001E-3</v>
      </c>
      <c r="O353" s="5">
        <f t="shared" si="71"/>
        <v>3.0028406099136924</v>
      </c>
      <c r="P353" s="329">
        <f>Weightings!$C$8</f>
        <v>273.77460524748824</v>
      </c>
      <c r="Q353" s="5">
        <f t="shared" si="69"/>
        <v>1.0325602989995802E-2</v>
      </c>
      <c r="R353" s="5"/>
      <c r="S353" s="29"/>
    </row>
    <row r="354" spans="1:19">
      <c r="A354" s="1" t="s">
        <v>27</v>
      </c>
      <c r="B354" s="8" t="s">
        <v>103</v>
      </c>
      <c r="C354" s="423">
        <f>C359</f>
        <v>2.72</v>
      </c>
      <c r="D354" s="21" t="s">
        <v>32</v>
      </c>
      <c r="E354" s="609">
        <f>0.0305+0.0022+0.0097</f>
        <v>4.24E-2</v>
      </c>
      <c r="F354" s="608">
        <v>4.6199999999999998E-2</v>
      </c>
      <c r="G354" s="5">
        <f t="shared" si="68"/>
        <v>2.8941508911721541</v>
      </c>
      <c r="H354" s="21" t="s">
        <v>38</v>
      </c>
      <c r="I354" s="6">
        <f>E351</f>
        <v>0.1043</v>
      </c>
      <c r="J354" s="7">
        <v>2.2800000000000001E-2</v>
      </c>
      <c r="K354" s="5">
        <f t="shared" si="70"/>
        <v>3.065977129729998</v>
      </c>
      <c r="L354" s="21" t="s">
        <v>39</v>
      </c>
      <c r="M354" s="6">
        <v>0</v>
      </c>
      <c r="N354" s="7">
        <v>2.5000000000000001E-3</v>
      </c>
      <c r="O354" s="5">
        <f t="shared" si="71"/>
        <v>3.0736612829373411</v>
      </c>
      <c r="P354" s="329">
        <f>Weightings!$C$9</f>
        <v>6.554456479221634</v>
      </c>
      <c r="Q354" s="5">
        <f t="shared" si="69"/>
        <v>2.5303620855374962E-4</v>
      </c>
      <c r="R354" s="5"/>
      <c r="S354" s="29"/>
    </row>
    <row r="355" spans="1:19">
      <c r="A355" s="1" t="s">
        <v>0</v>
      </c>
      <c r="B355" s="8" t="s">
        <v>260</v>
      </c>
      <c r="C355" s="422">
        <v>2.645</v>
      </c>
      <c r="D355" s="21" t="s">
        <v>37</v>
      </c>
      <c r="E355" s="6">
        <f>0.0366+0.0022</f>
        <v>3.8800000000000001E-2</v>
      </c>
      <c r="F355" s="10">
        <v>6.9699999999999996E-3</v>
      </c>
      <c r="G355" s="5">
        <f t="shared" si="68"/>
        <v>2.7023650483872594</v>
      </c>
      <c r="H355" s="21" t="s">
        <v>43</v>
      </c>
      <c r="I355" s="609">
        <f>0.017+0.0022</f>
        <v>1.9200000000000002E-2</v>
      </c>
      <c r="J355" s="608">
        <v>2.9020000000000001E-2</v>
      </c>
      <c r="K355" s="5">
        <f t="shared" si="70"/>
        <v>2.8023315252500152</v>
      </c>
      <c r="L355" s="15" t="s">
        <v>156</v>
      </c>
      <c r="M355" s="6">
        <f>E356</f>
        <v>2.2600000000000002E-2</v>
      </c>
      <c r="N355" s="10">
        <f>F356</f>
        <v>2.776E-2</v>
      </c>
      <c r="O355" s="247">
        <f t="shared" si="71"/>
        <v>2.9049454345120704</v>
      </c>
      <c r="P355" s="329">
        <f>Weightings!$C$13</f>
        <v>31370.607479626047</v>
      </c>
      <c r="Q355" s="5">
        <f t="shared" si="69"/>
        <v>1.1445924811824644</v>
      </c>
      <c r="R355" s="247"/>
      <c r="S355" s="29"/>
    </row>
    <row r="356" spans="1:19">
      <c r="A356" s="1" t="s">
        <v>1</v>
      </c>
      <c r="B356" s="8" t="s">
        <v>261</v>
      </c>
      <c r="C356" s="422">
        <v>2.81</v>
      </c>
      <c r="D356" s="21" t="s">
        <v>48</v>
      </c>
      <c r="E356" s="6">
        <f>0.0134+0.0022+0.007</f>
        <v>2.2600000000000002E-2</v>
      </c>
      <c r="F356" s="10">
        <v>2.776E-2</v>
      </c>
      <c r="G356" s="5">
        <f t="shared" si="68"/>
        <v>2.9128328643133385</v>
      </c>
      <c r="H356" s="21"/>
      <c r="I356" s="6">
        <v>0</v>
      </c>
      <c r="J356" s="7">
        <v>0</v>
      </c>
      <c r="K356" s="5">
        <f t="shared" si="70"/>
        <v>2.9128328643133385</v>
      </c>
      <c r="L356" s="15"/>
      <c r="M356" s="6">
        <v>0</v>
      </c>
      <c r="N356" s="7">
        <v>0</v>
      </c>
      <c r="O356" s="5">
        <f t="shared" si="71"/>
        <v>2.9128328643133385</v>
      </c>
      <c r="P356" s="329">
        <f>Weightings!$C$14</f>
        <v>5614.3227016821775</v>
      </c>
      <c r="Q356" s="5">
        <f t="shared" si="69"/>
        <v>0.20540117244800726</v>
      </c>
      <c r="R356" s="5"/>
      <c r="S356" s="246"/>
    </row>
    <row r="357" spans="1:19">
      <c r="A357" s="1" t="s">
        <v>2</v>
      </c>
      <c r="B357" s="8" t="s">
        <v>262</v>
      </c>
      <c r="C357" s="649">
        <v>2.5950000000000002</v>
      </c>
      <c r="D357" s="21" t="s">
        <v>33</v>
      </c>
      <c r="E357" s="609">
        <f>0.0299+0.0022+0.0097</f>
        <v>4.1799999999999997E-2</v>
      </c>
      <c r="F357" s="608">
        <v>4.58E-2</v>
      </c>
      <c r="G357" s="5">
        <f t="shared" si="68"/>
        <v>2.7613556487109618</v>
      </c>
      <c r="H357" s="21" t="s">
        <v>42</v>
      </c>
      <c r="I357" s="6">
        <v>0</v>
      </c>
      <c r="J357" s="7">
        <v>0.01</v>
      </c>
      <c r="K357" s="5">
        <f t="shared" si="70"/>
        <v>2.7892481300110727</v>
      </c>
      <c r="L357" s="15"/>
      <c r="M357" s="6">
        <v>0</v>
      </c>
      <c r="N357" s="7">
        <v>0</v>
      </c>
      <c r="O357" s="5">
        <f t="shared" si="71"/>
        <v>2.7892481300110727</v>
      </c>
      <c r="P357" s="329">
        <f>Weightings!$C$15</f>
        <v>3366</v>
      </c>
      <c r="Q357" s="5">
        <f t="shared" si="69"/>
        <v>0.11792102432461185</v>
      </c>
      <c r="R357" s="5"/>
      <c r="S357" s="29"/>
    </row>
    <row r="358" spans="1:19">
      <c r="A358" s="1" t="s">
        <v>3</v>
      </c>
      <c r="B358" s="8" t="s">
        <v>259</v>
      </c>
      <c r="C358" s="422">
        <v>2.64</v>
      </c>
      <c r="D358" s="21" t="s">
        <v>34</v>
      </c>
      <c r="E358" s="609">
        <f>0.0277+0.0022+0.0097</f>
        <v>3.9599999999999996E-2</v>
      </c>
      <c r="F358" s="608">
        <v>4.2299999999999997E-2</v>
      </c>
      <c r="G358" s="5">
        <f t="shared" si="68"/>
        <v>2.7962043646235775</v>
      </c>
      <c r="H358" s="21" t="s">
        <v>42</v>
      </c>
      <c r="I358" s="6">
        <v>0</v>
      </c>
      <c r="J358" s="7">
        <v>0.01</v>
      </c>
      <c r="K358" s="5">
        <f t="shared" si="70"/>
        <v>2.8244488531551286</v>
      </c>
      <c r="M358" s="6">
        <v>0</v>
      </c>
      <c r="N358" s="7">
        <v>0</v>
      </c>
      <c r="O358" s="5">
        <f t="shared" si="71"/>
        <v>2.8244488531551286</v>
      </c>
      <c r="P358" s="329">
        <f>Weightings!$C$16</f>
        <v>4950</v>
      </c>
      <c r="Q358" s="5">
        <f t="shared" si="69"/>
        <v>0.1756017721453792</v>
      </c>
      <c r="R358" s="5"/>
      <c r="S358" s="29"/>
    </row>
    <row r="359" spans="1:19">
      <c r="A359" s="1" t="s">
        <v>4</v>
      </c>
      <c r="B359" s="8" t="s">
        <v>103</v>
      </c>
      <c r="C359" s="422">
        <v>2.72</v>
      </c>
      <c r="D359" s="21" t="s">
        <v>35</v>
      </c>
      <c r="E359" s="609">
        <f>0.0251+0.0022+0.0097</f>
        <v>3.7000000000000005E-2</v>
      </c>
      <c r="F359" s="608">
        <v>3.8100000000000002E-2</v>
      </c>
      <c r="G359" s="5">
        <f t="shared" si="68"/>
        <v>2.8647367709741141</v>
      </c>
      <c r="H359" s="21" t="s">
        <v>42</v>
      </c>
      <c r="I359" s="6">
        <v>0</v>
      </c>
      <c r="J359" s="7">
        <v>0.01</v>
      </c>
      <c r="K359" s="5">
        <f t="shared" si="70"/>
        <v>2.8936735060344585</v>
      </c>
      <c r="M359" s="6">
        <v>0</v>
      </c>
      <c r="N359" s="7">
        <v>0</v>
      </c>
      <c r="O359" s="5">
        <f t="shared" si="71"/>
        <v>2.8936735060344585</v>
      </c>
      <c r="P359" s="329">
        <f>Weightings!$C$17</f>
        <v>11172.172715894869</v>
      </c>
      <c r="Q359" s="5">
        <f t="shared" si="69"/>
        <v>0.40604778883101189</v>
      </c>
      <c r="R359" s="5"/>
      <c r="S359" s="29"/>
    </row>
    <row r="360" spans="1:19">
      <c r="O360" s="35"/>
      <c r="P360" s="67"/>
      <c r="Q360" s="35"/>
      <c r="R360" s="35"/>
      <c r="S360" s="244"/>
    </row>
    <row r="361" spans="1:19" ht="13.5" thickBot="1">
      <c r="O361" s="36"/>
      <c r="P361" s="330"/>
      <c r="Q361" s="36"/>
      <c r="R361" s="36"/>
    </row>
    <row r="362" spans="1:19" ht="13.5" thickBot="1">
      <c r="O362" s="331" t="s">
        <v>198</v>
      </c>
      <c r="P362" s="332"/>
      <c r="Q362" s="333">
        <f>SUM(Q349:Q359)</f>
        <v>2.9559766847612208</v>
      </c>
      <c r="R362" s="424">
        <f>B347</f>
        <v>37182</v>
      </c>
    </row>
    <row r="363" spans="1:19">
      <c r="O363" s="35"/>
      <c r="P363" s="35"/>
      <c r="Q363" s="35"/>
      <c r="R363" s="35"/>
      <c r="S363" s="35"/>
    </row>
    <row r="364" spans="1:19">
      <c r="D364" s="21"/>
      <c r="H364" s="5"/>
      <c r="O364" s="36" t="s">
        <v>263</v>
      </c>
      <c r="P364" s="404">
        <f>Weightings!C363</f>
        <v>0</v>
      </c>
      <c r="Q364" s="35" t="s">
        <v>206</v>
      </c>
      <c r="R364" s="344" t="s">
        <v>208</v>
      </c>
      <c r="S364" s="35"/>
    </row>
    <row r="365" spans="1:19" ht="13.5" thickBot="1">
      <c r="A365" s="675"/>
      <c r="B365" s="676"/>
      <c r="C365" s="675"/>
      <c r="D365" s="677"/>
      <c r="E365" s="675"/>
      <c r="F365" s="675"/>
      <c r="G365" s="675"/>
      <c r="H365" s="678"/>
      <c r="I365" s="675"/>
      <c r="J365" s="675"/>
      <c r="K365" s="675"/>
      <c r="L365" s="675"/>
      <c r="M365" s="675"/>
      <c r="N365" s="675"/>
      <c r="O365" s="675"/>
      <c r="P365" s="679"/>
      <c r="Q365" s="675"/>
      <c r="R365" s="675"/>
      <c r="S365" s="675"/>
    </row>
    <row r="366" spans="1:19" ht="14.25" thickTop="1" thickBot="1">
      <c r="A366" s="2"/>
      <c r="B366" s="28"/>
      <c r="D366" s="3" t="s">
        <v>10</v>
      </c>
      <c r="H366" s="3" t="s">
        <v>11</v>
      </c>
      <c r="L366" s="3" t="s">
        <v>12</v>
      </c>
    </row>
    <row r="367" spans="1:19" ht="14.25" thickTop="1" thickBot="1">
      <c r="A367" s="421" t="s">
        <v>255</v>
      </c>
      <c r="B367" s="433">
        <f>B347+1</f>
        <v>37183</v>
      </c>
      <c r="C367" s="434">
        <f>Q382</f>
        <v>2.6528481406277256</v>
      </c>
      <c r="E367" s="624"/>
    </row>
    <row r="368" spans="1:19" ht="54" customHeight="1" thickTop="1">
      <c r="A368" s="2" t="s">
        <v>5</v>
      </c>
      <c r="B368" s="9" t="s">
        <v>46</v>
      </c>
      <c r="C368" s="18" t="s">
        <v>256</v>
      </c>
      <c r="D368" s="14" t="s">
        <v>28</v>
      </c>
      <c r="E368" s="4" t="s">
        <v>7</v>
      </c>
      <c r="F368" s="4" t="s">
        <v>8</v>
      </c>
      <c r="G368" s="4" t="s">
        <v>9</v>
      </c>
      <c r="H368" s="14" t="s">
        <v>28</v>
      </c>
      <c r="I368" s="4" t="s">
        <v>7</v>
      </c>
      <c r="J368" s="4" t="s">
        <v>8</v>
      </c>
      <c r="K368" s="4" t="s">
        <v>9</v>
      </c>
      <c r="L368" s="14" t="s">
        <v>28</v>
      </c>
      <c r="M368" s="4" t="s">
        <v>7</v>
      </c>
      <c r="N368" s="4" t="s">
        <v>8</v>
      </c>
      <c r="O368" s="4" t="s">
        <v>9</v>
      </c>
      <c r="P368" s="4" t="s">
        <v>193</v>
      </c>
      <c r="Q368" s="4" t="s">
        <v>197</v>
      </c>
      <c r="R368" s="4"/>
      <c r="S368" s="4"/>
    </row>
    <row r="369" spans="1:19">
      <c r="A369" s="1" t="s">
        <v>49</v>
      </c>
      <c r="B369" s="8" t="s">
        <v>269</v>
      </c>
      <c r="C369" s="422">
        <v>2.355</v>
      </c>
      <c r="D369" s="21" t="s">
        <v>29</v>
      </c>
      <c r="E369" s="6">
        <v>5.2200000000000003E-2</v>
      </c>
      <c r="F369" s="10">
        <v>5.0599999999999999E-2</v>
      </c>
      <c r="G369" s="5">
        <f t="shared" ref="G369:G379" si="72">+C369/(1-F369)+E369</f>
        <v>2.5327140088476932</v>
      </c>
      <c r="H369" s="21" t="s">
        <v>38</v>
      </c>
      <c r="I369" s="6">
        <f>E371</f>
        <v>0.1043</v>
      </c>
      <c r="J369" s="7">
        <v>2.2800000000000001E-2</v>
      </c>
      <c r="K369" s="5">
        <f>+G369/(1-J369)+I369</f>
        <v>2.6961072133111883</v>
      </c>
      <c r="L369" s="21" t="s">
        <v>39</v>
      </c>
      <c r="M369" s="6">
        <v>0</v>
      </c>
      <c r="N369" s="7">
        <v>2.5000000000000001E-3</v>
      </c>
      <c r="O369" s="5">
        <f>+K369/(1-N369)+M369</f>
        <v>2.702864374246805</v>
      </c>
      <c r="P369" s="329">
        <f>Weightings!$C$4</f>
        <v>1071.401539872767</v>
      </c>
      <c r="Q369" s="5">
        <f t="shared" ref="Q369:Q379" si="73">+P369/SUM($P$9:$P$19)*O369</f>
        <v>3.6371942934422502E-2</v>
      </c>
      <c r="R369" s="5"/>
      <c r="S369" s="245"/>
    </row>
    <row r="370" spans="1:19">
      <c r="A370" s="1" t="s">
        <v>50</v>
      </c>
      <c r="B370" s="8" t="s">
        <v>270</v>
      </c>
      <c r="C370" s="422">
        <v>2.33</v>
      </c>
      <c r="D370" s="21" t="s">
        <v>30</v>
      </c>
      <c r="E370" s="6">
        <v>5.2200000000000003E-2</v>
      </c>
      <c r="F370" s="10">
        <v>5.8000000000000003E-2</v>
      </c>
      <c r="G370" s="5">
        <f t="shared" si="72"/>
        <v>2.5256607218683653</v>
      </c>
      <c r="H370" s="21" t="s">
        <v>38</v>
      </c>
      <c r="I370" s="6">
        <f>E371</f>
        <v>0.1043</v>
      </c>
      <c r="J370" s="7">
        <v>2.2800000000000001E-2</v>
      </c>
      <c r="K370" s="5">
        <f t="shared" ref="K370:K379" si="74">+G370/(1-J370)+I370</f>
        <v>2.6888893592594814</v>
      </c>
      <c r="L370" s="21" t="s">
        <v>39</v>
      </c>
      <c r="M370" s="6">
        <v>0</v>
      </c>
      <c r="N370" s="7">
        <v>2.5000000000000001E-3</v>
      </c>
      <c r="O370" s="5">
        <f t="shared" ref="O370:O379" si="75">+K370/(1-N370)+M370</f>
        <v>2.6956284303353195</v>
      </c>
      <c r="P370" s="329">
        <f>Weightings!$C$5</f>
        <v>1309.8829179244465</v>
      </c>
      <c r="Q370" s="5">
        <f t="shared" si="73"/>
        <v>4.4348862746908496E-2</v>
      </c>
      <c r="R370" s="5"/>
      <c r="S370" s="29"/>
    </row>
    <row r="371" spans="1:19">
      <c r="A371" s="1" t="s">
        <v>40</v>
      </c>
      <c r="B371" s="8" t="s">
        <v>257</v>
      </c>
      <c r="C371" s="422">
        <v>2.6</v>
      </c>
      <c r="D371" s="21" t="s">
        <v>154</v>
      </c>
      <c r="E371" s="6">
        <f>0.0951+0.0022+0.007</f>
        <v>0.1043</v>
      </c>
      <c r="F371" s="10">
        <v>2.2800000000000001E-2</v>
      </c>
      <c r="G371" s="5">
        <f t="shared" si="72"/>
        <v>2.764963119115841</v>
      </c>
      <c r="H371" s="21" t="s">
        <v>39</v>
      </c>
      <c r="I371" s="6">
        <v>0</v>
      </c>
      <c r="J371" s="7">
        <v>2.5000000000000001E-3</v>
      </c>
      <c r="K371" s="5">
        <f t="shared" si="74"/>
        <v>2.7718928512439507</v>
      </c>
      <c r="L371" s="21"/>
      <c r="M371" s="6">
        <v>0</v>
      </c>
      <c r="N371" s="7">
        <v>0</v>
      </c>
      <c r="O371" s="5">
        <f t="shared" si="75"/>
        <v>2.7718928512439507</v>
      </c>
      <c r="P371" s="329">
        <f>Weightings!$C$6</f>
        <v>19813.452023725906</v>
      </c>
      <c r="Q371" s="5">
        <f t="shared" si="73"/>
        <v>0.68980536353066135</v>
      </c>
      <c r="R371" s="5"/>
      <c r="S371" s="29"/>
    </row>
    <row r="372" spans="1:19">
      <c r="A372" s="1" t="s">
        <v>41</v>
      </c>
      <c r="B372" s="8" t="s">
        <v>258</v>
      </c>
      <c r="C372" s="422">
        <v>2.65</v>
      </c>
      <c r="D372" s="21" t="s">
        <v>155</v>
      </c>
      <c r="E372" s="6">
        <f>0.0951+0.0022+0.007</f>
        <v>0.1043</v>
      </c>
      <c r="F372" s="10">
        <v>2.2800000000000001E-2</v>
      </c>
      <c r="G372" s="5">
        <f t="shared" si="72"/>
        <v>2.8161297175603766</v>
      </c>
      <c r="H372" s="21" t="s">
        <v>39</v>
      </c>
      <c r="I372" s="6">
        <v>0</v>
      </c>
      <c r="J372" s="7">
        <v>2.5000000000000001E-3</v>
      </c>
      <c r="K372" s="5">
        <f t="shared" si="74"/>
        <v>2.8231876867773198</v>
      </c>
      <c r="L372" s="21"/>
      <c r="M372" s="6">
        <v>0</v>
      </c>
      <c r="N372" s="7">
        <v>0</v>
      </c>
      <c r="O372" s="5">
        <f t="shared" si="75"/>
        <v>2.8231876867773198</v>
      </c>
      <c r="P372" s="329">
        <f>Weightings!$C$7</f>
        <v>669.60336394048545</v>
      </c>
      <c r="Q372" s="5">
        <f t="shared" si="73"/>
        <v>2.3743643275346414E-2</v>
      </c>
      <c r="R372" s="5"/>
      <c r="S372" s="245"/>
    </row>
    <row r="373" spans="1:19">
      <c r="A373" s="1" t="s">
        <v>26</v>
      </c>
      <c r="B373" s="8" t="s">
        <v>259</v>
      </c>
      <c r="C373" s="423">
        <f>C378</f>
        <v>2.3650000000000002</v>
      </c>
      <c r="D373" s="21" t="s">
        <v>31</v>
      </c>
      <c r="E373" s="609">
        <f>0.0331+0.0022+0.0097</f>
        <v>4.4999999999999998E-2</v>
      </c>
      <c r="F373" s="608">
        <v>5.04E-2</v>
      </c>
      <c r="G373" s="5">
        <f t="shared" si="72"/>
        <v>2.5355223251895538</v>
      </c>
      <c r="H373" s="21" t="s">
        <v>38</v>
      </c>
      <c r="I373" s="6">
        <f>E371</f>
        <v>0.1043</v>
      </c>
      <c r="J373" s="7">
        <v>2.2800000000000001E-2</v>
      </c>
      <c r="K373" s="5">
        <f t="shared" si="74"/>
        <v>2.6989810532025724</v>
      </c>
      <c r="L373" s="21" t="s">
        <v>39</v>
      </c>
      <c r="M373" s="6">
        <v>0</v>
      </c>
      <c r="N373" s="7">
        <v>2.5000000000000001E-3</v>
      </c>
      <c r="O373" s="5">
        <f t="shared" si="75"/>
        <v>2.7057454167444335</v>
      </c>
      <c r="P373" s="329">
        <f>Weightings!$C$8</f>
        <v>273.77460524748824</v>
      </c>
      <c r="Q373" s="5">
        <f t="shared" si="73"/>
        <v>9.3040079693429908E-3</v>
      </c>
      <c r="R373" s="5"/>
      <c r="S373" s="29"/>
    </row>
    <row r="374" spans="1:19">
      <c r="A374" s="1" t="s">
        <v>27</v>
      </c>
      <c r="B374" s="8" t="s">
        <v>103</v>
      </c>
      <c r="C374" s="423">
        <f>C379</f>
        <v>2.4249999999999998</v>
      </c>
      <c r="D374" s="21" t="s">
        <v>32</v>
      </c>
      <c r="E374" s="609">
        <f>0.0305+0.0022+0.0097</f>
        <v>4.24E-2</v>
      </c>
      <c r="F374" s="608">
        <v>4.6199999999999998E-2</v>
      </c>
      <c r="G374" s="5">
        <f t="shared" si="72"/>
        <v>2.5848617320192915</v>
      </c>
      <c r="H374" s="21" t="s">
        <v>38</v>
      </c>
      <c r="I374" s="6">
        <f>E371</f>
        <v>0.1043</v>
      </c>
      <c r="J374" s="7">
        <v>2.2800000000000001E-2</v>
      </c>
      <c r="K374" s="5">
        <f t="shared" si="74"/>
        <v>2.7494716455375476</v>
      </c>
      <c r="L374" s="21" t="s">
        <v>39</v>
      </c>
      <c r="M374" s="6">
        <v>0</v>
      </c>
      <c r="N374" s="7">
        <v>2.5000000000000001E-3</v>
      </c>
      <c r="O374" s="5">
        <f t="shared" si="75"/>
        <v>2.7563625519173409</v>
      </c>
      <c r="P374" s="329">
        <f>Weightings!$C$9</f>
        <v>6.554456479221634</v>
      </c>
      <c r="Q374" s="5">
        <f t="shared" si="73"/>
        <v>2.2691489573313539E-4</v>
      </c>
      <c r="R374" s="5"/>
      <c r="S374" s="29"/>
    </row>
    <row r="375" spans="1:19">
      <c r="A375" s="1" t="s">
        <v>0</v>
      </c>
      <c r="B375" s="8" t="s">
        <v>260</v>
      </c>
      <c r="C375" s="422">
        <v>2.39</v>
      </c>
      <c r="D375" s="21" t="s">
        <v>37</v>
      </c>
      <c r="E375" s="6">
        <f>0.0366+0.0022</f>
        <v>3.8800000000000001E-2</v>
      </c>
      <c r="F375" s="10">
        <v>6.9699999999999996E-3</v>
      </c>
      <c r="G375" s="5">
        <f t="shared" si="72"/>
        <v>2.4455752233064465</v>
      </c>
      <c r="H375" s="21" t="s">
        <v>43</v>
      </c>
      <c r="I375" s="609">
        <f>0.017+0.0022</f>
        <v>1.9200000000000002E-2</v>
      </c>
      <c r="J375" s="608">
        <v>2.9020000000000001E-2</v>
      </c>
      <c r="K375" s="5">
        <f t="shared" si="74"/>
        <v>2.5378669378426402</v>
      </c>
      <c r="L375" s="15" t="s">
        <v>156</v>
      </c>
      <c r="M375" s="6">
        <f>E376</f>
        <v>2.2600000000000002E-2</v>
      </c>
      <c r="N375" s="10">
        <f>F376</f>
        <v>2.776E-2</v>
      </c>
      <c r="O375" s="247">
        <f t="shared" si="75"/>
        <v>2.6329296900380981</v>
      </c>
      <c r="P375" s="329">
        <f>Weightings!$C$13</f>
        <v>31370.607479626047</v>
      </c>
      <c r="Q375" s="5">
        <f t="shared" si="73"/>
        <v>1.0374141596246087</v>
      </c>
      <c r="R375" s="247"/>
      <c r="S375" s="29"/>
    </row>
    <row r="376" spans="1:19">
      <c r="A376" s="1" t="s">
        <v>1</v>
      </c>
      <c r="B376" s="8" t="s">
        <v>261</v>
      </c>
      <c r="C376" s="422">
        <v>2.5499999999999998</v>
      </c>
      <c r="D376" s="21" t="s">
        <v>48</v>
      </c>
      <c r="E376" s="6">
        <f>0.0134+0.0022+0.007</f>
        <v>2.2600000000000002E-2</v>
      </c>
      <c r="F376" s="10">
        <v>2.776E-2</v>
      </c>
      <c r="G376" s="5">
        <f t="shared" si="72"/>
        <v>2.6454091829177981</v>
      </c>
      <c r="H376" s="21"/>
      <c r="I376" s="6">
        <v>0</v>
      </c>
      <c r="J376" s="7">
        <v>0</v>
      </c>
      <c r="K376" s="5">
        <f t="shared" si="74"/>
        <v>2.6454091829177981</v>
      </c>
      <c r="L376" s="15"/>
      <c r="M376" s="6">
        <v>0</v>
      </c>
      <c r="N376" s="7">
        <v>0</v>
      </c>
      <c r="O376" s="5">
        <f t="shared" si="75"/>
        <v>2.6454091829177981</v>
      </c>
      <c r="P376" s="329">
        <f>Weightings!$C$14</f>
        <v>5614.3227016821775</v>
      </c>
      <c r="Q376" s="5">
        <f t="shared" si="73"/>
        <v>0.18654353788477079</v>
      </c>
      <c r="R376" s="5"/>
      <c r="S376" s="246"/>
    </row>
    <row r="377" spans="1:19">
      <c r="A377" s="1" t="s">
        <v>2</v>
      </c>
      <c r="B377" s="8" t="s">
        <v>262</v>
      </c>
      <c r="C377" s="649">
        <v>2.3050000000000002</v>
      </c>
      <c r="D377" s="21" t="s">
        <v>33</v>
      </c>
      <c r="E377" s="609">
        <f>0.0299+0.0022+0.0097</f>
        <v>4.1799999999999997E-2</v>
      </c>
      <c r="F377" s="608">
        <v>4.58E-2</v>
      </c>
      <c r="G377" s="5">
        <f t="shared" si="72"/>
        <v>2.4574361349821841</v>
      </c>
      <c r="H377" s="21" t="s">
        <v>42</v>
      </c>
      <c r="I377" s="6">
        <v>0</v>
      </c>
      <c r="J377" s="7">
        <v>0.01</v>
      </c>
      <c r="K377" s="5">
        <f t="shared" si="74"/>
        <v>2.4822587222042265</v>
      </c>
      <c r="L377" s="15"/>
      <c r="M377" s="6">
        <v>0</v>
      </c>
      <c r="N377" s="7">
        <v>0</v>
      </c>
      <c r="O377" s="5">
        <f t="shared" si="75"/>
        <v>2.4822587222042265</v>
      </c>
      <c r="P377" s="329">
        <f>Weightings!$C$15</f>
        <v>3366</v>
      </c>
      <c r="Q377" s="5">
        <f t="shared" si="73"/>
        <v>0.10494243520739137</v>
      </c>
      <c r="R377" s="5"/>
      <c r="S377" s="29"/>
    </row>
    <row r="378" spans="1:19">
      <c r="A378" s="1" t="s">
        <v>3</v>
      </c>
      <c r="B378" s="8" t="s">
        <v>259</v>
      </c>
      <c r="C378" s="422">
        <v>2.3650000000000002</v>
      </c>
      <c r="D378" s="21" t="s">
        <v>34</v>
      </c>
      <c r="E378" s="609">
        <f>0.0277+0.0022+0.0097</f>
        <v>3.9599999999999996E-2</v>
      </c>
      <c r="F378" s="608">
        <v>4.2299999999999997E-2</v>
      </c>
      <c r="G378" s="5">
        <f t="shared" si="72"/>
        <v>2.509058076641955</v>
      </c>
      <c r="H378" s="21" t="s">
        <v>42</v>
      </c>
      <c r="I378" s="6">
        <v>0</v>
      </c>
      <c r="J378" s="7">
        <v>0.01</v>
      </c>
      <c r="K378" s="5">
        <f t="shared" si="74"/>
        <v>2.5344020976181363</v>
      </c>
      <c r="M378" s="6">
        <v>0</v>
      </c>
      <c r="N378" s="7">
        <v>0</v>
      </c>
      <c r="O378" s="5">
        <f t="shared" si="75"/>
        <v>2.5344020976181363</v>
      </c>
      <c r="P378" s="329">
        <f>Weightings!$C$16</f>
        <v>4950</v>
      </c>
      <c r="Q378" s="5">
        <f t="shared" si="73"/>
        <v>0.15756897108388446</v>
      </c>
      <c r="R378" s="5"/>
      <c r="S378" s="29"/>
    </row>
    <row r="379" spans="1:19">
      <c r="A379" s="1" t="s">
        <v>4</v>
      </c>
      <c r="B379" s="8" t="s">
        <v>103</v>
      </c>
      <c r="C379" s="422">
        <v>2.4249999999999998</v>
      </c>
      <c r="D379" s="21" t="s">
        <v>35</v>
      </c>
      <c r="E379" s="609">
        <f>0.0251+0.0022+0.0097</f>
        <v>3.7000000000000005E-2</v>
      </c>
      <c r="F379" s="608">
        <v>3.8100000000000002E-2</v>
      </c>
      <c r="G379" s="5">
        <f t="shared" si="72"/>
        <v>2.5580520844162593</v>
      </c>
      <c r="H379" s="21" t="s">
        <v>42</v>
      </c>
      <c r="I379" s="6">
        <v>0</v>
      </c>
      <c r="J379" s="7">
        <v>0.01</v>
      </c>
      <c r="K379" s="5">
        <f t="shared" si="74"/>
        <v>2.5838909943598578</v>
      </c>
      <c r="M379" s="6">
        <v>0</v>
      </c>
      <c r="N379" s="7">
        <v>0</v>
      </c>
      <c r="O379" s="5">
        <f t="shared" si="75"/>
        <v>2.5838909943598578</v>
      </c>
      <c r="P379" s="329">
        <f>Weightings!$C$17</f>
        <v>11172.172715894869</v>
      </c>
      <c r="Q379" s="5">
        <f t="shared" si="73"/>
        <v>0.36257830147465536</v>
      </c>
      <c r="R379" s="5"/>
      <c r="S379" s="29"/>
    </row>
    <row r="380" spans="1:19">
      <c r="O380" s="35"/>
      <c r="P380" s="67"/>
      <c r="Q380" s="35"/>
      <c r="R380" s="35"/>
      <c r="S380" s="244"/>
    </row>
    <row r="381" spans="1:19" ht="13.5" thickBot="1">
      <c r="O381" s="36"/>
      <c r="P381" s="330"/>
      <c r="Q381" s="36"/>
      <c r="R381" s="36"/>
    </row>
    <row r="382" spans="1:19" ht="13.5" thickBot="1">
      <c r="O382" s="331" t="s">
        <v>198</v>
      </c>
      <c r="P382" s="332"/>
      <c r="Q382" s="333">
        <f>SUM(Q369:Q379)</f>
        <v>2.6528481406277256</v>
      </c>
      <c r="R382" s="424">
        <f>B367</f>
        <v>37183</v>
      </c>
    </row>
    <row r="383" spans="1:19">
      <c r="O383" s="35"/>
      <c r="P383" s="35"/>
      <c r="Q383" s="35"/>
      <c r="R383" s="35"/>
      <c r="S383" s="35"/>
    </row>
    <row r="384" spans="1:19">
      <c r="D384" s="21"/>
      <c r="H384" s="5"/>
      <c r="O384" s="36" t="s">
        <v>263</v>
      </c>
      <c r="P384" s="404">
        <f>Weightings!C383</f>
        <v>0</v>
      </c>
      <c r="Q384" s="35" t="s">
        <v>206</v>
      </c>
      <c r="R384" s="344" t="s">
        <v>208</v>
      </c>
      <c r="S384" s="35"/>
    </row>
    <row r="385" spans="1:19" ht="13.5" thickBot="1">
      <c r="A385" s="675"/>
      <c r="B385" s="676"/>
      <c r="C385" s="675"/>
      <c r="D385" s="677"/>
      <c r="E385" s="675"/>
      <c r="F385" s="675"/>
      <c r="G385" s="675"/>
      <c r="H385" s="678"/>
      <c r="I385" s="675"/>
      <c r="J385" s="675"/>
      <c r="K385" s="675"/>
      <c r="L385" s="675"/>
      <c r="M385" s="675"/>
      <c r="N385" s="675"/>
      <c r="O385" s="675"/>
      <c r="P385" s="679"/>
      <c r="Q385" s="675"/>
      <c r="R385" s="675"/>
      <c r="S385" s="675"/>
    </row>
    <row r="386" spans="1:19" ht="14.25" thickTop="1" thickBot="1">
      <c r="A386" s="2"/>
      <c r="B386" s="28"/>
      <c r="D386" s="3" t="s">
        <v>10</v>
      </c>
      <c r="H386" s="3" t="s">
        <v>11</v>
      </c>
      <c r="L386" s="3" t="s">
        <v>12</v>
      </c>
    </row>
    <row r="387" spans="1:19" ht="14.25" thickTop="1" thickBot="1">
      <c r="A387" s="421" t="s">
        <v>255</v>
      </c>
      <c r="B387" s="433">
        <f>B367+1</f>
        <v>37184</v>
      </c>
      <c r="C387" s="434">
        <f>Q402</f>
        <v>2.5587282772566526</v>
      </c>
      <c r="E387" s="624"/>
    </row>
    <row r="388" spans="1:19" ht="54" customHeight="1" thickTop="1">
      <c r="A388" s="2" t="s">
        <v>5</v>
      </c>
      <c r="B388" s="9" t="s">
        <v>46</v>
      </c>
      <c r="C388" s="18" t="s">
        <v>256</v>
      </c>
      <c r="D388" s="14" t="s">
        <v>28</v>
      </c>
      <c r="E388" s="4" t="s">
        <v>7</v>
      </c>
      <c r="F388" s="4" t="s">
        <v>8</v>
      </c>
      <c r="G388" s="4" t="s">
        <v>9</v>
      </c>
      <c r="H388" s="14" t="s">
        <v>28</v>
      </c>
      <c r="I388" s="4" t="s">
        <v>7</v>
      </c>
      <c r="J388" s="4" t="s">
        <v>8</v>
      </c>
      <c r="K388" s="4" t="s">
        <v>9</v>
      </c>
      <c r="L388" s="14" t="s">
        <v>28</v>
      </c>
      <c r="M388" s="4" t="s">
        <v>7</v>
      </c>
      <c r="N388" s="4" t="s">
        <v>8</v>
      </c>
      <c r="O388" s="4" t="s">
        <v>9</v>
      </c>
      <c r="P388" s="4" t="s">
        <v>193</v>
      </c>
      <c r="Q388" s="4" t="s">
        <v>197</v>
      </c>
      <c r="R388" s="4"/>
      <c r="S388" s="4"/>
    </row>
    <row r="389" spans="1:19">
      <c r="A389" s="1" t="s">
        <v>49</v>
      </c>
      <c r="B389" s="8" t="s">
        <v>269</v>
      </c>
      <c r="C389" s="422">
        <v>2.2749999999999999</v>
      </c>
      <c r="D389" s="21" t="s">
        <v>29</v>
      </c>
      <c r="E389" s="6">
        <v>5.2200000000000003E-2</v>
      </c>
      <c r="F389" s="10">
        <v>5.0599999999999999E-2</v>
      </c>
      <c r="G389" s="5">
        <f t="shared" ref="G389:G399" si="76">+C389/(1-F389)+E389</f>
        <v>2.4484502633242045</v>
      </c>
      <c r="H389" s="21" t="s">
        <v>38</v>
      </c>
      <c r="I389" s="6">
        <f>E391</f>
        <v>0.1043</v>
      </c>
      <c r="J389" s="7">
        <v>2.2800000000000001E-2</v>
      </c>
      <c r="K389" s="5">
        <f>+G389/(1-J389)+I389</f>
        <v>2.6098774286985309</v>
      </c>
      <c r="L389" s="21" t="s">
        <v>39</v>
      </c>
      <c r="M389" s="6">
        <v>0</v>
      </c>
      <c r="N389" s="7">
        <v>2.5000000000000001E-3</v>
      </c>
      <c r="O389" s="5">
        <f>+K389/(1-N389)+M389</f>
        <v>2.6164184748857453</v>
      </c>
      <c r="P389" s="329">
        <f>Weightings!$C$4</f>
        <v>1071.401539872767</v>
      </c>
      <c r="Q389" s="5">
        <f t="shared" ref="Q389:Q399" si="77">+P389/SUM($P$9:$P$19)*O389</f>
        <v>3.5208656552599707E-2</v>
      </c>
      <c r="R389" s="5"/>
      <c r="S389" s="245"/>
    </row>
    <row r="390" spans="1:19">
      <c r="A390" s="1" t="s">
        <v>50</v>
      </c>
      <c r="B390" s="8" t="s">
        <v>270</v>
      </c>
      <c r="C390" s="422">
        <v>2.23</v>
      </c>
      <c r="D390" s="21" t="s">
        <v>30</v>
      </c>
      <c r="E390" s="6">
        <v>5.2200000000000003E-2</v>
      </c>
      <c r="F390" s="10">
        <v>5.8000000000000003E-2</v>
      </c>
      <c r="G390" s="5">
        <f t="shared" si="76"/>
        <v>2.4195036093418261</v>
      </c>
      <c r="H390" s="21" t="s">
        <v>38</v>
      </c>
      <c r="I390" s="6">
        <f>E391</f>
        <v>0.1043</v>
      </c>
      <c r="J390" s="7">
        <v>2.2800000000000001E-2</v>
      </c>
      <c r="K390" s="5">
        <f t="shared" ref="K390:K399" si="78">+G390/(1-J390)+I390</f>
        <v>2.5802553922859457</v>
      </c>
      <c r="L390" s="21" t="s">
        <v>39</v>
      </c>
      <c r="M390" s="6">
        <v>0</v>
      </c>
      <c r="N390" s="7">
        <v>2.5000000000000001E-3</v>
      </c>
      <c r="O390" s="5">
        <f t="shared" ref="O390:O399" si="79">+K390/(1-N390)+M390</f>
        <v>2.5867221977803965</v>
      </c>
      <c r="P390" s="329">
        <f>Weightings!$C$5</f>
        <v>1309.8829179244465</v>
      </c>
      <c r="Q390" s="5">
        <f t="shared" si="77"/>
        <v>4.2557121902544286E-2</v>
      </c>
      <c r="R390" s="5"/>
      <c r="S390" s="29"/>
    </row>
    <row r="391" spans="1:19">
      <c r="A391" s="1" t="s">
        <v>40</v>
      </c>
      <c r="B391" s="8" t="s">
        <v>257</v>
      </c>
      <c r="C391" s="422">
        <v>2.4849999999999999</v>
      </c>
      <c r="D391" s="21" t="s">
        <v>154</v>
      </c>
      <c r="E391" s="6">
        <f>0.0951+0.0022+0.007</f>
        <v>0.1043</v>
      </c>
      <c r="F391" s="10">
        <v>2.2800000000000001E-2</v>
      </c>
      <c r="G391" s="5">
        <f t="shared" si="76"/>
        <v>2.6472799426934097</v>
      </c>
      <c r="H391" s="21" t="s">
        <v>39</v>
      </c>
      <c r="I391" s="6">
        <v>0</v>
      </c>
      <c r="J391" s="7">
        <v>2.5000000000000001E-3</v>
      </c>
      <c r="K391" s="5">
        <f t="shared" si="78"/>
        <v>2.6539147295172025</v>
      </c>
      <c r="L391" s="21"/>
      <c r="M391" s="6">
        <v>0</v>
      </c>
      <c r="N391" s="7">
        <v>0</v>
      </c>
      <c r="O391" s="5">
        <f t="shared" si="79"/>
        <v>2.6539147295172025</v>
      </c>
      <c r="P391" s="329">
        <f>Weightings!$C$6</f>
        <v>19813.452023725906</v>
      </c>
      <c r="Q391" s="5">
        <f t="shared" si="77"/>
        <v>0.66044566403511185</v>
      </c>
      <c r="R391" s="5"/>
      <c r="S391" s="29"/>
    </row>
    <row r="392" spans="1:19">
      <c r="A392" s="1" t="s">
        <v>41</v>
      </c>
      <c r="B392" s="8" t="s">
        <v>258</v>
      </c>
      <c r="C392" s="422">
        <v>2.5499999999999998</v>
      </c>
      <c r="D392" s="21" t="s">
        <v>155</v>
      </c>
      <c r="E392" s="6">
        <f>0.0951+0.0022+0.007</f>
        <v>0.1043</v>
      </c>
      <c r="F392" s="10">
        <v>2.2800000000000001E-2</v>
      </c>
      <c r="G392" s="5">
        <f t="shared" si="76"/>
        <v>2.7137965206713055</v>
      </c>
      <c r="H392" s="21" t="s">
        <v>39</v>
      </c>
      <c r="I392" s="6">
        <v>0</v>
      </c>
      <c r="J392" s="7">
        <v>2.5000000000000001E-3</v>
      </c>
      <c r="K392" s="5">
        <f t="shared" si="78"/>
        <v>2.720598015710582</v>
      </c>
      <c r="L392" s="21"/>
      <c r="M392" s="6">
        <v>0</v>
      </c>
      <c r="N392" s="7">
        <v>0</v>
      </c>
      <c r="O392" s="5">
        <f t="shared" si="79"/>
        <v>2.720598015710582</v>
      </c>
      <c r="P392" s="329">
        <f>Weightings!$C$7</f>
        <v>669.60336394048545</v>
      </c>
      <c r="Q392" s="5">
        <f t="shared" si="77"/>
        <v>2.2880841073086782E-2</v>
      </c>
      <c r="R392" s="5"/>
      <c r="S392" s="245"/>
    </row>
    <row r="393" spans="1:19">
      <c r="A393" s="1" t="s">
        <v>26</v>
      </c>
      <c r="B393" s="8" t="s">
        <v>259</v>
      </c>
      <c r="C393" s="423">
        <f>C398</f>
        <v>2.2599999999999998</v>
      </c>
      <c r="D393" s="21" t="s">
        <v>31</v>
      </c>
      <c r="E393" s="609">
        <f>0.0331+0.0022+0.0097</f>
        <v>4.4999999999999998E-2</v>
      </c>
      <c r="F393" s="608">
        <v>5.04E-2</v>
      </c>
      <c r="G393" s="5">
        <f t="shared" si="76"/>
        <v>2.4249494524010107</v>
      </c>
      <c r="H393" s="21" t="s">
        <v>38</v>
      </c>
      <c r="I393" s="6">
        <f>E391</f>
        <v>0.1043</v>
      </c>
      <c r="J393" s="7">
        <v>2.2800000000000001E-2</v>
      </c>
      <c r="K393" s="5">
        <f t="shared" si="78"/>
        <v>2.5858282975859708</v>
      </c>
      <c r="L393" s="21" t="s">
        <v>39</v>
      </c>
      <c r="M393" s="6">
        <v>0</v>
      </c>
      <c r="N393" s="7">
        <v>2.5000000000000001E-3</v>
      </c>
      <c r="O393" s="5">
        <f t="shared" si="79"/>
        <v>2.5923090702616247</v>
      </c>
      <c r="P393" s="329">
        <f>Weightings!$C$8</f>
        <v>273.77460524748824</v>
      </c>
      <c r="Q393" s="5">
        <f t="shared" si="77"/>
        <v>8.9139444160028225E-3</v>
      </c>
      <c r="R393" s="5"/>
      <c r="S393" s="29"/>
    </row>
    <row r="394" spans="1:19">
      <c r="A394" s="1" t="s">
        <v>27</v>
      </c>
      <c r="B394" s="8" t="s">
        <v>103</v>
      </c>
      <c r="C394" s="423">
        <f>C399</f>
        <v>2.3650000000000002</v>
      </c>
      <c r="D394" s="21" t="s">
        <v>32</v>
      </c>
      <c r="E394" s="609">
        <f>0.0305+0.0022+0.0097</f>
        <v>4.24E-2</v>
      </c>
      <c r="F394" s="608">
        <v>4.6199999999999998E-2</v>
      </c>
      <c r="G394" s="5">
        <f t="shared" si="76"/>
        <v>2.5219554623610825</v>
      </c>
      <c r="H394" s="21" t="s">
        <v>38</v>
      </c>
      <c r="I394" s="6">
        <f>E391</f>
        <v>0.1043</v>
      </c>
      <c r="J394" s="7">
        <v>2.2800000000000001E-2</v>
      </c>
      <c r="K394" s="5">
        <f t="shared" si="78"/>
        <v>2.6850976487526426</v>
      </c>
      <c r="L394" s="21" t="s">
        <v>39</v>
      </c>
      <c r="M394" s="6">
        <v>0</v>
      </c>
      <c r="N394" s="7">
        <v>2.5000000000000001E-3</v>
      </c>
      <c r="O394" s="5">
        <f t="shared" si="79"/>
        <v>2.6918272167946289</v>
      </c>
      <c r="P394" s="329">
        <f>Weightings!$C$9</f>
        <v>6.554456479221634</v>
      </c>
      <c r="Q394" s="5">
        <f t="shared" si="77"/>
        <v>2.2160208634589178E-4</v>
      </c>
      <c r="R394" s="5"/>
      <c r="S394" s="29"/>
    </row>
    <row r="395" spans="1:19">
      <c r="A395" s="1" t="s">
        <v>0</v>
      </c>
      <c r="B395" s="8" t="s">
        <v>260</v>
      </c>
      <c r="C395" s="422">
        <v>2.31</v>
      </c>
      <c r="D395" s="21" t="s">
        <v>37</v>
      </c>
      <c r="E395" s="6">
        <f>0.0366+0.0022</f>
        <v>3.8800000000000001E-2</v>
      </c>
      <c r="F395" s="10">
        <v>6.9699999999999996E-3</v>
      </c>
      <c r="G395" s="5">
        <f t="shared" si="76"/>
        <v>2.365013709555603</v>
      </c>
      <c r="H395" s="21" t="s">
        <v>43</v>
      </c>
      <c r="I395" s="609">
        <f>0.017+0.0022</f>
        <v>1.9200000000000002E-2</v>
      </c>
      <c r="J395" s="608">
        <v>2.9020000000000001E-2</v>
      </c>
      <c r="K395" s="5">
        <f t="shared" si="78"/>
        <v>2.4548976555187574</v>
      </c>
      <c r="L395" s="15" t="s">
        <v>156</v>
      </c>
      <c r="M395" s="6">
        <f>E396</f>
        <v>2.2600000000000002E-2</v>
      </c>
      <c r="N395" s="10">
        <f>F396</f>
        <v>2.776E-2</v>
      </c>
      <c r="O395" s="247">
        <f t="shared" si="79"/>
        <v>2.5475914172619492</v>
      </c>
      <c r="P395" s="329">
        <f>Weightings!$C$13</f>
        <v>31370.607479626047</v>
      </c>
      <c r="Q395" s="5">
        <f t="shared" si="77"/>
        <v>1.0037895881554773</v>
      </c>
      <c r="R395" s="247"/>
      <c r="S395" s="29"/>
    </row>
    <row r="396" spans="1:19">
      <c r="A396" s="1" t="s">
        <v>1</v>
      </c>
      <c r="B396" s="8" t="s">
        <v>261</v>
      </c>
      <c r="C396" s="422">
        <v>2.4449999999999998</v>
      </c>
      <c r="D396" s="21" t="s">
        <v>48</v>
      </c>
      <c r="E396" s="6">
        <f>0.0134+0.0022+0.007</f>
        <v>2.2600000000000002E-2</v>
      </c>
      <c r="F396" s="10">
        <v>2.776E-2</v>
      </c>
      <c r="G396" s="5">
        <f t="shared" si="76"/>
        <v>2.5374111577388301</v>
      </c>
      <c r="H396" s="21"/>
      <c r="I396" s="6">
        <v>0</v>
      </c>
      <c r="J396" s="7">
        <v>0</v>
      </c>
      <c r="K396" s="5">
        <f t="shared" si="78"/>
        <v>2.5374111577388301</v>
      </c>
      <c r="L396" s="15"/>
      <c r="M396" s="6">
        <v>0</v>
      </c>
      <c r="N396" s="7">
        <v>0</v>
      </c>
      <c r="O396" s="5">
        <f t="shared" si="79"/>
        <v>2.5374111577388301</v>
      </c>
      <c r="P396" s="329">
        <f>Weightings!$C$14</f>
        <v>5614.3227016821775</v>
      </c>
      <c r="Q396" s="5">
        <f t="shared" si="77"/>
        <v>0.17892795469577144</v>
      </c>
      <c r="R396" s="5"/>
      <c r="S396" s="246"/>
    </row>
    <row r="397" spans="1:19">
      <c r="A397" s="1" t="s">
        <v>2</v>
      </c>
      <c r="B397" s="8" t="s">
        <v>262</v>
      </c>
      <c r="C397" s="649">
        <v>2.2250000000000001</v>
      </c>
      <c r="D397" s="21" t="s">
        <v>33</v>
      </c>
      <c r="E397" s="609">
        <f>0.0299+0.0022+0.0097</f>
        <v>4.1799999999999997E-2</v>
      </c>
      <c r="F397" s="608">
        <v>4.58E-2</v>
      </c>
      <c r="G397" s="5">
        <f t="shared" si="76"/>
        <v>2.3735962691259691</v>
      </c>
      <c r="H397" s="21" t="s">
        <v>42</v>
      </c>
      <c r="I397" s="6">
        <v>0</v>
      </c>
      <c r="J397" s="7">
        <v>0.01</v>
      </c>
      <c r="K397" s="5">
        <f t="shared" si="78"/>
        <v>2.3975719890161304</v>
      </c>
      <c r="L397" s="15"/>
      <c r="M397" s="6">
        <v>0</v>
      </c>
      <c r="N397" s="7">
        <v>0</v>
      </c>
      <c r="O397" s="5">
        <f t="shared" si="79"/>
        <v>2.3975719890161304</v>
      </c>
      <c r="P397" s="329">
        <f>Weightings!$C$15</f>
        <v>3366</v>
      </c>
      <c r="Q397" s="5">
        <f t="shared" si="77"/>
        <v>0.10136213476126156</v>
      </c>
      <c r="R397" s="5"/>
      <c r="S397" s="29"/>
    </row>
    <row r="398" spans="1:19">
      <c r="A398" s="1" t="s">
        <v>3</v>
      </c>
      <c r="B398" s="8" t="s">
        <v>259</v>
      </c>
      <c r="C398" s="422">
        <v>2.2599999999999998</v>
      </c>
      <c r="D398" s="21" t="s">
        <v>34</v>
      </c>
      <c r="E398" s="609">
        <f>0.0277+0.0022+0.0097</f>
        <v>3.9599999999999996E-2</v>
      </c>
      <c r="F398" s="608">
        <v>4.2299999999999997E-2</v>
      </c>
      <c r="G398" s="5">
        <f t="shared" si="76"/>
        <v>2.3994204030489712</v>
      </c>
      <c r="H398" s="21" t="s">
        <v>42</v>
      </c>
      <c r="I398" s="6">
        <v>0</v>
      </c>
      <c r="J398" s="7">
        <v>0.01</v>
      </c>
      <c r="K398" s="5">
        <f t="shared" si="78"/>
        <v>2.4236569727767385</v>
      </c>
      <c r="M398" s="6">
        <v>0</v>
      </c>
      <c r="N398" s="7">
        <v>0</v>
      </c>
      <c r="O398" s="5">
        <f t="shared" si="79"/>
        <v>2.4236569727767385</v>
      </c>
      <c r="P398" s="329">
        <f>Weightings!$C$16</f>
        <v>4950</v>
      </c>
      <c r="Q398" s="5">
        <f t="shared" si="77"/>
        <v>0.15068371976949552</v>
      </c>
      <c r="R398" s="5"/>
      <c r="S398" s="29"/>
    </row>
    <row r="399" spans="1:19">
      <c r="A399" s="1" t="s">
        <v>4</v>
      </c>
      <c r="B399" s="8" t="s">
        <v>103</v>
      </c>
      <c r="C399" s="422">
        <v>2.3650000000000002</v>
      </c>
      <c r="D399" s="21" t="s">
        <v>35</v>
      </c>
      <c r="E399" s="609">
        <f>0.0251+0.0022+0.0097</f>
        <v>3.7000000000000005E-2</v>
      </c>
      <c r="F399" s="608">
        <v>3.8100000000000002E-2</v>
      </c>
      <c r="G399" s="5">
        <f t="shared" si="76"/>
        <v>2.4956755379977129</v>
      </c>
      <c r="H399" s="21" t="s">
        <v>42</v>
      </c>
      <c r="I399" s="6">
        <v>0</v>
      </c>
      <c r="J399" s="7">
        <v>0.01</v>
      </c>
      <c r="K399" s="5">
        <f t="shared" si="78"/>
        <v>2.5208843818158715</v>
      </c>
      <c r="M399" s="6">
        <v>0</v>
      </c>
      <c r="N399" s="7">
        <v>0</v>
      </c>
      <c r="O399" s="5">
        <f t="shared" si="79"/>
        <v>2.5208843818158715</v>
      </c>
      <c r="P399" s="329">
        <f>Weightings!$C$17</f>
        <v>11172.172715894869</v>
      </c>
      <c r="Q399" s="5">
        <f t="shared" si="77"/>
        <v>0.35373704980895576</v>
      </c>
      <c r="R399" s="5"/>
      <c r="S399" s="29"/>
    </row>
    <row r="400" spans="1:19">
      <c r="O400" s="35"/>
      <c r="P400" s="67"/>
      <c r="Q400" s="35"/>
      <c r="R400" s="35"/>
      <c r="S400" s="244"/>
    </row>
    <row r="401" spans="1:19" ht="13.5" thickBot="1">
      <c r="O401" s="36"/>
      <c r="P401" s="330"/>
      <c r="Q401" s="36"/>
      <c r="R401" s="36"/>
    </row>
    <row r="402" spans="1:19" ht="13.5" thickBot="1">
      <c r="O402" s="331" t="s">
        <v>198</v>
      </c>
      <c r="P402" s="332"/>
      <c r="Q402" s="333">
        <f>SUM(Q389:Q399)</f>
        <v>2.5587282772566526</v>
      </c>
      <c r="R402" s="424">
        <f>B387</f>
        <v>37184</v>
      </c>
    </row>
    <row r="403" spans="1:19">
      <c r="O403" s="35"/>
      <c r="P403" s="35"/>
      <c r="Q403" s="35"/>
      <c r="R403" s="35"/>
      <c r="S403" s="35"/>
    </row>
    <row r="404" spans="1:19">
      <c r="D404" s="21"/>
      <c r="H404" s="5"/>
      <c r="O404" s="36" t="s">
        <v>263</v>
      </c>
      <c r="P404" s="404">
        <f>Weightings!C403</f>
        <v>0</v>
      </c>
      <c r="Q404" s="35" t="s">
        <v>206</v>
      </c>
      <c r="R404" s="344" t="s">
        <v>208</v>
      </c>
      <c r="S404" s="35"/>
    </row>
    <row r="405" spans="1:19" ht="13.5" thickBot="1">
      <c r="A405" s="675"/>
      <c r="B405" s="676"/>
      <c r="C405" s="675"/>
      <c r="D405" s="677"/>
      <c r="E405" s="675"/>
      <c r="F405" s="675"/>
      <c r="G405" s="675"/>
      <c r="H405" s="678"/>
      <c r="I405" s="675"/>
      <c r="J405" s="675"/>
      <c r="K405" s="675"/>
      <c r="L405" s="675"/>
      <c r="M405" s="675"/>
      <c r="N405" s="675"/>
      <c r="O405" s="675"/>
      <c r="P405" s="679"/>
      <c r="Q405" s="675"/>
      <c r="R405" s="675"/>
      <c r="S405" s="675"/>
    </row>
    <row r="406" spans="1:19" ht="14.25" thickTop="1" thickBot="1">
      <c r="A406" s="2"/>
      <c r="B406" s="28"/>
      <c r="D406" s="3" t="s">
        <v>10</v>
      </c>
      <c r="H406" s="3" t="s">
        <v>11</v>
      </c>
      <c r="L406" s="3" t="s">
        <v>12</v>
      </c>
    </row>
    <row r="407" spans="1:19" ht="14.25" thickTop="1" thickBot="1">
      <c r="A407" s="421" t="s">
        <v>255</v>
      </c>
      <c r="B407" s="433">
        <f>B387+1</f>
        <v>37185</v>
      </c>
      <c r="C407" s="434">
        <f>Q422</f>
        <v>2.5587282772566526</v>
      </c>
      <c r="E407" s="624"/>
    </row>
    <row r="408" spans="1:19" ht="54" customHeight="1" thickTop="1">
      <c r="A408" s="2" t="s">
        <v>5</v>
      </c>
      <c r="B408" s="9" t="s">
        <v>46</v>
      </c>
      <c r="C408" s="18" t="s">
        <v>256</v>
      </c>
      <c r="D408" s="14" t="s">
        <v>28</v>
      </c>
      <c r="E408" s="4" t="s">
        <v>7</v>
      </c>
      <c r="F408" s="4" t="s">
        <v>8</v>
      </c>
      <c r="G408" s="4" t="s">
        <v>9</v>
      </c>
      <c r="H408" s="14" t="s">
        <v>28</v>
      </c>
      <c r="I408" s="4" t="s">
        <v>7</v>
      </c>
      <c r="J408" s="4" t="s">
        <v>8</v>
      </c>
      <c r="K408" s="4" t="s">
        <v>9</v>
      </c>
      <c r="L408" s="14" t="s">
        <v>28</v>
      </c>
      <c r="M408" s="4" t="s">
        <v>7</v>
      </c>
      <c r="N408" s="4" t="s">
        <v>8</v>
      </c>
      <c r="O408" s="4" t="s">
        <v>9</v>
      </c>
      <c r="P408" s="4" t="s">
        <v>193</v>
      </c>
      <c r="Q408" s="4" t="s">
        <v>197</v>
      </c>
      <c r="R408" s="4"/>
      <c r="S408" s="4"/>
    </row>
    <row r="409" spans="1:19">
      <c r="A409" s="1" t="s">
        <v>49</v>
      </c>
      <c r="B409" s="8" t="s">
        <v>269</v>
      </c>
      <c r="C409" s="422">
        <v>2.2749999999999999</v>
      </c>
      <c r="D409" s="21" t="s">
        <v>29</v>
      </c>
      <c r="E409" s="6">
        <v>5.2200000000000003E-2</v>
      </c>
      <c r="F409" s="10">
        <v>5.0599999999999999E-2</v>
      </c>
      <c r="G409" s="5">
        <f t="shared" ref="G409:G419" si="80">+C409/(1-F409)+E409</f>
        <v>2.4484502633242045</v>
      </c>
      <c r="H409" s="21" t="s">
        <v>38</v>
      </c>
      <c r="I409" s="6">
        <f>E411</f>
        <v>0.1043</v>
      </c>
      <c r="J409" s="7">
        <v>2.2800000000000001E-2</v>
      </c>
      <c r="K409" s="5">
        <f>+G409/(1-J409)+I409</f>
        <v>2.6098774286985309</v>
      </c>
      <c r="L409" s="21" t="s">
        <v>39</v>
      </c>
      <c r="M409" s="6">
        <v>0</v>
      </c>
      <c r="N409" s="7">
        <v>2.5000000000000001E-3</v>
      </c>
      <c r="O409" s="5">
        <f>+K409/(1-N409)+M409</f>
        <v>2.6164184748857453</v>
      </c>
      <c r="P409" s="329">
        <f>Weightings!$C$4</f>
        <v>1071.401539872767</v>
      </c>
      <c r="Q409" s="5">
        <f t="shared" ref="Q409:Q419" si="81">+P409/SUM($P$9:$P$19)*O409</f>
        <v>3.5208656552599707E-2</v>
      </c>
      <c r="R409" s="5"/>
      <c r="S409" s="245"/>
    </row>
    <row r="410" spans="1:19">
      <c r="A410" s="1" t="s">
        <v>50</v>
      </c>
      <c r="B410" s="8" t="s">
        <v>270</v>
      </c>
      <c r="C410" s="422">
        <v>2.23</v>
      </c>
      <c r="D410" s="21" t="s">
        <v>30</v>
      </c>
      <c r="E410" s="6">
        <v>5.2200000000000003E-2</v>
      </c>
      <c r="F410" s="10">
        <v>5.8000000000000003E-2</v>
      </c>
      <c r="G410" s="5">
        <f t="shared" si="80"/>
        <v>2.4195036093418261</v>
      </c>
      <c r="H410" s="21" t="s">
        <v>38</v>
      </c>
      <c r="I410" s="6">
        <f>E411</f>
        <v>0.1043</v>
      </c>
      <c r="J410" s="7">
        <v>2.2800000000000001E-2</v>
      </c>
      <c r="K410" s="5">
        <f t="shared" ref="K410:K419" si="82">+G410/(1-J410)+I410</f>
        <v>2.5802553922859457</v>
      </c>
      <c r="L410" s="21" t="s">
        <v>39</v>
      </c>
      <c r="M410" s="6">
        <v>0</v>
      </c>
      <c r="N410" s="7">
        <v>2.5000000000000001E-3</v>
      </c>
      <c r="O410" s="5">
        <f t="shared" ref="O410:O419" si="83">+K410/(1-N410)+M410</f>
        <v>2.5867221977803965</v>
      </c>
      <c r="P410" s="329">
        <f>Weightings!$C$5</f>
        <v>1309.8829179244465</v>
      </c>
      <c r="Q410" s="5">
        <f t="shared" si="81"/>
        <v>4.2557121902544286E-2</v>
      </c>
      <c r="R410" s="5"/>
      <c r="S410" s="29"/>
    </row>
    <row r="411" spans="1:19">
      <c r="A411" s="1" t="s">
        <v>40</v>
      </c>
      <c r="B411" s="8" t="s">
        <v>257</v>
      </c>
      <c r="C411" s="422">
        <v>2.4849999999999999</v>
      </c>
      <c r="D411" s="21" t="s">
        <v>154</v>
      </c>
      <c r="E411" s="6">
        <f>0.0951+0.0022+0.007</f>
        <v>0.1043</v>
      </c>
      <c r="F411" s="10">
        <v>2.2800000000000001E-2</v>
      </c>
      <c r="G411" s="5">
        <f t="shared" si="80"/>
        <v>2.6472799426934097</v>
      </c>
      <c r="H411" s="21" t="s">
        <v>39</v>
      </c>
      <c r="I411" s="6">
        <v>0</v>
      </c>
      <c r="J411" s="7">
        <v>2.5000000000000001E-3</v>
      </c>
      <c r="K411" s="5">
        <f t="shared" si="82"/>
        <v>2.6539147295172025</v>
      </c>
      <c r="L411" s="21"/>
      <c r="M411" s="6">
        <v>0</v>
      </c>
      <c r="N411" s="7">
        <v>0</v>
      </c>
      <c r="O411" s="5">
        <f t="shared" si="83"/>
        <v>2.6539147295172025</v>
      </c>
      <c r="P411" s="329">
        <f>Weightings!$C$6</f>
        <v>19813.452023725906</v>
      </c>
      <c r="Q411" s="5">
        <f t="shared" si="81"/>
        <v>0.66044566403511185</v>
      </c>
      <c r="R411" s="5"/>
      <c r="S411" s="29"/>
    </row>
    <row r="412" spans="1:19">
      <c r="A412" s="1" t="s">
        <v>41</v>
      </c>
      <c r="B412" s="8" t="s">
        <v>258</v>
      </c>
      <c r="C412" s="422">
        <v>2.5499999999999998</v>
      </c>
      <c r="D412" s="21" t="s">
        <v>155</v>
      </c>
      <c r="E412" s="6">
        <f>0.0951+0.0022+0.007</f>
        <v>0.1043</v>
      </c>
      <c r="F412" s="10">
        <v>2.2800000000000001E-2</v>
      </c>
      <c r="G412" s="5">
        <f t="shared" si="80"/>
        <v>2.7137965206713055</v>
      </c>
      <c r="H412" s="21" t="s">
        <v>39</v>
      </c>
      <c r="I412" s="6">
        <v>0</v>
      </c>
      <c r="J412" s="7">
        <v>2.5000000000000001E-3</v>
      </c>
      <c r="K412" s="5">
        <f t="shared" si="82"/>
        <v>2.720598015710582</v>
      </c>
      <c r="L412" s="21"/>
      <c r="M412" s="6">
        <v>0</v>
      </c>
      <c r="N412" s="7">
        <v>0</v>
      </c>
      <c r="O412" s="5">
        <f t="shared" si="83"/>
        <v>2.720598015710582</v>
      </c>
      <c r="P412" s="329">
        <f>Weightings!$C$7</f>
        <v>669.60336394048545</v>
      </c>
      <c r="Q412" s="5">
        <f t="shared" si="81"/>
        <v>2.2880841073086782E-2</v>
      </c>
      <c r="R412" s="5"/>
      <c r="S412" s="245"/>
    </row>
    <row r="413" spans="1:19">
      <c r="A413" s="1" t="s">
        <v>26</v>
      </c>
      <c r="B413" s="8" t="s">
        <v>259</v>
      </c>
      <c r="C413" s="423">
        <f>C418</f>
        <v>2.2599999999999998</v>
      </c>
      <c r="D413" s="21" t="s">
        <v>31</v>
      </c>
      <c r="E413" s="609">
        <f>0.0331+0.0022+0.0097</f>
        <v>4.4999999999999998E-2</v>
      </c>
      <c r="F413" s="608">
        <v>5.04E-2</v>
      </c>
      <c r="G413" s="5">
        <f t="shared" si="80"/>
        <v>2.4249494524010107</v>
      </c>
      <c r="H413" s="21" t="s">
        <v>38</v>
      </c>
      <c r="I413" s="6">
        <f>E411</f>
        <v>0.1043</v>
      </c>
      <c r="J413" s="7">
        <v>2.2800000000000001E-2</v>
      </c>
      <c r="K413" s="5">
        <f t="shared" si="82"/>
        <v>2.5858282975859708</v>
      </c>
      <c r="L413" s="21" t="s">
        <v>39</v>
      </c>
      <c r="M413" s="6">
        <v>0</v>
      </c>
      <c r="N413" s="7">
        <v>2.5000000000000001E-3</v>
      </c>
      <c r="O413" s="5">
        <f t="shared" si="83"/>
        <v>2.5923090702616247</v>
      </c>
      <c r="P413" s="329">
        <f>Weightings!$C$8</f>
        <v>273.77460524748824</v>
      </c>
      <c r="Q413" s="5">
        <f t="shared" si="81"/>
        <v>8.9139444160028225E-3</v>
      </c>
      <c r="R413" s="5"/>
      <c r="S413" s="29"/>
    </row>
    <row r="414" spans="1:19">
      <c r="A414" s="1" t="s">
        <v>27</v>
      </c>
      <c r="B414" s="8" t="s">
        <v>103</v>
      </c>
      <c r="C414" s="423">
        <f>C419</f>
        <v>2.3650000000000002</v>
      </c>
      <c r="D414" s="21" t="s">
        <v>32</v>
      </c>
      <c r="E414" s="609">
        <f>0.0305+0.0022+0.0097</f>
        <v>4.24E-2</v>
      </c>
      <c r="F414" s="608">
        <v>4.6199999999999998E-2</v>
      </c>
      <c r="G414" s="5">
        <f t="shared" si="80"/>
        <v>2.5219554623610825</v>
      </c>
      <c r="H414" s="21" t="s">
        <v>38</v>
      </c>
      <c r="I414" s="6">
        <f>E411</f>
        <v>0.1043</v>
      </c>
      <c r="J414" s="7">
        <v>2.2800000000000001E-2</v>
      </c>
      <c r="K414" s="5">
        <f t="shared" si="82"/>
        <v>2.6850976487526426</v>
      </c>
      <c r="L414" s="21" t="s">
        <v>39</v>
      </c>
      <c r="M414" s="6">
        <v>0</v>
      </c>
      <c r="N414" s="7">
        <v>2.5000000000000001E-3</v>
      </c>
      <c r="O414" s="5">
        <f t="shared" si="83"/>
        <v>2.6918272167946289</v>
      </c>
      <c r="P414" s="329">
        <f>Weightings!$C$9</f>
        <v>6.554456479221634</v>
      </c>
      <c r="Q414" s="5">
        <f t="shared" si="81"/>
        <v>2.2160208634589178E-4</v>
      </c>
      <c r="R414" s="5"/>
      <c r="S414" s="29"/>
    </row>
    <row r="415" spans="1:19">
      <c r="A415" s="1" t="s">
        <v>0</v>
      </c>
      <c r="B415" s="8" t="s">
        <v>260</v>
      </c>
      <c r="C415" s="422">
        <v>2.31</v>
      </c>
      <c r="D415" s="21" t="s">
        <v>37</v>
      </c>
      <c r="E415" s="6">
        <f>0.0366+0.0022</f>
        <v>3.8800000000000001E-2</v>
      </c>
      <c r="F415" s="10">
        <v>6.9699999999999996E-3</v>
      </c>
      <c r="G415" s="5">
        <f t="shared" si="80"/>
        <v>2.365013709555603</v>
      </c>
      <c r="H415" s="21" t="s">
        <v>43</v>
      </c>
      <c r="I415" s="609">
        <f>0.017+0.0022</f>
        <v>1.9200000000000002E-2</v>
      </c>
      <c r="J415" s="608">
        <v>2.9020000000000001E-2</v>
      </c>
      <c r="K415" s="5">
        <f t="shared" si="82"/>
        <v>2.4548976555187574</v>
      </c>
      <c r="L415" s="15" t="s">
        <v>156</v>
      </c>
      <c r="M415" s="6">
        <f>E416</f>
        <v>2.2600000000000002E-2</v>
      </c>
      <c r="N415" s="10">
        <f>F416</f>
        <v>2.776E-2</v>
      </c>
      <c r="O415" s="247">
        <f t="shared" si="83"/>
        <v>2.5475914172619492</v>
      </c>
      <c r="P415" s="329">
        <f>Weightings!$C$13</f>
        <v>31370.607479626047</v>
      </c>
      <c r="Q415" s="5">
        <f t="shared" si="81"/>
        <v>1.0037895881554773</v>
      </c>
      <c r="R415" s="247"/>
      <c r="S415" s="29"/>
    </row>
    <row r="416" spans="1:19">
      <c r="A416" s="1" t="s">
        <v>1</v>
      </c>
      <c r="B416" s="8" t="s">
        <v>261</v>
      </c>
      <c r="C416" s="422">
        <v>2.4449999999999998</v>
      </c>
      <c r="D416" s="21" t="s">
        <v>48</v>
      </c>
      <c r="E416" s="6">
        <f>0.0134+0.0022+0.007</f>
        <v>2.2600000000000002E-2</v>
      </c>
      <c r="F416" s="10">
        <v>2.776E-2</v>
      </c>
      <c r="G416" s="5">
        <f t="shared" si="80"/>
        <v>2.5374111577388301</v>
      </c>
      <c r="H416" s="21"/>
      <c r="I416" s="6">
        <v>0</v>
      </c>
      <c r="J416" s="7">
        <v>0</v>
      </c>
      <c r="K416" s="5">
        <f t="shared" si="82"/>
        <v>2.5374111577388301</v>
      </c>
      <c r="L416" s="15"/>
      <c r="M416" s="6">
        <v>0</v>
      </c>
      <c r="N416" s="7">
        <v>0</v>
      </c>
      <c r="O416" s="5">
        <f t="shared" si="83"/>
        <v>2.5374111577388301</v>
      </c>
      <c r="P416" s="329">
        <f>Weightings!$C$14</f>
        <v>5614.3227016821775</v>
      </c>
      <c r="Q416" s="5">
        <f t="shared" si="81"/>
        <v>0.17892795469577144</v>
      </c>
      <c r="R416" s="5"/>
      <c r="S416" s="246"/>
    </row>
    <row r="417" spans="1:19">
      <c r="A417" s="1" t="s">
        <v>2</v>
      </c>
      <c r="B417" s="8" t="s">
        <v>262</v>
      </c>
      <c r="C417" s="649">
        <v>2.2250000000000001</v>
      </c>
      <c r="D417" s="21" t="s">
        <v>33</v>
      </c>
      <c r="E417" s="609">
        <f>0.0299+0.0022+0.0097</f>
        <v>4.1799999999999997E-2</v>
      </c>
      <c r="F417" s="608">
        <v>4.58E-2</v>
      </c>
      <c r="G417" s="5">
        <f t="shared" si="80"/>
        <v>2.3735962691259691</v>
      </c>
      <c r="H417" s="21" t="s">
        <v>42</v>
      </c>
      <c r="I417" s="6">
        <v>0</v>
      </c>
      <c r="J417" s="7">
        <v>0.01</v>
      </c>
      <c r="K417" s="5">
        <f t="shared" si="82"/>
        <v>2.3975719890161304</v>
      </c>
      <c r="L417" s="15"/>
      <c r="M417" s="6">
        <v>0</v>
      </c>
      <c r="N417" s="7">
        <v>0</v>
      </c>
      <c r="O417" s="5">
        <f t="shared" si="83"/>
        <v>2.3975719890161304</v>
      </c>
      <c r="P417" s="329">
        <f>Weightings!$C$15</f>
        <v>3366</v>
      </c>
      <c r="Q417" s="5">
        <f t="shared" si="81"/>
        <v>0.10136213476126156</v>
      </c>
      <c r="R417" s="5"/>
      <c r="S417" s="29"/>
    </row>
    <row r="418" spans="1:19">
      <c r="A418" s="1" t="s">
        <v>3</v>
      </c>
      <c r="B418" s="8" t="s">
        <v>259</v>
      </c>
      <c r="C418" s="422">
        <v>2.2599999999999998</v>
      </c>
      <c r="D418" s="21" t="s">
        <v>34</v>
      </c>
      <c r="E418" s="609">
        <f>0.0277+0.0022+0.0097</f>
        <v>3.9599999999999996E-2</v>
      </c>
      <c r="F418" s="608">
        <v>4.2299999999999997E-2</v>
      </c>
      <c r="G418" s="5">
        <f t="shared" si="80"/>
        <v>2.3994204030489712</v>
      </c>
      <c r="H418" s="21" t="s">
        <v>42</v>
      </c>
      <c r="I418" s="6">
        <v>0</v>
      </c>
      <c r="J418" s="7">
        <v>0.01</v>
      </c>
      <c r="K418" s="5">
        <f t="shared" si="82"/>
        <v>2.4236569727767385</v>
      </c>
      <c r="M418" s="6">
        <v>0</v>
      </c>
      <c r="N418" s="7">
        <v>0</v>
      </c>
      <c r="O418" s="5">
        <f t="shared" si="83"/>
        <v>2.4236569727767385</v>
      </c>
      <c r="P418" s="329">
        <f>Weightings!$C$16</f>
        <v>4950</v>
      </c>
      <c r="Q418" s="5">
        <f t="shared" si="81"/>
        <v>0.15068371976949552</v>
      </c>
      <c r="R418" s="5"/>
      <c r="S418" s="29"/>
    </row>
    <row r="419" spans="1:19">
      <c r="A419" s="1" t="s">
        <v>4</v>
      </c>
      <c r="B419" s="8" t="s">
        <v>103</v>
      </c>
      <c r="C419" s="422">
        <v>2.3650000000000002</v>
      </c>
      <c r="D419" s="21" t="s">
        <v>35</v>
      </c>
      <c r="E419" s="609">
        <f>0.0251+0.0022+0.0097</f>
        <v>3.7000000000000005E-2</v>
      </c>
      <c r="F419" s="608">
        <v>3.8100000000000002E-2</v>
      </c>
      <c r="G419" s="5">
        <f t="shared" si="80"/>
        <v>2.4956755379977129</v>
      </c>
      <c r="H419" s="21" t="s">
        <v>42</v>
      </c>
      <c r="I419" s="6">
        <v>0</v>
      </c>
      <c r="J419" s="7">
        <v>0.01</v>
      </c>
      <c r="K419" s="5">
        <f t="shared" si="82"/>
        <v>2.5208843818158715</v>
      </c>
      <c r="M419" s="6">
        <v>0</v>
      </c>
      <c r="N419" s="7">
        <v>0</v>
      </c>
      <c r="O419" s="5">
        <f t="shared" si="83"/>
        <v>2.5208843818158715</v>
      </c>
      <c r="P419" s="329">
        <f>Weightings!$C$17</f>
        <v>11172.172715894869</v>
      </c>
      <c r="Q419" s="5">
        <f t="shared" si="81"/>
        <v>0.35373704980895576</v>
      </c>
      <c r="R419" s="5"/>
      <c r="S419" s="29"/>
    </row>
    <row r="420" spans="1:19">
      <c r="O420" s="35"/>
      <c r="P420" s="67"/>
      <c r="Q420" s="35"/>
      <c r="R420" s="35"/>
      <c r="S420" s="244"/>
    </row>
    <row r="421" spans="1:19" ht="13.5" thickBot="1">
      <c r="O421" s="36"/>
      <c r="P421" s="330"/>
      <c r="Q421" s="36"/>
      <c r="R421" s="36"/>
    </row>
    <row r="422" spans="1:19" ht="13.5" thickBot="1">
      <c r="O422" s="331" t="s">
        <v>198</v>
      </c>
      <c r="P422" s="332"/>
      <c r="Q422" s="333">
        <f>SUM(Q409:Q419)</f>
        <v>2.5587282772566526</v>
      </c>
      <c r="R422" s="424">
        <f>B407</f>
        <v>37185</v>
      </c>
    </row>
    <row r="423" spans="1:19">
      <c r="O423" s="35"/>
      <c r="P423" s="35"/>
      <c r="Q423" s="35"/>
      <c r="R423" s="35"/>
      <c r="S423" s="35"/>
    </row>
    <row r="424" spans="1:19">
      <c r="D424" s="21"/>
      <c r="H424" s="5"/>
      <c r="O424" s="36" t="s">
        <v>263</v>
      </c>
      <c r="P424" s="404">
        <f>Weightings!C423</f>
        <v>0</v>
      </c>
      <c r="Q424" s="35" t="s">
        <v>206</v>
      </c>
      <c r="R424" s="344" t="s">
        <v>208</v>
      </c>
      <c r="S424" s="35"/>
    </row>
    <row r="425" spans="1:19" ht="13.5" thickBot="1">
      <c r="A425" s="675"/>
      <c r="B425" s="676"/>
      <c r="C425" s="675"/>
      <c r="D425" s="677"/>
      <c r="E425" s="675"/>
      <c r="F425" s="675"/>
      <c r="G425" s="675"/>
      <c r="H425" s="678"/>
      <c r="I425" s="675"/>
      <c r="J425" s="675"/>
      <c r="K425" s="675"/>
      <c r="L425" s="675"/>
      <c r="M425" s="675"/>
      <c r="N425" s="675"/>
      <c r="O425" s="675"/>
      <c r="P425" s="679"/>
      <c r="Q425" s="675"/>
      <c r="R425" s="675"/>
      <c r="S425" s="675"/>
    </row>
    <row r="426" spans="1:19" ht="14.25" thickTop="1" thickBot="1">
      <c r="A426" s="2"/>
      <c r="B426" s="28"/>
      <c r="D426" s="3" t="s">
        <v>10</v>
      </c>
      <c r="H426" s="3" t="s">
        <v>11</v>
      </c>
      <c r="L426" s="3" t="s">
        <v>12</v>
      </c>
    </row>
    <row r="427" spans="1:19" ht="14.25" thickTop="1" thickBot="1">
      <c r="A427" s="421" t="s">
        <v>255</v>
      </c>
      <c r="B427" s="433">
        <f>B407+1</f>
        <v>37186</v>
      </c>
      <c r="C427" s="434">
        <f>Q442</f>
        <v>2.5587282772566526</v>
      </c>
      <c r="E427" s="624"/>
    </row>
    <row r="428" spans="1:19" ht="54" customHeight="1" thickTop="1">
      <c r="A428" s="2" t="s">
        <v>5</v>
      </c>
      <c r="B428" s="9" t="s">
        <v>46</v>
      </c>
      <c r="C428" s="18" t="s">
        <v>256</v>
      </c>
      <c r="D428" s="14" t="s">
        <v>28</v>
      </c>
      <c r="E428" s="4" t="s">
        <v>7</v>
      </c>
      <c r="F428" s="4" t="s">
        <v>8</v>
      </c>
      <c r="G428" s="4" t="s">
        <v>9</v>
      </c>
      <c r="H428" s="14" t="s">
        <v>28</v>
      </c>
      <c r="I428" s="4" t="s">
        <v>7</v>
      </c>
      <c r="J428" s="4" t="s">
        <v>8</v>
      </c>
      <c r="K428" s="4" t="s">
        <v>9</v>
      </c>
      <c r="L428" s="14" t="s">
        <v>28</v>
      </c>
      <c r="M428" s="4" t="s">
        <v>7</v>
      </c>
      <c r="N428" s="4" t="s">
        <v>8</v>
      </c>
      <c r="O428" s="4" t="s">
        <v>9</v>
      </c>
      <c r="P428" s="4" t="s">
        <v>193</v>
      </c>
      <c r="Q428" s="4" t="s">
        <v>197</v>
      </c>
      <c r="R428" s="4"/>
      <c r="S428" s="4"/>
    </row>
    <row r="429" spans="1:19">
      <c r="A429" s="1" t="s">
        <v>49</v>
      </c>
      <c r="B429" s="8" t="s">
        <v>269</v>
      </c>
      <c r="C429" s="422">
        <v>2.2749999999999999</v>
      </c>
      <c r="D429" s="21" t="s">
        <v>29</v>
      </c>
      <c r="E429" s="6">
        <v>5.2200000000000003E-2</v>
      </c>
      <c r="F429" s="10">
        <v>5.0599999999999999E-2</v>
      </c>
      <c r="G429" s="5">
        <f t="shared" ref="G429:G439" si="84">+C429/(1-F429)+E429</f>
        <v>2.4484502633242045</v>
      </c>
      <c r="H429" s="21" t="s">
        <v>38</v>
      </c>
      <c r="I429" s="6">
        <f>E431</f>
        <v>0.1043</v>
      </c>
      <c r="J429" s="7">
        <v>2.2800000000000001E-2</v>
      </c>
      <c r="K429" s="5">
        <f>+G429/(1-J429)+I429</f>
        <v>2.6098774286985309</v>
      </c>
      <c r="L429" s="21" t="s">
        <v>39</v>
      </c>
      <c r="M429" s="6">
        <v>0</v>
      </c>
      <c r="N429" s="7">
        <v>2.5000000000000001E-3</v>
      </c>
      <c r="O429" s="5">
        <f>+K429/(1-N429)+M429</f>
        <v>2.6164184748857453</v>
      </c>
      <c r="P429" s="329">
        <f>Weightings!$C$4</f>
        <v>1071.401539872767</v>
      </c>
      <c r="Q429" s="5">
        <f t="shared" ref="Q429:Q439" si="85">+P429/SUM($P$9:$P$19)*O429</f>
        <v>3.5208656552599707E-2</v>
      </c>
      <c r="R429" s="5"/>
      <c r="S429" s="245"/>
    </row>
    <row r="430" spans="1:19">
      <c r="A430" s="1" t="s">
        <v>50</v>
      </c>
      <c r="B430" s="8" t="s">
        <v>270</v>
      </c>
      <c r="C430" s="422">
        <v>2.23</v>
      </c>
      <c r="D430" s="21" t="s">
        <v>30</v>
      </c>
      <c r="E430" s="6">
        <v>5.2200000000000003E-2</v>
      </c>
      <c r="F430" s="10">
        <v>5.8000000000000003E-2</v>
      </c>
      <c r="G430" s="5">
        <f t="shared" si="84"/>
        <v>2.4195036093418261</v>
      </c>
      <c r="H430" s="21" t="s">
        <v>38</v>
      </c>
      <c r="I430" s="6">
        <f>E431</f>
        <v>0.1043</v>
      </c>
      <c r="J430" s="7">
        <v>2.2800000000000001E-2</v>
      </c>
      <c r="K430" s="5">
        <f t="shared" ref="K430:K439" si="86">+G430/(1-J430)+I430</f>
        <v>2.5802553922859457</v>
      </c>
      <c r="L430" s="21" t="s">
        <v>39</v>
      </c>
      <c r="M430" s="6">
        <v>0</v>
      </c>
      <c r="N430" s="7">
        <v>2.5000000000000001E-3</v>
      </c>
      <c r="O430" s="5">
        <f t="shared" ref="O430:O439" si="87">+K430/(1-N430)+M430</f>
        <v>2.5867221977803965</v>
      </c>
      <c r="P430" s="329">
        <f>Weightings!$C$5</f>
        <v>1309.8829179244465</v>
      </c>
      <c r="Q430" s="5">
        <f t="shared" si="85"/>
        <v>4.2557121902544286E-2</v>
      </c>
      <c r="R430" s="5"/>
      <c r="S430" s="29"/>
    </row>
    <row r="431" spans="1:19">
      <c r="A431" s="1" t="s">
        <v>40</v>
      </c>
      <c r="B431" s="8" t="s">
        <v>257</v>
      </c>
      <c r="C431" s="422">
        <v>2.4849999999999999</v>
      </c>
      <c r="D431" s="21" t="s">
        <v>154</v>
      </c>
      <c r="E431" s="6">
        <f>0.0951+0.0022+0.007</f>
        <v>0.1043</v>
      </c>
      <c r="F431" s="10">
        <v>2.2800000000000001E-2</v>
      </c>
      <c r="G431" s="5">
        <f t="shared" si="84"/>
        <v>2.6472799426934097</v>
      </c>
      <c r="H431" s="21" t="s">
        <v>39</v>
      </c>
      <c r="I431" s="6">
        <v>0</v>
      </c>
      <c r="J431" s="7">
        <v>2.5000000000000001E-3</v>
      </c>
      <c r="K431" s="5">
        <f t="shared" si="86"/>
        <v>2.6539147295172025</v>
      </c>
      <c r="L431" s="21"/>
      <c r="M431" s="6">
        <v>0</v>
      </c>
      <c r="N431" s="7">
        <v>0</v>
      </c>
      <c r="O431" s="5">
        <f t="shared" si="87"/>
        <v>2.6539147295172025</v>
      </c>
      <c r="P431" s="329">
        <f>Weightings!$C$6</f>
        <v>19813.452023725906</v>
      </c>
      <c r="Q431" s="5">
        <f t="shared" si="85"/>
        <v>0.66044566403511185</v>
      </c>
      <c r="R431" s="5"/>
      <c r="S431" s="29"/>
    </row>
    <row r="432" spans="1:19">
      <c r="A432" s="1" t="s">
        <v>41</v>
      </c>
      <c r="B432" s="8" t="s">
        <v>258</v>
      </c>
      <c r="C432" s="422">
        <v>2.5499999999999998</v>
      </c>
      <c r="D432" s="21" t="s">
        <v>155</v>
      </c>
      <c r="E432" s="6">
        <f>0.0951+0.0022+0.007</f>
        <v>0.1043</v>
      </c>
      <c r="F432" s="10">
        <v>2.2800000000000001E-2</v>
      </c>
      <c r="G432" s="5">
        <f t="shared" si="84"/>
        <v>2.7137965206713055</v>
      </c>
      <c r="H432" s="21" t="s">
        <v>39</v>
      </c>
      <c r="I432" s="6">
        <v>0</v>
      </c>
      <c r="J432" s="7">
        <v>2.5000000000000001E-3</v>
      </c>
      <c r="K432" s="5">
        <f t="shared" si="86"/>
        <v>2.720598015710582</v>
      </c>
      <c r="L432" s="21"/>
      <c r="M432" s="6">
        <v>0</v>
      </c>
      <c r="N432" s="7">
        <v>0</v>
      </c>
      <c r="O432" s="5">
        <f t="shared" si="87"/>
        <v>2.720598015710582</v>
      </c>
      <c r="P432" s="329">
        <f>Weightings!$C$7</f>
        <v>669.60336394048545</v>
      </c>
      <c r="Q432" s="5">
        <f t="shared" si="85"/>
        <v>2.2880841073086782E-2</v>
      </c>
      <c r="R432" s="5"/>
      <c r="S432" s="245"/>
    </row>
    <row r="433" spans="1:19">
      <c r="A433" s="1" t="s">
        <v>26</v>
      </c>
      <c r="B433" s="8" t="s">
        <v>259</v>
      </c>
      <c r="C433" s="423">
        <f>C438</f>
        <v>2.2599999999999998</v>
      </c>
      <c r="D433" s="21" t="s">
        <v>31</v>
      </c>
      <c r="E433" s="609">
        <f>0.0331+0.0022+0.0097</f>
        <v>4.4999999999999998E-2</v>
      </c>
      <c r="F433" s="608">
        <v>5.04E-2</v>
      </c>
      <c r="G433" s="5">
        <f t="shared" si="84"/>
        <v>2.4249494524010107</v>
      </c>
      <c r="H433" s="21" t="s">
        <v>38</v>
      </c>
      <c r="I433" s="6">
        <f>E431</f>
        <v>0.1043</v>
      </c>
      <c r="J433" s="7">
        <v>2.2800000000000001E-2</v>
      </c>
      <c r="K433" s="5">
        <f t="shared" si="86"/>
        <v>2.5858282975859708</v>
      </c>
      <c r="L433" s="21" t="s">
        <v>39</v>
      </c>
      <c r="M433" s="6">
        <v>0</v>
      </c>
      <c r="N433" s="7">
        <v>2.5000000000000001E-3</v>
      </c>
      <c r="O433" s="5">
        <f t="shared" si="87"/>
        <v>2.5923090702616247</v>
      </c>
      <c r="P433" s="329">
        <f>Weightings!$C$8</f>
        <v>273.77460524748824</v>
      </c>
      <c r="Q433" s="5">
        <f t="shared" si="85"/>
        <v>8.9139444160028225E-3</v>
      </c>
      <c r="R433" s="5"/>
      <c r="S433" s="29"/>
    </row>
    <row r="434" spans="1:19">
      <c r="A434" s="1" t="s">
        <v>27</v>
      </c>
      <c r="B434" s="8" t="s">
        <v>103</v>
      </c>
      <c r="C434" s="423">
        <f>C439</f>
        <v>2.3650000000000002</v>
      </c>
      <c r="D434" s="21" t="s">
        <v>32</v>
      </c>
      <c r="E434" s="609">
        <f>0.0305+0.0022+0.0097</f>
        <v>4.24E-2</v>
      </c>
      <c r="F434" s="608">
        <v>4.6199999999999998E-2</v>
      </c>
      <c r="G434" s="5">
        <f t="shared" si="84"/>
        <v>2.5219554623610825</v>
      </c>
      <c r="H434" s="21" t="s">
        <v>38</v>
      </c>
      <c r="I434" s="6">
        <f>E431</f>
        <v>0.1043</v>
      </c>
      <c r="J434" s="7">
        <v>2.2800000000000001E-2</v>
      </c>
      <c r="K434" s="5">
        <f t="shared" si="86"/>
        <v>2.6850976487526426</v>
      </c>
      <c r="L434" s="21" t="s">
        <v>39</v>
      </c>
      <c r="M434" s="6">
        <v>0</v>
      </c>
      <c r="N434" s="7">
        <v>2.5000000000000001E-3</v>
      </c>
      <c r="O434" s="5">
        <f t="shared" si="87"/>
        <v>2.6918272167946289</v>
      </c>
      <c r="P434" s="329">
        <f>Weightings!$C$9</f>
        <v>6.554456479221634</v>
      </c>
      <c r="Q434" s="5">
        <f t="shared" si="85"/>
        <v>2.2160208634589178E-4</v>
      </c>
      <c r="R434" s="5"/>
      <c r="S434" s="29"/>
    </row>
    <row r="435" spans="1:19">
      <c r="A435" s="1" t="s">
        <v>0</v>
      </c>
      <c r="B435" s="8" t="s">
        <v>260</v>
      </c>
      <c r="C435" s="422">
        <v>2.31</v>
      </c>
      <c r="D435" s="21" t="s">
        <v>37</v>
      </c>
      <c r="E435" s="6">
        <f>0.0366+0.0022</f>
        <v>3.8800000000000001E-2</v>
      </c>
      <c r="F435" s="10">
        <v>6.9699999999999996E-3</v>
      </c>
      <c r="G435" s="5">
        <f t="shared" si="84"/>
        <v>2.365013709555603</v>
      </c>
      <c r="H435" s="21" t="s">
        <v>43</v>
      </c>
      <c r="I435" s="609">
        <f>0.017+0.0022</f>
        <v>1.9200000000000002E-2</v>
      </c>
      <c r="J435" s="608">
        <v>2.9020000000000001E-2</v>
      </c>
      <c r="K435" s="5">
        <f t="shared" si="86"/>
        <v>2.4548976555187574</v>
      </c>
      <c r="L435" s="15" t="s">
        <v>156</v>
      </c>
      <c r="M435" s="6">
        <f>E436</f>
        <v>2.2600000000000002E-2</v>
      </c>
      <c r="N435" s="10">
        <f>F436</f>
        <v>2.776E-2</v>
      </c>
      <c r="O435" s="247">
        <f t="shared" si="87"/>
        <v>2.5475914172619492</v>
      </c>
      <c r="P435" s="329">
        <f>Weightings!$C$13</f>
        <v>31370.607479626047</v>
      </c>
      <c r="Q435" s="5">
        <f t="shared" si="85"/>
        <v>1.0037895881554773</v>
      </c>
      <c r="R435" s="247"/>
      <c r="S435" s="29"/>
    </row>
    <row r="436" spans="1:19">
      <c r="A436" s="1" t="s">
        <v>1</v>
      </c>
      <c r="B436" s="8" t="s">
        <v>261</v>
      </c>
      <c r="C436" s="422">
        <v>2.4449999999999998</v>
      </c>
      <c r="D436" s="21" t="s">
        <v>48</v>
      </c>
      <c r="E436" s="6">
        <f>0.0134+0.0022+0.007</f>
        <v>2.2600000000000002E-2</v>
      </c>
      <c r="F436" s="10">
        <v>2.776E-2</v>
      </c>
      <c r="G436" s="5">
        <f t="shared" si="84"/>
        <v>2.5374111577388301</v>
      </c>
      <c r="H436" s="21"/>
      <c r="I436" s="6">
        <v>0</v>
      </c>
      <c r="J436" s="7">
        <v>0</v>
      </c>
      <c r="K436" s="5">
        <f t="shared" si="86"/>
        <v>2.5374111577388301</v>
      </c>
      <c r="L436" s="15"/>
      <c r="M436" s="6">
        <v>0</v>
      </c>
      <c r="N436" s="7">
        <v>0</v>
      </c>
      <c r="O436" s="5">
        <f t="shared" si="87"/>
        <v>2.5374111577388301</v>
      </c>
      <c r="P436" s="329">
        <f>Weightings!$C$14</f>
        <v>5614.3227016821775</v>
      </c>
      <c r="Q436" s="5">
        <f t="shared" si="85"/>
        <v>0.17892795469577144</v>
      </c>
      <c r="R436" s="5"/>
      <c r="S436" s="246"/>
    </row>
    <row r="437" spans="1:19">
      <c r="A437" s="1" t="s">
        <v>2</v>
      </c>
      <c r="B437" s="8" t="s">
        <v>262</v>
      </c>
      <c r="C437" s="649">
        <v>2.2250000000000001</v>
      </c>
      <c r="D437" s="21" t="s">
        <v>33</v>
      </c>
      <c r="E437" s="609">
        <f>0.0299+0.0022+0.0097</f>
        <v>4.1799999999999997E-2</v>
      </c>
      <c r="F437" s="608">
        <v>4.58E-2</v>
      </c>
      <c r="G437" s="5">
        <f t="shared" si="84"/>
        <v>2.3735962691259691</v>
      </c>
      <c r="H437" s="21" t="s">
        <v>42</v>
      </c>
      <c r="I437" s="6">
        <v>0</v>
      </c>
      <c r="J437" s="7">
        <v>0.01</v>
      </c>
      <c r="K437" s="5">
        <f t="shared" si="86"/>
        <v>2.3975719890161304</v>
      </c>
      <c r="L437" s="15"/>
      <c r="M437" s="6">
        <v>0</v>
      </c>
      <c r="N437" s="7">
        <v>0</v>
      </c>
      <c r="O437" s="5">
        <f t="shared" si="87"/>
        <v>2.3975719890161304</v>
      </c>
      <c r="P437" s="329">
        <f>Weightings!$C$15</f>
        <v>3366</v>
      </c>
      <c r="Q437" s="5">
        <f t="shared" si="85"/>
        <v>0.10136213476126156</v>
      </c>
      <c r="R437" s="5"/>
      <c r="S437" s="29"/>
    </row>
    <row r="438" spans="1:19">
      <c r="A438" s="1" t="s">
        <v>3</v>
      </c>
      <c r="B438" s="8" t="s">
        <v>259</v>
      </c>
      <c r="C438" s="422">
        <v>2.2599999999999998</v>
      </c>
      <c r="D438" s="21" t="s">
        <v>34</v>
      </c>
      <c r="E438" s="609">
        <f>0.0277+0.0022+0.0097</f>
        <v>3.9599999999999996E-2</v>
      </c>
      <c r="F438" s="608">
        <v>4.2299999999999997E-2</v>
      </c>
      <c r="G438" s="5">
        <f t="shared" si="84"/>
        <v>2.3994204030489712</v>
      </c>
      <c r="H438" s="21" t="s">
        <v>42</v>
      </c>
      <c r="I438" s="6">
        <v>0</v>
      </c>
      <c r="J438" s="7">
        <v>0.01</v>
      </c>
      <c r="K438" s="5">
        <f t="shared" si="86"/>
        <v>2.4236569727767385</v>
      </c>
      <c r="M438" s="6">
        <v>0</v>
      </c>
      <c r="N438" s="7">
        <v>0</v>
      </c>
      <c r="O438" s="5">
        <f t="shared" si="87"/>
        <v>2.4236569727767385</v>
      </c>
      <c r="P438" s="329">
        <f>Weightings!$C$16</f>
        <v>4950</v>
      </c>
      <c r="Q438" s="5">
        <f t="shared" si="85"/>
        <v>0.15068371976949552</v>
      </c>
      <c r="R438" s="5"/>
      <c r="S438" s="29"/>
    </row>
    <row r="439" spans="1:19">
      <c r="A439" s="1" t="s">
        <v>4</v>
      </c>
      <c r="B439" s="8" t="s">
        <v>103</v>
      </c>
      <c r="C439" s="422">
        <v>2.3650000000000002</v>
      </c>
      <c r="D439" s="21" t="s">
        <v>35</v>
      </c>
      <c r="E439" s="609">
        <f>0.0251+0.0022+0.0097</f>
        <v>3.7000000000000005E-2</v>
      </c>
      <c r="F439" s="608">
        <v>3.8100000000000002E-2</v>
      </c>
      <c r="G439" s="5">
        <f t="shared" si="84"/>
        <v>2.4956755379977129</v>
      </c>
      <c r="H439" s="21" t="s">
        <v>42</v>
      </c>
      <c r="I439" s="6">
        <v>0</v>
      </c>
      <c r="J439" s="7">
        <v>0.01</v>
      </c>
      <c r="K439" s="5">
        <f t="shared" si="86"/>
        <v>2.5208843818158715</v>
      </c>
      <c r="M439" s="6">
        <v>0</v>
      </c>
      <c r="N439" s="7">
        <v>0</v>
      </c>
      <c r="O439" s="5">
        <f t="shared" si="87"/>
        <v>2.5208843818158715</v>
      </c>
      <c r="P439" s="329">
        <f>Weightings!$C$17</f>
        <v>11172.172715894869</v>
      </c>
      <c r="Q439" s="5">
        <f t="shared" si="85"/>
        <v>0.35373704980895576</v>
      </c>
      <c r="R439" s="5"/>
      <c r="S439" s="29"/>
    </row>
    <row r="440" spans="1:19">
      <c r="O440" s="35"/>
      <c r="P440" s="67"/>
      <c r="Q440" s="35"/>
      <c r="R440" s="35"/>
      <c r="S440" s="244"/>
    </row>
    <row r="441" spans="1:19" ht="13.5" thickBot="1">
      <c r="O441" s="36"/>
      <c r="P441" s="330"/>
      <c r="Q441" s="36"/>
      <c r="R441" s="36"/>
    </row>
    <row r="442" spans="1:19" ht="13.5" thickBot="1">
      <c r="O442" s="331" t="s">
        <v>198</v>
      </c>
      <c r="P442" s="332"/>
      <c r="Q442" s="333">
        <f>SUM(Q429:Q439)</f>
        <v>2.5587282772566526</v>
      </c>
      <c r="R442" s="424">
        <f>B427</f>
        <v>37186</v>
      </c>
    </row>
    <row r="443" spans="1:19">
      <c r="O443" s="35"/>
      <c r="P443" s="35"/>
      <c r="Q443" s="35"/>
      <c r="R443" s="35"/>
      <c r="S443" s="35"/>
    </row>
    <row r="444" spans="1:19">
      <c r="D444" s="21"/>
      <c r="H444" s="5"/>
      <c r="O444" s="36" t="s">
        <v>263</v>
      </c>
      <c r="P444" s="404">
        <f>Weightings!C443</f>
        <v>0</v>
      </c>
      <c r="Q444" s="35" t="s">
        <v>206</v>
      </c>
      <c r="R444" s="344" t="s">
        <v>208</v>
      </c>
      <c r="S444" s="35"/>
    </row>
    <row r="445" spans="1:19" ht="13.5" thickBot="1">
      <c r="A445" s="675"/>
      <c r="B445" s="676"/>
      <c r="C445" s="675"/>
      <c r="D445" s="677"/>
      <c r="E445" s="675"/>
      <c r="F445" s="675"/>
      <c r="G445" s="675"/>
      <c r="H445" s="678"/>
      <c r="I445" s="675"/>
      <c r="J445" s="675"/>
      <c r="K445" s="675"/>
      <c r="L445" s="675"/>
      <c r="M445" s="675"/>
      <c r="N445" s="675"/>
      <c r="O445" s="675"/>
      <c r="P445" s="679"/>
      <c r="Q445" s="675"/>
      <c r="R445" s="675"/>
      <c r="S445" s="675"/>
    </row>
    <row r="446" spans="1:19" ht="14.25" thickTop="1" thickBot="1">
      <c r="A446" s="2"/>
      <c r="B446" s="28"/>
      <c r="D446" s="3" t="s">
        <v>10</v>
      </c>
      <c r="H446" s="3" t="s">
        <v>11</v>
      </c>
      <c r="L446" s="3" t="s">
        <v>12</v>
      </c>
    </row>
    <row r="447" spans="1:19" ht="14.25" thickTop="1" thickBot="1">
      <c r="A447" s="421" t="s">
        <v>255</v>
      </c>
      <c r="B447" s="433">
        <f>B427+1</f>
        <v>37187</v>
      </c>
      <c r="C447" s="434">
        <f>Q462</f>
        <v>2.8504644986825842</v>
      </c>
      <c r="E447" s="624"/>
    </row>
    <row r="448" spans="1:19" ht="54" customHeight="1" thickTop="1">
      <c r="A448" s="2" t="s">
        <v>5</v>
      </c>
      <c r="B448" s="9" t="s">
        <v>46</v>
      </c>
      <c r="C448" s="18" t="s">
        <v>256</v>
      </c>
      <c r="D448" s="14" t="s">
        <v>28</v>
      </c>
      <c r="E448" s="4" t="s">
        <v>7</v>
      </c>
      <c r="F448" s="4" t="s">
        <v>8</v>
      </c>
      <c r="G448" s="4" t="s">
        <v>9</v>
      </c>
      <c r="H448" s="14" t="s">
        <v>28</v>
      </c>
      <c r="I448" s="4" t="s">
        <v>7</v>
      </c>
      <c r="J448" s="4" t="s">
        <v>8</v>
      </c>
      <c r="K448" s="4" t="s">
        <v>9</v>
      </c>
      <c r="L448" s="14" t="s">
        <v>28</v>
      </c>
      <c r="M448" s="4" t="s">
        <v>7</v>
      </c>
      <c r="N448" s="4" t="s">
        <v>8</v>
      </c>
      <c r="O448" s="4" t="s">
        <v>9</v>
      </c>
      <c r="P448" s="4" t="s">
        <v>193</v>
      </c>
      <c r="Q448" s="4" t="s">
        <v>197</v>
      </c>
      <c r="R448" s="4"/>
      <c r="S448" s="4"/>
    </row>
    <row r="449" spans="1:19">
      <c r="A449" s="1" t="s">
        <v>49</v>
      </c>
      <c r="B449" s="8" t="s">
        <v>269</v>
      </c>
      <c r="C449" s="422">
        <v>2.54</v>
      </c>
      <c r="D449" s="21" t="s">
        <v>29</v>
      </c>
      <c r="E449" s="6">
        <v>5.2200000000000003E-2</v>
      </c>
      <c r="F449" s="10">
        <v>5.0599999999999999E-2</v>
      </c>
      <c r="G449" s="5">
        <f t="shared" ref="G449:G459" si="88">+C449/(1-F449)+E449</f>
        <v>2.7275739203707605</v>
      </c>
      <c r="H449" s="21" t="s">
        <v>38</v>
      </c>
      <c r="I449" s="6">
        <f>E451</f>
        <v>0.1043</v>
      </c>
      <c r="J449" s="7">
        <v>2.2800000000000001E-2</v>
      </c>
      <c r="K449" s="5">
        <f>+G449/(1-J449)+I449</f>
        <v>2.8955135902279578</v>
      </c>
      <c r="L449" s="21" t="s">
        <v>39</v>
      </c>
      <c r="M449" s="6">
        <v>0</v>
      </c>
      <c r="N449" s="7">
        <v>2.5000000000000001E-3</v>
      </c>
      <c r="O449" s="5">
        <f>+K449/(1-N449)+M449</f>
        <v>2.9027705165192557</v>
      </c>
      <c r="P449" s="329">
        <f>Weightings!$C$4</f>
        <v>1071.401539872767</v>
      </c>
      <c r="Q449" s="5">
        <f t="shared" ref="Q449:Q459" si="89">+P449/SUM($P$9:$P$19)*O449</f>
        <v>3.9062042692387715E-2</v>
      </c>
      <c r="R449" s="5"/>
      <c r="S449" s="245"/>
    </row>
    <row r="450" spans="1:19">
      <c r="A450" s="1" t="s">
        <v>50</v>
      </c>
      <c r="B450" s="8" t="s">
        <v>270</v>
      </c>
      <c r="C450" s="422">
        <v>2.5499999999999998</v>
      </c>
      <c r="D450" s="21" t="s">
        <v>30</v>
      </c>
      <c r="E450" s="6">
        <v>5.2200000000000003E-2</v>
      </c>
      <c r="F450" s="10">
        <v>5.8000000000000003E-2</v>
      </c>
      <c r="G450" s="5">
        <f t="shared" si="88"/>
        <v>2.7592063694267517</v>
      </c>
      <c r="H450" s="21" t="s">
        <v>38</v>
      </c>
      <c r="I450" s="6">
        <f>E451</f>
        <v>0.1043</v>
      </c>
      <c r="J450" s="7">
        <v>2.2800000000000001E-2</v>
      </c>
      <c r="K450" s="5">
        <f t="shared" ref="K450:K459" si="90">+G450/(1-J450)+I450</f>
        <v>2.9278840866012605</v>
      </c>
      <c r="L450" s="21" t="s">
        <v>39</v>
      </c>
      <c r="M450" s="6">
        <v>0</v>
      </c>
      <c r="N450" s="7">
        <v>2.5000000000000001E-3</v>
      </c>
      <c r="O450" s="5">
        <f t="shared" ref="O450:O459" si="91">+K450/(1-N450)+M450</f>
        <v>2.9352221419561508</v>
      </c>
      <c r="P450" s="329">
        <f>Weightings!$C$5</f>
        <v>1309.8829179244465</v>
      </c>
      <c r="Q450" s="5">
        <f t="shared" si="89"/>
        <v>4.8290692604509772E-2</v>
      </c>
      <c r="R450" s="5"/>
      <c r="S450" s="29"/>
    </row>
    <row r="451" spans="1:19">
      <c r="A451" s="1" t="s">
        <v>40</v>
      </c>
      <c r="B451" s="8" t="s">
        <v>257</v>
      </c>
      <c r="C451" s="422">
        <v>2.74</v>
      </c>
      <c r="D451" s="21" t="s">
        <v>154</v>
      </c>
      <c r="E451" s="6">
        <f>0.0951+0.0022+0.007</f>
        <v>0.1043</v>
      </c>
      <c r="F451" s="10">
        <v>2.2800000000000001E-2</v>
      </c>
      <c r="G451" s="5">
        <f t="shared" si="88"/>
        <v>2.9082295947605403</v>
      </c>
      <c r="H451" s="21" t="s">
        <v>39</v>
      </c>
      <c r="I451" s="6">
        <v>0</v>
      </c>
      <c r="J451" s="7">
        <v>2.5000000000000001E-3</v>
      </c>
      <c r="K451" s="5">
        <f t="shared" si="90"/>
        <v>2.9155183907373838</v>
      </c>
      <c r="L451" s="21"/>
      <c r="M451" s="6">
        <v>0</v>
      </c>
      <c r="N451" s="7">
        <v>0</v>
      </c>
      <c r="O451" s="5">
        <f t="shared" si="91"/>
        <v>2.9155183907373838</v>
      </c>
      <c r="P451" s="329">
        <f>Weightings!$C$6</f>
        <v>19813.452023725906</v>
      </c>
      <c r="Q451" s="5">
        <f t="shared" si="89"/>
        <v>0.72554760639480864</v>
      </c>
      <c r="R451" s="5"/>
      <c r="S451" s="29"/>
    </row>
    <row r="452" spans="1:19">
      <c r="A452" s="1" t="s">
        <v>41</v>
      </c>
      <c r="B452" s="8" t="s">
        <v>258</v>
      </c>
      <c r="C452" s="422">
        <v>2.7850000000000001</v>
      </c>
      <c r="D452" s="21" t="s">
        <v>155</v>
      </c>
      <c r="E452" s="6">
        <f>0.0951+0.0022+0.007</f>
        <v>0.1043</v>
      </c>
      <c r="F452" s="10">
        <v>2.2800000000000001E-2</v>
      </c>
      <c r="G452" s="5">
        <f t="shared" si="88"/>
        <v>2.9542795333606224</v>
      </c>
      <c r="H452" s="21" t="s">
        <v>39</v>
      </c>
      <c r="I452" s="6">
        <v>0</v>
      </c>
      <c r="J452" s="7">
        <v>2.5000000000000001E-3</v>
      </c>
      <c r="K452" s="5">
        <f t="shared" si="90"/>
        <v>2.9616837427174159</v>
      </c>
      <c r="L452" s="21"/>
      <c r="M452" s="6">
        <v>0</v>
      </c>
      <c r="N452" s="7">
        <v>0</v>
      </c>
      <c r="O452" s="5">
        <f t="shared" si="91"/>
        <v>2.9616837427174159</v>
      </c>
      <c r="P452" s="329">
        <f>Weightings!$C$7</f>
        <v>669.60336394048545</v>
      </c>
      <c r="Q452" s="5">
        <f t="shared" si="89"/>
        <v>2.4908426248396918E-2</v>
      </c>
      <c r="R452" s="5"/>
      <c r="S452" s="245"/>
    </row>
    <row r="453" spans="1:19">
      <c r="A453" s="1" t="s">
        <v>26</v>
      </c>
      <c r="B453" s="8" t="s">
        <v>259</v>
      </c>
      <c r="C453" s="423">
        <f>C458</f>
        <v>2.585</v>
      </c>
      <c r="D453" s="21" t="s">
        <v>31</v>
      </c>
      <c r="E453" s="609">
        <f>0.0331+0.0022+0.0097</f>
        <v>4.4999999999999998E-2</v>
      </c>
      <c r="F453" s="608">
        <v>5.04E-2</v>
      </c>
      <c r="G453" s="5">
        <f t="shared" si="88"/>
        <v>2.7671988205560236</v>
      </c>
      <c r="H453" s="21" t="s">
        <v>38</v>
      </c>
      <c r="I453" s="6">
        <f>E451</f>
        <v>0.1043</v>
      </c>
      <c r="J453" s="7">
        <v>2.2800000000000001E-2</v>
      </c>
      <c r="K453" s="5">
        <f t="shared" si="90"/>
        <v>2.9360630173516409</v>
      </c>
      <c r="L453" s="21" t="s">
        <v>39</v>
      </c>
      <c r="M453" s="6">
        <v>0</v>
      </c>
      <c r="N453" s="7">
        <v>2.5000000000000001E-3</v>
      </c>
      <c r="O453" s="5">
        <f t="shared" si="91"/>
        <v>2.9434215712798402</v>
      </c>
      <c r="P453" s="329">
        <f>Weightings!$C$8</f>
        <v>273.77460524748824</v>
      </c>
      <c r="Q453" s="5">
        <f t="shared" si="89"/>
        <v>1.0121283985865238E-2</v>
      </c>
      <c r="R453" s="5"/>
      <c r="S453" s="29"/>
    </row>
    <row r="454" spans="1:19">
      <c r="A454" s="1" t="s">
        <v>27</v>
      </c>
      <c r="B454" s="8" t="s">
        <v>103</v>
      </c>
      <c r="C454" s="423">
        <f>C459</f>
        <v>2.645</v>
      </c>
      <c r="D454" s="21" t="s">
        <v>32</v>
      </c>
      <c r="E454" s="609">
        <f>0.0305+0.0022+0.0097</f>
        <v>4.24E-2</v>
      </c>
      <c r="F454" s="608">
        <v>4.6199999999999998E-2</v>
      </c>
      <c r="G454" s="5">
        <f t="shared" si="88"/>
        <v>2.815518054099392</v>
      </c>
      <c r="H454" s="21" t="s">
        <v>38</v>
      </c>
      <c r="I454" s="6">
        <f>E451</f>
        <v>0.1043</v>
      </c>
      <c r="J454" s="7">
        <v>2.2800000000000001E-2</v>
      </c>
      <c r="K454" s="5">
        <f t="shared" si="90"/>
        <v>2.9855096337488662</v>
      </c>
      <c r="L454" s="21" t="s">
        <v>39</v>
      </c>
      <c r="M454" s="6">
        <v>0</v>
      </c>
      <c r="N454" s="7">
        <v>2.5000000000000001E-3</v>
      </c>
      <c r="O454" s="5">
        <f t="shared" si="91"/>
        <v>2.9929921140339508</v>
      </c>
      <c r="P454" s="329">
        <f>Weightings!$C$9</f>
        <v>6.554456479221634</v>
      </c>
      <c r="Q454" s="5">
        <f t="shared" si="89"/>
        <v>2.4639519681969515E-4</v>
      </c>
      <c r="R454" s="5"/>
      <c r="S454" s="29"/>
    </row>
    <row r="455" spans="1:19">
      <c r="A455" s="1" t="s">
        <v>0</v>
      </c>
      <c r="B455" s="8" t="s">
        <v>260</v>
      </c>
      <c r="C455" s="422">
        <v>2.585</v>
      </c>
      <c r="D455" s="21" t="s">
        <v>37</v>
      </c>
      <c r="E455" s="6">
        <f>0.0366+0.0022</f>
        <v>3.8800000000000001E-2</v>
      </c>
      <c r="F455" s="10">
        <v>6.9699999999999996E-3</v>
      </c>
      <c r="G455" s="5">
        <f t="shared" si="88"/>
        <v>2.6419439130741269</v>
      </c>
      <c r="H455" s="21" t="s">
        <v>43</v>
      </c>
      <c r="I455" s="609">
        <f>0.017+0.0022</f>
        <v>1.9200000000000002E-2</v>
      </c>
      <c r="J455" s="608">
        <v>2.9020000000000001E-2</v>
      </c>
      <c r="K455" s="5">
        <f t="shared" si="90"/>
        <v>2.7401045635071033</v>
      </c>
      <c r="L455" s="15" t="s">
        <v>156</v>
      </c>
      <c r="M455" s="6">
        <f>E456</f>
        <v>2.2600000000000002E-2</v>
      </c>
      <c r="N455" s="10">
        <f>F456</f>
        <v>2.776E-2</v>
      </c>
      <c r="O455" s="247">
        <f t="shared" si="91"/>
        <v>2.8409417299299591</v>
      </c>
      <c r="P455" s="329">
        <f>Weightings!$C$13</f>
        <v>31370.607479626047</v>
      </c>
      <c r="Q455" s="5">
        <f t="shared" si="89"/>
        <v>1.119374052580616</v>
      </c>
      <c r="R455" s="247"/>
      <c r="S455" s="29"/>
    </row>
    <row r="456" spans="1:19">
      <c r="A456" s="1" t="s">
        <v>1</v>
      </c>
      <c r="B456" s="8" t="s">
        <v>261</v>
      </c>
      <c r="C456" s="422">
        <v>2.7450000000000001</v>
      </c>
      <c r="D456" s="21" t="s">
        <v>48</v>
      </c>
      <c r="E456" s="6">
        <f>0.0134+0.0022+0.007</f>
        <v>2.2600000000000002E-2</v>
      </c>
      <c r="F456" s="10">
        <v>2.776E-2</v>
      </c>
      <c r="G456" s="5">
        <f t="shared" si="88"/>
        <v>2.8459769439644536</v>
      </c>
      <c r="H456" s="21"/>
      <c r="I456" s="6">
        <v>0</v>
      </c>
      <c r="J456" s="7">
        <v>0</v>
      </c>
      <c r="K456" s="5">
        <f t="shared" si="90"/>
        <v>2.8459769439644536</v>
      </c>
      <c r="L456" s="15"/>
      <c r="M456" s="6">
        <v>0</v>
      </c>
      <c r="N456" s="7">
        <v>0</v>
      </c>
      <c r="O456" s="5">
        <f t="shared" si="91"/>
        <v>2.8459769439644536</v>
      </c>
      <c r="P456" s="329">
        <f>Weightings!$C$14</f>
        <v>5614.3227016821775</v>
      </c>
      <c r="Q456" s="5">
        <f t="shared" si="89"/>
        <v>0.20068676380719816</v>
      </c>
      <c r="R456" s="5"/>
      <c r="S456" s="246"/>
    </row>
    <row r="457" spans="1:19">
      <c r="A457" s="1" t="s">
        <v>2</v>
      </c>
      <c r="B457" s="8" t="s">
        <v>262</v>
      </c>
      <c r="C457" s="649">
        <v>2.5350000000000001</v>
      </c>
      <c r="D457" s="21" t="s">
        <v>33</v>
      </c>
      <c r="E457" s="609">
        <f>0.0299+0.0022+0.0097</f>
        <v>4.1799999999999997E-2</v>
      </c>
      <c r="F457" s="608">
        <v>4.58E-2</v>
      </c>
      <c r="G457" s="5">
        <f t="shared" si="88"/>
        <v>2.698475749318801</v>
      </c>
      <c r="H457" s="21" t="s">
        <v>42</v>
      </c>
      <c r="I457" s="6">
        <v>0</v>
      </c>
      <c r="J457" s="7">
        <v>0.01</v>
      </c>
      <c r="K457" s="5">
        <f t="shared" si="90"/>
        <v>2.7257330801200008</v>
      </c>
      <c r="L457" s="15"/>
      <c r="M457" s="6">
        <v>0</v>
      </c>
      <c r="N457" s="7">
        <v>0</v>
      </c>
      <c r="O457" s="5">
        <f t="shared" si="91"/>
        <v>2.7257330801200008</v>
      </c>
      <c r="P457" s="329">
        <f>Weightings!$C$15</f>
        <v>3366</v>
      </c>
      <c r="Q457" s="5">
        <f t="shared" si="89"/>
        <v>0.1152357989900145</v>
      </c>
      <c r="R457" s="5"/>
      <c r="S457" s="29"/>
    </row>
    <row r="458" spans="1:19">
      <c r="A458" s="1" t="s">
        <v>3</v>
      </c>
      <c r="B458" s="8" t="s">
        <v>259</v>
      </c>
      <c r="C458" s="422">
        <v>2.585</v>
      </c>
      <c r="D458" s="21" t="s">
        <v>34</v>
      </c>
      <c r="E458" s="609">
        <f>0.0277+0.0022+0.0097</f>
        <v>3.9599999999999996E-2</v>
      </c>
      <c r="F458" s="608">
        <v>4.2299999999999997E-2</v>
      </c>
      <c r="G458" s="5">
        <f t="shared" si="88"/>
        <v>2.7387751070272528</v>
      </c>
      <c r="H458" s="21" t="s">
        <v>42</v>
      </c>
      <c r="I458" s="6">
        <v>0</v>
      </c>
      <c r="J458" s="7">
        <v>0.01</v>
      </c>
      <c r="K458" s="5">
        <f t="shared" si="90"/>
        <v>2.7664395020477301</v>
      </c>
      <c r="M458" s="6">
        <v>0</v>
      </c>
      <c r="N458" s="7">
        <v>0</v>
      </c>
      <c r="O458" s="5">
        <f t="shared" si="91"/>
        <v>2.7664395020477301</v>
      </c>
      <c r="P458" s="329">
        <f>Weightings!$C$16</f>
        <v>4950</v>
      </c>
      <c r="Q458" s="5">
        <f t="shared" si="89"/>
        <v>0.17199521193308026</v>
      </c>
      <c r="R458" s="5"/>
      <c r="S458" s="29"/>
    </row>
    <row r="459" spans="1:19">
      <c r="A459" s="1" t="s">
        <v>4</v>
      </c>
      <c r="B459" s="8" t="s">
        <v>103</v>
      </c>
      <c r="C459" s="422">
        <v>2.645</v>
      </c>
      <c r="D459" s="21" t="s">
        <v>35</v>
      </c>
      <c r="E459" s="609">
        <f>0.0251+0.0022+0.0097</f>
        <v>3.7000000000000005E-2</v>
      </c>
      <c r="F459" s="608">
        <v>3.8100000000000002E-2</v>
      </c>
      <c r="G459" s="5">
        <f t="shared" si="88"/>
        <v>2.7867660879509306</v>
      </c>
      <c r="H459" s="21" t="s">
        <v>42</v>
      </c>
      <c r="I459" s="6">
        <v>0</v>
      </c>
      <c r="J459" s="7">
        <v>0.01</v>
      </c>
      <c r="K459" s="5">
        <f t="shared" si="90"/>
        <v>2.8149152403544755</v>
      </c>
      <c r="M459" s="6">
        <v>0</v>
      </c>
      <c r="N459" s="7">
        <v>0</v>
      </c>
      <c r="O459" s="5">
        <f t="shared" si="91"/>
        <v>2.8149152403544755</v>
      </c>
      <c r="P459" s="329">
        <f>Weightings!$C$17</f>
        <v>11172.172715894869</v>
      </c>
      <c r="Q459" s="5">
        <f t="shared" si="89"/>
        <v>0.39499622424888736</v>
      </c>
      <c r="R459" s="5"/>
      <c r="S459" s="29"/>
    </row>
    <row r="460" spans="1:19">
      <c r="O460" s="35"/>
      <c r="P460" s="67"/>
      <c r="Q460" s="35"/>
      <c r="R460" s="35"/>
      <c r="S460" s="244"/>
    </row>
    <row r="461" spans="1:19" ht="13.5" thickBot="1">
      <c r="O461" s="36"/>
      <c r="P461" s="330"/>
      <c r="Q461" s="36"/>
      <c r="R461" s="36"/>
    </row>
    <row r="462" spans="1:19" ht="13.5" thickBot="1">
      <c r="O462" s="331" t="s">
        <v>198</v>
      </c>
      <c r="P462" s="332"/>
      <c r="Q462" s="333">
        <f>SUM(Q449:Q459)</f>
        <v>2.8504644986825842</v>
      </c>
      <c r="R462" s="424">
        <f>B447</f>
        <v>37187</v>
      </c>
    </row>
    <row r="463" spans="1:19">
      <c r="O463" s="35"/>
      <c r="P463" s="35"/>
      <c r="Q463" s="35"/>
      <c r="R463" s="35"/>
      <c r="S463" s="35"/>
    </row>
    <row r="464" spans="1:19">
      <c r="D464" s="21"/>
      <c r="H464" s="5"/>
      <c r="O464" s="36" t="s">
        <v>263</v>
      </c>
      <c r="P464" s="404">
        <f>Weightings!C463</f>
        <v>0</v>
      </c>
      <c r="Q464" s="35" t="s">
        <v>206</v>
      </c>
      <c r="R464" s="344" t="s">
        <v>208</v>
      </c>
      <c r="S464" s="35"/>
    </row>
    <row r="465" spans="1:19" ht="13.5" thickBot="1">
      <c r="A465" s="675"/>
      <c r="B465" s="676"/>
      <c r="C465" s="675"/>
      <c r="D465" s="677"/>
      <c r="E465" s="675"/>
      <c r="F465" s="675"/>
      <c r="G465" s="675"/>
      <c r="H465" s="678"/>
      <c r="I465" s="675"/>
      <c r="J465" s="675"/>
      <c r="K465" s="675"/>
      <c r="L465" s="675"/>
      <c r="M465" s="675"/>
      <c r="N465" s="675"/>
      <c r="O465" s="675"/>
      <c r="P465" s="679"/>
      <c r="Q465" s="675"/>
      <c r="R465" s="675"/>
      <c r="S465" s="675"/>
    </row>
    <row r="466" spans="1:19" ht="14.25" thickTop="1" thickBot="1">
      <c r="A466" s="2"/>
      <c r="B466" s="28"/>
      <c r="D466" s="3" t="s">
        <v>10</v>
      </c>
      <c r="H466" s="3" t="s">
        <v>11</v>
      </c>
      <c r="L466" s="3" t="s">
        <v>12</v>
      </c>
    </row>
    <row r="467" spans="1:19" ht="14.25" thickTop="1" thickBot="1">
      <c r="A467" s="421" t="s">
        <v>255</v>
      </c>
      <c r="B467" s="433">
        <f>B447+1</f>
        <v>37188</v>
      </c>
      <c r="C467" s="434">
        <f>Q482</f>
        <v>3.1013905509278987</v>
      </c>
      <c r="E467" s="624"/>
    </row>
    <row r="468" spans="1:19" ht="54" customHeight="1" thickTop="1">
      <c r="A468" s="2" t="s">
        <v>5</v>
      </c>
      <c r="B468" s="9" t="s">
        <v>46</v>
      </c>
      <c r="C468" s="18" t="s">
        <v>256</v>
      </c>
      <c r="D468" s="14" t="s">
        <v>28</v>
      </c>
      <c r="E468" s="4" t="s">
        <v>7</v>
      </c>
      <c r="F468" s="4" t="s">
        <v>8</v>
      </c>
      <c r="G468" s="4" t="s">
        <v>9</v>
      </c>
      <c r="H468" s="14" t="s">
        <v>28</v>
      </c>
      <c r="I468" s="4" t="s">
        <v>7</v>
      </c>
      <c r="J468" s="4" t="s">
        <v>8</v>
      </c>
      <c r="K468" s="4" t="s">
        <v>9</v>
      </c>
      <c r="L468" s="14" t="s">
        <v>28</v>
      </c>
      <c r="M468" s="4" t="s">
        <v>7</v>
      </c>
      <c r="N468" s="4" t="s">
        <v>8</v>
      </c>
      <c r="O468" s="4" t="s">
        <v>9</v>
      </c>
      <c r="P468" s="4" t="s">
        <v>193</v>
      </c>
      <c r="Q468" s="4" t="s">
        <v>197</v>
      </c>
      <c r="R468" s="4"/>
      <c r="S468" s="4"/>
    </row>
    <row r="469" spans="1:19">
      <c r="A469" s="1" t="s">
        <v>49</v>
      </c>
      <c r="B469" s="8" t="s">
        <v>269</v>
      </c>
      <c r="C469" s="422">
        <v>2.7850000000000001</v>
      </c>
      <c r="D469" s="21" t="s">
        <v>29</v>
      </c>
      <c r="E469" s="6">
        <v>5.2200000000000003E-2</v>
      </c>
      <c r="F469" s="10">
        <v>5.0599999999999999E-2</v>
      </c>
      <c r="G469" s="5">
        <f t="shared" ref="G469:G479" si="92">+C469/(1-F469)+E469</f>
        <v>2.9856316410364441</v>
      </c>
      <c r="H469" s="21" t="s">
        <v>38</v>
      </c>
      <c r="I469" s="6">
        <f>E471</f>
        <v>0.1043</v>
      </c>
      <c r="J469" s="7">
        <v>2.2800000000000001E-2</v>
      </c>
      <c r="K469" s="5">
        <f>+G469/(1-J469)+I469</f>
        <v>3.1595923056042201</v>
      </c>
      <c r="L469" s="21" t="s">
        <v>39</v>
      </c>
      <c r="M469" s="6">
        <v>0</v>
      </c>
      <c r="N469" s="7">
        <v>2.5000000000000001E-3</v>
      </c>
      <c r="O469" s="5">
        <f>+K469/(1-N469)+M469</f>
        <v>3.1675110833125011</v>
      </c>
      <c r="P469" s="329">
        <f>Weightings!$C$4</f>
        <v>1071.401539872767</v>
      </c>
      <c r="Q469" s="5">
        <f t="shared" ref="Q469:Q479" si="93">+P469/SUM($P$9:$P$19)*O469</f>
        <v>4.262460723672002E-2</v>
      </c>
      <c r="R469" s="5"/>
      <c r="S469" s="245"/>
    </row>
    <row r="470" spans="1:19">
      <c r="A470" s="1" t="s">
        <v>50</v>
      </c>
      <c r="B470" s="8" t="s">
        <v>270</v>
      </c>
      <c r="C470" s="422">
        <v>2.78</v>
      </c>
      <c r="D470" s="21" t="s">
        <v>30</v>
      </c>
      <c r="E470" s="6">
        <v>5.2200000000000003E-2</v>
      </c>
      <c r="F470" s="10">
        <v>5.8000000000000003E-2</v>
      </c>
      <c r="G470" s="5">
        <f t="shared" si="92"/>
        <v>3.0033677282377917</v>
      </c>
      <c r="H470" s="21" t="s">
        <v>38</v>
      </c>
      <c r="I470" s="6">
        <f>E471</f>
        <v>0.1043</v>
      </c>
      <c r="J470" s="7">
        <v>2.2800000000000001E-2</v>
      </c>
      <c r="K470" s="5">
        <f t="shared" ref="K470:K479" si="94">+G470/(1-J470)+I470</f>
        <v>3.1777422106403925</v>
      </c>
      <c r="L470" s="21" t="s">
        <v>39</v>
      </c>
      <c r="M470" s="6">
        <v>0</v>
      </c>
      <c r="N470" s="7">
        <v>2.5000000000000001E-3</v>
      </c>
      <c r="O470" s="5">
        <f t="shared" ref="O470:O479" si="95">+K470/(1-N470)+M470</f>
        <v>3.1857064768324737</v>
      </c>
      <c r="P470" s="329">
        <f>Weightings!$C$5</f>
        <v>1309.8829179244465</v>
      </c>
      <c r="Q470" s="5">
        <f t="shared" si="93"/>
        <v>5.2411696546547454E-2</v>
      </c>
      <c r="R470" s="5"/>
      <c r="S470" s="29"/>
    </row>
    <row r="471" spans="1:19">
      <c r="A471" s="1" t="s">
        <v>40</v>
      </c>
      <c r="B471" s="8" t="s">
        <v>257</v>
      </c>
      <c r="C471" s="422">
        <v>2.99</v>
      </c>
      <c r="D471" s="21" t="s">
        <v>154</v>
      </c>
      <c r="E471" s="6">
        <f>0.0951+0.0022+0.007</f>
        <v>0.1043</v>
      </c>
      <c r="F471" s="10">
        <v>2.2800000000000001E-2</v>
      </c>
      <c r="G471" s="5">
        <f t="shared" si="92"/>
        <v>3.1640625869832175</v>
      </c>
      <c r="H471" s="21" t="s">
        <v>39</v>
      </c>
      <c r="I471" s="6">
        <v>0</v>
      </c>
      <c r="J471" s="7">
        <v>2.5000000000000001E-3</v>
      </c>
      <c r="K471" s="5">
        <f t="shared" si="94"/>
        <v>3.1719925684042281</v>
      </c>
      <c r="L471" s="21"/>
      <c r="M471" s="6">
        <v>0</v>
      </c>
      <c r="N471" s="7">
        <v>0</v>
      </c>
      <c r="O471" s="5">
        <f t="shared" si="95"/>
        <v>3.1719925684042281</v>
      </c>
      <c r="P471" s="329">
        <f>Weightings!$C$6</f>
        <v>19813.452023725906</v>
      </c>
      <c r="Q471" s="5">
        <f t="shared" si="93"/>
        <v>0.78937304008078579</v>
      </c>
      <c r="R471" s="5"/>
      <c r="S471" s="29"/>
    </row>
    <row r="472" spans="1:19">
      <c r="A472" s="1" t="s">
        <v>41</v>
      </c>
      <c r="B472" s="8" t="s">
        <v>258</v>
      </c>
      <c r="C472" s="422">
        <v>3.0150000000000001</v>
      </c>
      <c r="D472" s="21" t="s">
        <v>155</v>
      </c>
      <c r="E472" s="6">
        <f>0.0951+0.0022+0.007</f>
        <v>0.1043</v>
      </c>
      <c r="F472" s="10">
        <v>2.2800000000000001E-2</v>
      </c>
      <c r="G472" s="5">
        <f t="shared" si="92"/>
        <v>3.1896458862054851</v>
      </c>
      <c r="H472" s="21" t="s">
        <v>39</v>
      </c>
      <c r="I472" s="6">
        <v>0</v>
      </c>
      <c r="J472" s="7">
        <v>2.5000000000000001E-3</v>
      </c>
      <c r="K472" s="5">
        <f t="shared" si="94"/>
        <v>3.1976399861709122</v>
      </c>
      <c r="L472" s="21"/>
      <c r="M472" s="6">
        <v>0</v>
      </c>
      <c r="N472" s="7">
        <v>0</v>
      </c>
      <c r="O472" s="5">
        <f t="shared" si="95"/>
        <v>3.1976399861709122</v>
      </c>
      <c r="P472" s="329">
        <f>Weightings!$C$7</f>
        <v>669.60336394048545</v>
      </c>
      <c r="Q472" s="5">
        <f t="shared" si="93"/>
        <v>2.689287131359407E-2</v>
      </c>
      <c r="R472" s="5"/>
      <c r="S472" s="245"/>
    </row>
    <row r="473" spans="1:19">
      <c r="A473" s="1" t="s">
        <v>26</v>
      </c>
      <c r="B473" s="8" t="s">
        <v>259</v>
      </c>
      <c r="C473" s="423">
        <f>C478</f>
        <v>2.8050000000000002</v>
      </c>
      <c r="D473" s="21" t="s">
        <v>31</v>
      </c>
      <c r="E473" s="609">
        <f>0.0331+0.0022+0.0097</f>
        <v>4.4999999999999998E-2</v>
      </c>
      <c r="F473" s="608">
        <v>5.04E-2</v>
      </c>
      <c r="G473" s="5">
        <f t="shared" si="92"/>
        <v>2.9988753159224939</v>
      </c>
      <c r="H473" s="21" t="s">
        <v>38</v>
      </c>
      <c r="I473" s="6">
        <f>E471</f>
        <v>0.1043</v>
      </c>
      <c r="J473" s="7">
        <v>2.2800000000000001E-2</v>
      </c>
      <c r="K473" s="5">
        <f t="shared" si="94"/>
        <v>3.1731449815007102</v>
      </c>
      <c r="L473" s="21" t="s">
        <v>39</v>
      </c>
      <c r="M473" s="6">
        <v>0</v>
      </c>
      <c r="N473" s="7">
        <v>2.5000000000000001E-3</v>
      </c>
      <c r="O473" s="5">
        <f t="shared" si="95"/>
        <v>3.1810977258152482</v>
      </c>
      <c r="P473" s="329">
        <f>Weightings!$C$8</f>
        <v>273.77460524748824</v>
      </c>
      <c r="Q473" s="5">
        <f t="shared" si="93"/>
        <v>1.0938560002387491E-2</v>
      </c>
      <c r="R473" s="5"/>
      <c r="S473" s="29"/>
    </row>
    <row r="474" spans="1:19">
      <c r="A474" s="1" t="s">
        <v>27</v>
      </c>
      <c r="B474" s="8" t="s">
        <v>103</v>
      </c>
      <c r="C474" s="423">
        <f>C479</f>
        <v>2.97</v>
      </c>
      <c r="D474" s="21" t="s">
        <v>32</v>
      </c>
      <c r="E474" s="609">
        <f>0.0305+0.0022+0.0097</f>
        <v>4.24E-2</v>
      </c>
      <c r="F474" s="608">
        <v>4.6199999999999998E-2</v>
      </c>
      <c r="G474" s="5">
        <f t="shared" si="92"/>
        <v>3.1562603480813594</v>
      </c>
      <c r="H474" s="21" t="s">
        <v>38</v>
      </c>
      <c r="I474" s="6">
        <f>E471</f>
        <v>0.1043</v>
      </c>
      <c r="J474" s="7">
        <v>2.2800000000000001E-2</v>
      </c>
      <c r="K474" s="5">
        <f t="shared" si="94"/>
        <v>3.3342021163337692</v>
      </c>
      <c r="L474" s="21" t="s">
        <v>39</v>
      </c>
      <c r="M474" s="6">
        <v>0</v>
      </c>
      <c r="N474" s="7">
        <v>2.5000000000000001E-3</v>
      </c>
      <c r="O474" s="5">
        <f t="shared" si="95"/>
        <v>3.3425585126153075</v>
      </c>
      <c r="P474" s="329">
        <f>Weightings!$C$9</f>
        <v>6.554456479221634</v>
      </c>
      <c r="Q474" s="5">
        <f t="shared" si="93"/>
        <v>2.7517291433393123E-4</v>
      </c>
      <c r="R474" s="5"/>
      <c r="S474" s="29"/>
    </row>
    <row r="475" spans="1:19">
      <c r="A475" s="1" t="s">
        <v>0</v>
      </c>
      <c r="B475" s="8" t="s">
        <v>260</v>
      </c>
      <c r="C475" s="422">
        <v>2.8</v>
      </c>
      <c r="D475" s="21" t="s">
        <v>37</v>
      </c>
      <c r="E475" s="6">
        <f>0.0366+0.0022</f>
        <v>3.8800000000000001E-2</v>
      </c>
      <c r="F475" s="10">
        <v>6.9699999999999996E-3</v>
      </c>
      <c r="G475" s="5">
        <f t="shared" si="92"/>
        <v>2.8584529812795183</v>
      </c>
      <c r="H475" s="21" t="s">
        <v>43</v>
      </c>
      <c r="I475" s="609">
        <f>0.017+0.0022</f>
        <v>1.9200000000000002E-2</v>
      </c>
      <c r="J475" s="608">
        <v>2.9020000000000001E-2</v>
      </c>
      <c r="K475" s="5">
        <f t="shared" si="94"/>
        <v>2.9630845097525373</v>
      </c>
      <c r="L475" s="15" t="s">
        <v>156</v>
      </c>
      <c r="M475" s="6">
        <f>E476</f>
        <v>2.2600000000000002E-2</v>
      </c>
      <c r="N475" s="10">
        <f>F476</f>
        <v>2.776E-2</v>
      </c>
      <c r="O475" s="247">
        <f t="shared" si="95"/>
        <v>3.0702883380158577</v>
      </c>
      <c r="P475" s="329">
        <f>Weightings!$C$13</f>
        <v>31370.607479626047</v>
      </c>
      <c r="Q475" s="5">
        <f t="shared" si="93"/>
        <v>1.209740088403906</v>
      </c>
      <c r="R475" s="247"/>
      <c r="S475" s="29"/>
    </row>
    <row r="476" spans="1:19">
      <c r="A476" s="1" t="s">
        <v>1</v>
      </c>
      <c r="B476" s="8" t="s">
        <v>261</v>
      </c>
      <c r="C476" s="422">
        <v>2.9449999999999998</v>
      </c>
      <c r="D476" s="21" t="s">
        <v>48</v>
      </c>
      <c r="E476" s="6">
        <f>0.0134+0.0022+0.007</f>
        <v>2.2600000000000002E-2</v>
      </c>
      <c r="F476" s="10">
        <v>2.776E-2</v>
      </c>
      <c r="G476" s="5">
        <f t="shared" si="92"/>
        <v>3.0516874681148689</v>
      </c>
      <c r="H476" s="21"/>
      <c r="I476" s="6">
        <v>0</v>
      </c>
      <c r="J476" s="7">
        <v>0</v>
      </c>
      <c r="K476" s="5">
        <f t="shared" si="94"/>
        <v>3.0516874681148689</v>
      </c>
      <c r="L476" s="15"/>
      <c r="M476" s="6">
        <v>0</v>
      </c>
      <c r="N476" s="7">
        <v>0</v>
      </c>
      <c r="O476" s="5">
        <f t="shared" si="95"/>
        <v>3.0516874681148689</v>
      </c>
      <c r="P476" s="329">
        <f>Weightings!$C$14</f>
        <v>5614.3227016821775</v>
      </c>
      <c r="Q476" s="5">
        <f t="shared" si="93"/>
        <v>0.21519263654814927</v>
      </c>
      <c r="R476" s="5"/>
      <c r="S476" s="246"/>
    </row>
    <row r="477" spans="1:19">
      <c r="A477" s="1" t="s">
        <v>2</v>
      </c>
      <c r="B477" s="8" t="s">
        <v>262</v>
      </c>
      <c r="C477" s="649">
        <v>2.7450000000000001</v>
      </c>
      <c r="D477" s="21" t="s">
        <v>33</v>
      </c>
      <c r="E477" s="609">
        <f>0.0299+0.0022+0.0097</f>
        <v>4.1799999999999997E-2</v>
      </c>
      <c r="F477" s="608">
        <v>4.58E-2</v>
      </c>
      <c r="G477" s="5">
        <f t="shared" si="92"/>
        <v>2.9185553971913643</v>
      </c>
      <c r="H477" s="21" t="s">
        <v>42</v>
      </c>
      <c r="I477" s="6">
        <v>0</v>
      </c>
      <c r="J477" s="7">
        <v>0.01</v>
      </c>
      <c r="K477" s="5">
        <f t="shared" si="94"/>
        <v>2.9480357547387519</v>
      </c>
      <c r="L477" s="15"/>
      <c r="M477" s="6">
        <v>0</v>
      </c>
      <c r="N477" s="7">
        <v>0</v>
      </c>
      <c r="O477" s="5">
        <f t="shared" si="95"/>
        <v>2.9480357547387519</v>
      </c>
      <c r="P477" s="329">
        <f>Weightings!$C$15</f>
        <v>3366</v>
      </c>
      <c r="Q477" s="5">
        <f t="shared" si="93"/>
        <v>0.12463408766110522</v>
      </c>
      <c r="R477" s="5"/>
      <c r="S477" s="29"/>
    </row>
    <row r="478" spans="1:19">
      <c r="A478" s="1" t="s">
        <v>3</v>
      </c>
      <c r="B478" s="8" t="s">
        <v>259</v>
      </c>
      <c r="C478" s="422">
        <v>2.8050000000000002</v>
      </c>
      <c r="D478" s="21" t="s">
        <v>34</v>
      </c>
      <c r="E478" s="609">
        <f>0.0277+0.0022+0.0097</f>
        <v>3.9599999999999996E-2</v>
      </c>
      <c r="F478" s="608">
        <v>4.2299999999999997E-2</v>
      </c>
      <c r="G478" s="5">
        <f t="shared" si="92"/>
        <v>2.968492137412551</v>
      </c>
      <c r="H478" s="21" t="s">
        <v>42</v>
      </c>
      <c r="I478" s="6">
        <v>0</v>
      </c>
      <c r="J478" s="7">
        <v>0.01</v>
      </c>
      <c r="K478" s="5">
        <f t="shared" si="94"/>
        <v>2.9984769064773245</v>
      </c>
      <c r="M478" s="6">
        <v>0</v>
      </c>
      <c r="N478" s="7">
        <v>0</v>
      </c>
      <c r="O478" s="5">
        <f t="shared" si="95"/>
        <v>2.9984769064773245</v>
      </c>
      <c r="P478" s="329">
        <f>Weightings!$C$16</f>
        <v>4950</v>
      </c>
      <c r="Q478" s="5">
        <f t="shared" si="93"/>
        <v>0.18642145278227606</v>
      </c>
      <c r="R478" s="5"/>
      <c r="S478" s="29"/>
    </row>
    <row r="479" spans="1:19">
      <c r="A479" s="1" t="s">
        <v>4</v>
      </c>
      <c r="B479" s="8" t="s">
        <v>103</v>
      </c>
      <c r="C479" s="422">
        <v>2.97</v>
      </c>
      <c r="D479" s="21" t="s">
        <v>35</v>
      </c>
      <c r="E479" s="609">
        <f>0.0251+0.0022+0.0097</f>
        <v>3.7000000000000005E-2</v>
      </c>
      <c r="F479" s="608">
        <v>3.8100000000000002E-2</v>
      </c>
      <c r="G479" s="5">
        <f t="shared" si="92"/>
        <v>3.1246390477180581</v>
      </c>
      <c r="H479" s="21" t="s">
        <v>42</v>
      </c>
      <c r="I479" s="6">
        <v>0</v>
      </c>
      <c r="J479" s="7">
        <v>0.01</v>
      </c>
      <c r="K479" s="5">
        <f t="shared" si="94"/>
        <v>3.1562010583010687</v>
      </c>
      <c r="M479" s="6">
        <v>0</v>
      </c>
      <c r="N479" s="7">
        <v>0</v>
      </c>
      <c r="O479" s="5">
        <f t="shared" si="95"/>
        <v>3.1562010583010687</v>
      </c>
      <c r="P479" s="329">
        <f>Weightings!$C$17</f>
        <v>11172.172715894869</v>
      </c>
      <c r="Q479" s="5">
        <f t="shared" si="93"/>
        <v>0.44288633743809358</v>
      </c>
      <c r="R479" s="5"/>
      <c r="S479" s="29"/>
    </row>
    <row r="480" spans="1:19">
      <c r="O480" s="35"/>
      <c r="P480" s="67"/>
      <c r="Q480" s="35"/>
      <c r="R480" s="35"/>
      <c r="S480" s="244"/>
    </row>
    <row r="481" spans="1:19" ht="13.5" thickBot="1">
      <c r="O481" s="36"/>
      <c r="P481" s="330"/>
      <c r="Q481" s="36"/>
      <c r="R481" s="36"/>
    </row>
    <row r="482" spans="1:19" ht="13.5" thickBot="1">
      <c r="O482" s="331" t="s">
        <v>198</v>
      </c>
      <c r="P482" s="332"/>
      <c r="Q482" s="333">
        <f>SUM(Q469:Q479)</f>
        <v>3.1013905509278987</v>
      </c>
      <c r="R482" s="424">
        <f>B467</f>
        <v>37188</v>
      </c>
    </row>
    <row r="483" spans="1:19">
      <c r="O483" s="35"/>
      <c r="P483" s="35"/>
      <c r="Q483" s="35"/>
      <c r="R483" s="35"/>
      <c r="S483" s="35"/>
    </row>
    <row r="484" spans="1:19">
      <c r="D484" s="21"/>
      <c r="H484" s="5"/>
      <c r="O484" s="36" t="s">
        <v>263</v>
      </c>
      <c r="P484" s="404">
        <f>Weightings!C483</f>
        <v>0</v>
      </c>
      <c r="Q484" s="35" t="s">
        <v>206</v>
      </c>
      <c r="R484" s="344" t="s">
        <v>208</v>
      </c>
      <c r="S484" s="35"/>
    </row>
    <row r="485" spans="1:19" ht="13.5" thickBot="1">
      <c r="A485" s="675"/>
      <c r="B485" s="676"/>
      <c r="C485" s="675"/>
      <c r="D485" s="677"/>
      <c r="E485" s="675"/>
      <c r="F485" s="675"/>
      <c r="G485" s="675"/>
      <c r="H485" s="678"/>
      <c r="I485" s="675"/>
      <c r="J485" s="675"/>
      <c r="K485" s="675"/>
      <c r="L485" s="675"/>
      <c r="M485" s="675"/>
      <c r="N485" s="675"/>
      <c r="O485" s="675"/>
      <c r="P485" s="679"/>
      <c r="Q485" s="675"/>
      <c r="R485" s="675"/>
      <c r="S485" s="675"/>
    </row>
    <row r="486" spans="1:19" ht="14.25" thickTop="1" thickBot="1">
      <c r="A486" s="2"/>
      <c r="B486" s="28"/>
      <c r="D486" s="3" t="s">
        <v>10</v>
      </c>
      <c r="H486" s="3" t="s">
        <v>11</v>
      </c>
      <c r="L486" s="3" t="s">
        <v>12</v>
      </c>
    </row>
    <row r="487" spans="1:19" ht="14.25" thickTop="1" thickBot="1">
      <c r="A487" s="421" t="s">
        <v>255</v>
      </c>
      <c r="B487" s="433">
        <f>B467+1</f>
        <v>37189</v>
      </c>
      <c r="C487" s="434">
        <f>Q502</f>
        <v>2.9688140161745178</v>
      </c>
      <c r="E487" s="624"/>
    </row>
    <row r="488" spans="1:19" ht="54" customHeight="1" thickTop="1">
      <c r="A488" s="2" t="s">
        <v>5</v>
      </c>
      <c r="B488" s="9" t="s">
        <v>46</v>
      </c>
      <c r="C488" s="18" t="s">
        <v>256</v>
      </c>
      <c r="D488" s="14" t="s">
        <v>28</v>
      </c>
      <c r="E488" s="4" t="s">
        <v>7</v>
      </c>
      <c r="F488" s="4" t="s">
        <v>8</v>
      </c>
      <c r="G488" s="4" t="s">
        <v>9</v>
      </c>
      <c r="H488" s="14" t="s">
        <v>28</v>
      </c>
      <c r="I488" s="4" t="s">
        <v>7</v>
      </c>
      <c r="J488" s="4" t="s">
        <v>8</v>
      </c>
      <c r="K488" s="4" t="s">
        <v>9</v>
      </c>
      <c r="L488" s="14" t="s">
        <v>28</v>
      </c>
      <c r="M488" s="4" t="s">
        <v>7</v>
      </c>
      <c r="N488" s="4" t="s">
        <v>8</v>
      </c>
      <c r="O488" s="4" t="s">
        <v>9</v>
      </c>
      <c r="P488" s="4" t="s">
        <v>193</v>
      </c>
      <c r="Q488" s="4" t="s">
        <v>197</v>
      </c>
      <c r="R488" s="4"/>
      <c r="S488" s="4"/>
    </row>
    <row r="489" spans="1:19">
      <c r="A489" s="1" t="s">
        <v>49</v>
      </c>
      <c r="B489" s="8" t="s">
        <v>269</v>
      </c>
      <c r="C489" s="422">
        <v>2.6349999999999998</v>
      </c>
      <c r="D489" s="21" t="s">
        <v>29</v>
      </c>
      <c r="E489" s="6">
        <v>5.2200000000000003E-2</v>
      </c>
      <c r="F489" s="10">
        <v>5.0599999999999999E-2</v>
      </c>
      <c r="G489" s="5">
        <f t="shared" ref="G489:G499" si="96">+C489/(1-F489)+E489</f>
        <v>2.8276371181799029</v>
      </c>
      <c r="H489" s="21" t="s">
        <v>38</v>
      </c>
      <c r="I489" s="6">
        <f>E491</f>
        <v>0.1043</v>
      </c>
      <c r="J489" s="7">
        <v>2.2800000000000001E-2</v>
      </c>
      <c r="K489" s="5">
        <f>+G489/(1-J489)+I489</f>
        <v>2.9979114594554881</v>
      </c>
      <c r="L489" s="21" t="s">
        <v>39</v>
      </c>
      <c r="M489" s="6">
        <v>0</v>
      </c>
      <c r="N489" s="7">
        <v>2.5000000000000001E-3</v>
      </c>
      <c r="O489" s="5">
        <f>+K489/(1-N489)+M489</f>
        <v>3.0054250220105141</v>
      </c>
      <c r="P489" s="329">
        <f>Weightings!$C$4</f>
        <v>1071.401539872767</v>
      </c>
      <c r="Q489" s="5">
        <f t="shared" ref="Q489:Q499" si="97">+P489/SUM($P$9:$P$19)*O489</f>
        <v>4.0443445270802285E-2</v>
      </c>
      <c r="R489" s="5"/>
      <c r="S489" s="245"/>
    </row>
    <row r="490" spans="1:19">
      <c r="A490" s="1" t="s">
        <v>50</v>
      </c>
      <c r="B490" s="8" t="s">
        <v>270</v>
      </c>
      <c r="C490" s="422">
        <v>2.6349999999999998</v>
      </c>
      <c r="D490" s="21" t="s">
        <v>30</v>
      </c>
      <c r="E490" s="6">
        <v>5.2200000000000003E-2</v>
      </c>
      <c r="F490" s="10">
        <v>5.8000000000000003E-2</v>
      </c>
      <c r="G490" s="5">
        <f t="shared" si="96"/>
        <v>2.8494399150743099</v>
      </c>
      <c r="H490" s="21" t="s">
        <v>38</v>
      </c>
      <c r="I490" s="6">
        <f>E491</f>
        <v>0.1043</v>
      </c>
      <c r="J490" s="7">
        <v>2.2800000000000001E-2</v>
      </c>
      <c r="K490" s="5">
        <f t="shared" ref="K490:K499" si="98">+G490/(1-J490)+I490</f>
        <v>3.0202229585287657</v>
      </c>
      <c r="L490" s="21" t="s">
        <v>39</v>
      </c>
      <c r="M490" s="6">
        <v>0</v>
      </c>
      <c r="N490" s="7">
        <v>2.5000000000000001E-3</v>
      </c>
      <c r="O490" s="5">
        <f t="shared" ref="O490:O499" si="99">+K490/(1-N490)+M490</f>
        <v>3.0277924396278353</v>
      </c>
      <c r="P490" s="329">
        <f>Weightings!$C$5</f>
        <v>1309.8829179244465</v>
      </c>
      <c r="Q490" s="5">
        <f t="shared" si="97"/>
        <v>4.9813672322219352E-2</v>
      </c>
      <c r="R490" s="5"/>
      <c r="S490" s="29"/>
    </row>
    <row r="491" spans="1:19">
      <c r="A491" s="1" t="s">
        <v>40</v>
      </c>
      <c r="B491" s="8" t="s">
        <v>257</v>
      </c>
      <c r="C491" s="422">
        <v>2.9449999999999998</v>
      </c>
      <c r="D491" s="21" t="s">
        <v>154</v>
      </c>
      <c r="E491" s="6">
        <f>0.0951+0.0022+0.007</f>
        <v>0.1043</v>
      </c>
      <c r="F491" s="10">
        <v>2.2800000000000001E-2</v>
      </c>
      <c r="G491" s="5">
        <f t="shared" si="96"/>
        <v>3.1180126483831354</v>
      </c>
      <c r="H491" s="21" t="s">
        <v>39</v>
      </c>
      <c r="I491" s="6">
        <v>0</v>
      </c>
      <c r="J491" s="7">
        <v>2.5000000000000001E-3</v>
      </c>
      <c r="K491" s="5">
        <f t="shared" si="98"/>
        <v>3.1258272164241956</v>
      </c>
      <c r="L491" s="21"/>
      <c r="M491" s="6">
        <v>0</v>
      </c>
      <c r="N491" s="7">
        <v>0</v>
      </c>
      <c r="O491" s="5">
        <f t="shared" si="99"/>
        <v>3.1258272164241956</v>
      </c>
      <c r="P491" s="329">
        <f>Weightings!$C$6</f>
        <v>19813.452023725906</v>
      </c>
      <c r="Q491" s="5">
        <f t="shared" si="97"/>
        <v>0.77788446201730976</v>
      </c>
      <c r="R491" s="5"/>
      <c r="S491" s="29"/>
    </row>
    <row r="492" spans="1:19">
      <c r="A492" s="1" t="s">
        <v>41</v>
      </c>
      <c r="B492" s="8" t="s">
        <v>258</v>
      </c>
      <c r="C492" s="422">
        <v>2.99</v>
      </c>
      <c r="D492" s="21" t="s">
        <v>155</v>
      </c>
      <c r="E492" s="6">
        <f>0.0951+0.0022+0.007</f>
        <v>0.1043</v>
      </c>
      <c r="F492" s="10">
        <v>2.2800000000000001E-2</v>
      </c>
      <c r="G492" s="5">
        <f t="shared" si="96"/>
        <v>3.1640625869832175</v>
      </c>
      <c r="H492" s="21" t="s">
        <v>39</v>
      </c>
      <c r="I492" s="6">
        <v>0</v>
      </c>
      <c r="J492" s="7">
        <v>2.5000000000000001E-3</v>
      </c>
      <c r="K492" s="5">
        <f t="shared" si="98"/>
        <v>3.1719925684042281</v>
      </c>
      <c r="L492" s="21"/>
      <c r="M492" s="6">
        <v>0</v>
      </c>
      <c r="N492" s="7">
        <v>0</v>
      </c>
      <c r="O492" s="5">
        <f t="shared" si="99"/>
        <v>3.1719925684042281</v>
      </c>
      <c r="P492" s="329">
        <f>Weightings!$C$7</f>
        <v>669.60336394048545</v>
      </c>
      <c r="Q492" s="5">
        <f t="shared" si="97"/>
        <v>2.6677170763029164E-2</v>
      </c>
      <c r="R492" s="5"/>
      <c r="S492" s="245"/>
    </row>
    <row r="493" spans="1:19">
      <c r="A493" s="1" t="s">
        <v>26</v>
      </c>
      <c r="B493" s="8" t="s">
        <v>259</v>
      </c>
      <c r="C493" s="423">
        <f>C498</f>
        <v>2.625</v>
      </c>
      <c r="D493" s="21" t="s">
        <v>31</v>
      </c>
      <c r="E493" s="609">
        <f>0.0331+0.0022+0.0097</f>
        <v>4.4999999999999998E-2</v>
      </c>
      <c r="F493" s="608">
        <v>5.04E-2</v>
      </c>
      <c r="G493" s="5">
        <f t="shared" si="96"/>
        <v>2.8093218197135634</v>
      </c>
      <c r="H493" s="21" t="s">
        <v>38</v>
      </c>
      <c r="I493" s="6">
        <f>E491</f>
        <v>0.1043</v>
      </c>
      <c r="J493" s="7">
        <v>2.2800000000000001E-2</v>
      </c>
      <c r="K493" s="5">
        <f t="shared" si="98"/>
        <v>2.9791688290151077</v>
      </c>
      <c r="L493" s="21" t="s">
        <v>39</v>
      </c>
      <c r="M493" s="6">
        <v>0</v>
      </c>
      <c r="N493" s="7">
        <v>2.5000000000000001E-3</v>
      </c>
      <c r="O493" s="5">
        <f t="shared" si="99"/>
        <v>2.9866354175590049</v>
      </c>
      <c r="P493" s="329">
        <f>Weightings!$C$8</f>
        <v>273.77460524748824</v>
      </c>
      <c r="Q493" s="5">
        <f t="shared" si="97"/>
        <v>1.0269879625232918E-2</v>
      </c>
      <c r="R493" s="5"/>
      <c r="S493" s="29"/>
    </row>
    <row r="494" spans="1:19">
      <c r="A494" s="1" t="s">
        <v>27</v>
      </c>
      <c r="B494" s="8" t="s">
        <v>103</v>
      </c>
      <c r="C494" s="423">
        <f>C499</f>
        <v>2.7250000000000001</v>
      </c>
      <c r="D494" s="21" t="s">
        <v>32</v>
      </c>
      <c r="E494" s="609">
        <f>0.0305+0.0022+0.0097</f>
        <v>4.24E-2</v>
      </c>
      <c r="F494" s="608">
        <v>4.6199999999999998E-2</v>
      </c>
      <c r="G494" s="5">
        <f t="shared" si="96"/>
        <v>2.8993930803103378</v>
      </c>
      <c r="H494" s="21" t="s">
        <v>38</v>
      </c>
      <c r="I494" s="6">
        <f>E491</f>
        <v>0.1043</v>
      </c>
      <c r="J494" s="7">
        <v>2.2800000000000001E-2</v>
      </c>
      <c r="K494" s="5">
        <f t="shared" si="98"/>
        <v>3.071341629462073</v>
      </c>
      <c r="L494" s="21" t="s">
        <v>39</v>
      </c>
      <c r="M494" s="6">
        <v>0</v>
      </c>
      <c r="N494" s="7">
        <v>2.5000000000000001E-3</v>
      </c>
      <c r="O494" s="5">
        <f t="shared" si="99"/>
        <v>3.0790392275309002</v>
      </c>
      <c r="P494" s="329">
        <f>Weightings!$C$9</f>
        <v>6.554456479221634</v>
      </c>
      <c r="Q494" s="5">
        <f t="shared" si="97"/>
        <v>2.5347894266935324E-4</v>
      </c>
      <c r="R494" s="5"/>
      <c r="S494" s="29"/>
    </row>
    <row r="495" spans="1:19">
      <c r="A495" s="1" t="s">
        <v>0</v>
      </c>
      <c r="B495" s="8" t="s">
        <v>260</v>
      </c>
      <c r="C495" s="422">
        <v>2.665</v>
      </c>
      <c r="D495" s="21" t="s">
        <v>37</v>
      </c>
      <c r="E495" s="6">
        <f>0.0366+0.0022</f>
        <v>3.8800000000000001E-2</v>
      </c>
      <c r="F495" s="10">
        <v>6.9699999999999996E-3</v>
      </c>
      <c r="G495" s="5">
        <f t="shared" si="96"/>
        <v>2.7225054268249704</v>
      </c>
      <c r="H495" s="21" t="s">
        <v>43</v>
      </c>
      <c r="I495" s="609">
        <f>0.017+0.0022</f>
        <v>1.9200000000000002E-2</v>
      </c>
      <c r="J495" s="608">
        <v>2.9020000000000001E-2</v>
      </c>
      <c r="K495" s="5">
        <f t="shared" si="98"/>
        <v>2.8230738458309861</v>
      </c>
      <c r="L495" s="15" t="s">
        <v>156</v>
      </c>
      <c r="M495" s="6">
        <f>E496</f>
        <v>2.2600000000000002E-2</v>
      </c>
      <c r="N495" s="10">
        <f>F496</f>
        <v>2.776E-2</v>
      </c>
      <c r="O495" s="247">
        <f t="shared" si="99"/>
        <v>2.926280002706108</v>
      </c>
      <c r="P495" s="329">
        <f>Weightings!$C$13</f>
        <v>31370.607479626047</v>
      </c>
      <c r="Q495" s="5">
        <f t="shared" si="97"/>
        <v>1.1529986240497474</v>
      </c>
      <c r="R495" s="247"/>
      <c r="S495" s="29"/>
    </row>
    <row r="496" spans="1:19">
      <c r="A496" s="1" t="s">
        <v>1</v>
      </c>
      <c r="B496" s="8" t="s">
        <v>261</v>
      </c>
      <c r="C496" s="422">
        <v>2.88</v>
      </c>
      <c r="D496" s="21" t="s">
        <v>48</v>
      </c>
      <c r="E496" s="6">
        <f>0.0134+0.0022+0.007</f>
        <v>2.2600000000000002E-2</v>
      </c>
      <c r="F496" s="10">
        <v>2.776E-2</v>
      </c>
      <c r="G496" s="5">
        <f t="shared" si="96"/>
        <v>2.9848315477659839</v>
      </c>
      <c r="H496" s="21"/>
      <c r="I496" s="6">
        <v>0</v>
      </c>
      <c r="J496" s="7">
        <v>0</v>
      </c>
      <c r="K496" s="5">
        <f t="shared" si="98"/>
        <v>2.9848315477659839</v>
      </c>
      <c r="L496" s="15"/>
      <c r="M496" s="6">
        <v>0</v>
      </c>
      <c r="N496" s="7">
        <v>0</v>
      </c>
      <c r="O496" s="5">
        <f t="shared" si="99"/>
        <v>2.9848315477659839</v>
      </c>
      <c r="P496" s="329">
        <f>Weightings!$C$14</f>
        <v>5614.3227016821775</v>
      </c>
      <c r="Q496" s="5">
        <f t="shared" si="97"/>
        <v>0.21047822790734017</v>
      </c>
      <c r="R496" s="5"/>
      <c r="S496" s="246"/>
    </row>
    <row r="497" spans="1:19">
      <c r="A497" s="1" t="s">
        <v>2</v>
      </c>
      <c r="B497" s="8" t="s">
        <v>262</v>
      </c>
      <c r="C497" s="649">
        <v>2.61</v>
      </c>
      <c r="D497" s="21" t="s">
        <v>33</v>
      </c>
      <c r="E497" s="609">
        <f>0.0299+0.0022+0.0097</f>
        <v>4.1799999999999997E-2</v>
      </c>
      <c r="F497" s="608">
        <v>4.58E-2</v>
      </c>
      <c r="G497" s="5">
        <f t="shared" si="96"/>
        <v>2.7770756235590017</v>
      </c>
      <c r="H497" s="21" t="s">
        <v>42</v>
      </c>
      <c r="I497" s="6">
        <v>0</v>
      </c>
      <c r="J497" s="7">
        <v>0.01</v>
      </c>
      <c r="K497" s="5">
        <f t="shared" si="98"/>
        <v>2.8051268924838402</v>
      </c>
      <c r="L497" s="15"/>
      <c r="M497" s="6">
        <v>0</v>
      </c>
      <c r="N497" s="7">
        <v>0</v>
      </c>
      <c r="O497" s="5">
        <f t="shared" si="99"/>
        <v>2.8051268924838402</v>
      </c>
      <c r="P497" s="329">
        <f>Weightings!$C$15</f>
        <v>3366</v>
      </c>
      <c r="Q497" s="5">
        <f t="shared" si="97"/>
        <v>0.11859233065826118</v>
      </c>
      <c r="R497" s="5"/>
      <c r="S497" s="29"/>
    </row>
    <row r="498" spans="1:19">
      <c r="A498" s="1" t="s">
        <v>3</v>
      </c>
      <c r="B498" s="8" t="s">
        <v>259</v>
      </c>
      <c r="C498" s="422">
        <v>2.625</v>
      </c>
      <c r="D498" s="21" t="s">
        <v>34</v>
      </c>
      <c r="E498" s="609">
        <f>0.0277+0.0022+0.0097</f>
        <v>3.9599999999999996E-2</v>
      </c>
      <c r="F498" s="608">
        <v>4.2299999999999997E-2</v>
      </c>
      <c r="G498" s="5">
        <f t="shared" si="96"/>
        <v>2.78054183982458</v>
      </c>
      <c r="H498" s="21" t="s">
        <v>42</v>
      </c>
      <c r="I498" s="6">
        <v>0</v>
      </c>
      <c r="J498" s="7">
        <v>0.01</v>
      </c>
      <c r="K498" s="5">
        <f t="shared" si="98"/>
        <v>2.8086281210349293</v>
      </c>
      <c r="M498" s="6">
        <v>0</v>
      </c>
      <c r="N498" s="7">
        <v>0</v>
      </c>
      <c r="O498" s="5">
        <f t="shared" si="99"/>
        <v>2.8086281210349293</v>
      </c>
      <c r="P498" s="329">
        <f>Weightings!$C$16</f>
        <v>4950</v>
      </c>
      <c r="Q498" s="5">
        <f t="shared" si="97"/>
        <v>0.17461816481475223</v>
      </c>
      <c r="R498" s="5"/>
      <c r="S498" s="29"/>
    </row>
    <row r="499" spans="1:19">
      <c r="A499" s="1" t="s">
        <v>4</v>
      </c>
      <c r="B499" s="8" t="s">
        <v>103</v>
      </c>
      <c r="C499" s="422">
        <v>2.7250000000000001</v>
      </c>
      <c r="D499" s="21" t="s">
        <v>35</v>
      </c>
      <c r="E499" s="609">
        <f>0.0251+0.0022+0.0097</f>
        <v>3.7000000000000005E-2</v>
      </c>
      <c r="F499" s="608">
        <v>3.8100000000000002E-2</v>
      </c>
      <c r="G499" s="5">
        <f t="shared" si="96"/>
        <v>2.8699348165089926</v>
      </c>
      <c r="H499" s="21" t="s">
        <v>42</v>
      </c>
      <c r="I499" s="6">
        <v>0</v>
      </c>
      <c r="J499" s="7">
        <v>0.01</v>
      </c>
      <c r="K499" s="5">
        <f t="shared" si="98"/>
        <v>2.8989240570797907</v>
      </c>
      <c r="M499" s="6">
        <v>0</v>
      </c>
      <c r="N499" s="7">
        <v>0</v>
      </c>
      <c r="O499" s="5">
        <f t="shared" si="99"/>
        <v>2.8989240570797907</v>
      </c>
      <c r="P499" s="329">
        <f>Weightings!$C$17</f>
        <v>11172.172715894869</v>
      </c>
      <c r="Q499" s="5">
        <f t="shared" si="97"/>
        <v>0.40678455980315348</v>
      </c>
      <c r="R499" s="5"/>
      <c r="S499" s="29"/>
    </row>
    <row r="500" spans="1:19">
      <c r="O500" s="35"/>
      <c r="P500" s="67"/>
      <c r="Q500" s="35"/>
      <c r="R500" s="35"/>
      <c r="S500" s="244"/>
    </row>
    <row r="501" spans="1:19" ht="13.5" thickBot="1">
      <c r="O501" s="36"/>
      <c r="P501" s="330"/>
      <c r="Q501" s="36"/>
      <c r="R501" s="36"/>
    </row>
    <row r="502" spans="1:19" ht="13.5" thickBot="1">
      <c r="O502" s="331" t="s">
        <v>198</v>
      </c>
      <c r="P502" s="332"/>
      <c r="Q502" s="333">
        <f>SUM(Q489:Q499)</f>
        <v>2.9688140161745178</v>
      </c>
      <c r="R502" s="424">
        <f>B487</f>
        <v>37189</v>
      </c>
    </row>
    <row r="503" spans="1:19">
      <c r="O503" s="35"/>
      <c r="P503" s="35"/>
      <c r="Q503" s="35"/>
      <c r="R503" s="35"/>
      <c r="S503" s="35"/>
    </row>
    <row r="504" spans="1:19">
      <c r="D504" s="21"/>
      <c r="H504" s="5"/>
      <c r="O504" s="36" t="s">
        <v>263</v>
      </c>
      <c r="P504" s="404">
        <f>Weightings!C503</f>
        <v>0</v>
      </c>
      <c r="Q504" s="35" t="s">
        <v>206</v>
      </c>
      <c r="R504" s="344" t="s">
        <v>208</v>
      </c>
      <c r="S504" s="35"/>
    </row>
    <row r="505" spans="1:19" ht="13.5" thickBot="1">
      <c r="A505" s="675"/>
      <c r="B505" s="676"/>
      <c r="C505" s="675"/>
      <c r="D505" s="677"/>
      <c r="E505" s="675"/>
      <c r="F505" s="675"/>
      <c r="G505" s="675"/>
      <c r="H505" s="678"/>
      <c r="I505" s="675"/>
      <c r="J505" s="675"/>
      <c r="K505" s="675"/>
      <c r="L505" s="675"/>
      <c r="M505" s="675"/>
      <c r="N505" s="675"/>
      <c r="O505" s="675"/>
      <c r="P505" s="679"/>
      <c r="Q505" s="675"/>
      <c r="R505" s="675"/>
      <c r="S505" s="675"/>
    </row>
    <row r="506" spans="1:19" ht="14.25" thickTop="1" thickBot="1">
      <c r="A506" s="2"/>
      <c r="B506" s="28"/>
      <c r="D506" s="3" t="s">
        <v>10</v>
      </c>
      <c r="H506" s="3" t="s">
        <v>11</v>
      </c>
      <c r="L506" s="3" t="s">
        <v>12</v>
      </c>
    </row>
    <row r="507" spans="1:19" ht="14.25" thickTop="1" thickBot="1">
      <c r="A507" s="421" t="s">
        <v>255</v>
      </c>
      <c r="B507" s="433">
        <f>B487+1</f>
        <v>37190</v>
      </c>
      <c r="C507" s="434">
        <f>Q522</f>
        <v>3.5017877668287984</v>
      </c>
      <c r="E507" s="624"/>
    </row>
    <row r="508" spans="1:19" ht="54" customHeight="1" thickTop="1">
      <c r="A508" s="2" t="s">
        <v>5</v>
      </c>
      <c r="B508" s="9" t="s">
        <v>46</v>
      </c>
      <c r="C508" s="18" t="s">
        <v>256</v>
      </c>
      <c r="D508" s="14" t="s">
        <v>28</v>
      </c>
      <c r="E508" s="4" t="s">
        <v>7</v>
      </c>
      <c r="F508" s="4" t="s">
        <v>8</v>
      </c>
      <c r="G508" s="4" t="s">
        <v>9</v>
      </c>
      <c r="H508" s="14" t="s">
        <v>28</v>
      </c>
      <c r="I508" s="4" t="s">
        <v>7</v>
      </c>
      <c r="J508" s="4" t="s">
        <v>8</v>
      </c>
      <c r="K508" s="4" t="s">
        <v>9</v>
      </c>
      <c r="L508" s="14" t="s">
        <v>28</v>
      </c>
      <c r="M508" s="4" t="s">
        <v>7</v>
      </c>
      <c r="N508" s="4" t="s">
        <v>8</v>
      </c>
      <c r="O508" s="4" t="s">
        <v>9</v>
      </c>
      <c r="P508" s="4" t="s">
        <v>193</v>
      </c>
      <c r="Q508" s="4" t="s">
        <v>197</v>
      </c>
      <c r="R508" s="4"/>
      <c r="S508" s="4"/>
    </row>
    <row r="509" spans="1:19">
      <c r="A509" s="1" t="s">
        <v>49</v>
      </c>
      <c r="B509" s="8" t="s">
        <v>269</v>
      </c>
      <c r="C509" s="422">
        <v>3.145</v>
      </c>
      <c r="D509" s="21" t="s">
        <v>29</v>
      </c>
      <c r="E509" s="6">
        <v>5.2200000000000003E-2</v>
      </c>
      <c r="F509" s="10">
        <v>5.0599999999999999E-2</v>
      </c>
      <c r="G509" s="5">
        <f t="shared" ref="G509:G519" si="100">+C509/(1-F509)+E509</f>
        <v>3.3648184958921425</v>
      </c>
      <c r="H509" s="21" t="s">
        <v>38</v>
      </c>
      <c r="I509" s="6">
        <f>E511</f>
        <v>0.1043</v>
      </c>
      <c r="J509" s="7">
        <v>2.2800000000000001E-2</v>
      </c>
      <c r="K509" s="5">
        <f>+G509/(1-J509)+I509</f>
        <v>3.5476263363611773</v>
      </c>
      <c r="L509" s="21" t="s">
        <v>39</v>
      </c>
      <c r="M509" s="6">
        <v>0</v>
      </c>
      <c r="N509" s="7">
        <v>2.5000000000000001E-3</v>
      </c>
      <c r="O509" s="5">
        <f>+K509/(1-N509)+M509</f>
        <v>3.5565176304372703</v>
      </c>
      <c r="P509" s="329">
        <f>Weightings!$C$4</f>
        <v>1071.401539872767</v>
      </c>
      <c r="Q509" s="5">
        <f t="shared" ref="Q509:Q519" si="101">+P509/SUM($P$9:$P$19)*O509</f>
        <v>4.7859395954922598E-2</v>
      </c>
      <c r="R509" s="5"/>
      <c r="S509" s="245"/>
    </row>
    <row r="510" spans="1:19">
      <c r="A510" s="1" t="s">
        <v>50</v>
      </c>
      <c r="B510" s="8" t="s">
        <v>270</v>
      </c>
      <c r="C510" s="422">
        <v>3.11</v>
      </c>
      <c r="D510" s="21" t="s">
        <v>30</v>
      </c>
      <c r="E510" s="6">
        <v>5.2200000000000003E-2</v>
      </c>
      <c r="F510" s="10">
        <v>5.8000000000000003E-2</v>
      </c>
      <c r="G510" s="5">
        <f t="shared" si="100"/>
        <v>3.3536861995753715</v>
      </c>
      <c r="H510" s="21" t="s">
        <v>38</v>
      </c>
      <c r="I510" s="6">
        <f>E511</f>
        <v>0.1043</v>
      </c>
      <c r="J510" s="7">
        <v>2.2800000000000001E-2</v>
      </c>
      <c r="K510" s="5">
        <f t="shared" ref="K510:K519" si="102">+G510/(1-J510)+I510</f>
        <v>3.5362343016530611</v>
      </c>
      <c r="L510" s="21" t="s">
        <v>39</v>
      </c>
      <c r="M510" s="6">
        <v>0</v>
      </c>
      <c r="N510" s="7">
        <v>2.5000000000000001E-3</v>
      </c>
      <c r="O510" s="5">
        <f t="shared" ref="O510:O519" si="103">+K510/(1-N510)+M510</f>
        <v>3.54509704426372</v>
      </c>
      <c r="P510" s="329">
        <f>Weightings!$C$5</f>
        <v>1309.8829179244465</v>
      </c>
      <c r="Q510" s="5">
        <f t="shared" si="101"/>
        <v>5.832444133294936E-2</v>
      </c>
      <c r="R510" s="5"/>
      <c r="S510" s="29"/>
    </row>
    <row r="511" spans="1:19">
      <c r="A511" s="1" t="s">
        <v>40</v>
      </c>
      <c r="B511" s="8" t="s">
        <v>257</v>
      </c>
      <c r="C511" s="422">
        <v>3.51</v>
      </c>
      <c r="D511" s="21" t="s">
        <v>154</v>
      </c>
      <c r="E511" s="6">
        <f>0.0951+0.0022+0.007</f>
        <v>0.1043</v>
      </c>
      <c r="F511" s="10">
        <v>2.2800000000000001E-2</v>
      </c>
      <c r="G511" s="5">
        <f t="shared" si="100"/>
        <v>3.6961952108063856</v>
      </c>
      <c r="H511" s="21" t="s">
        <v>39</v>
      </c>
      <c r="I511" s="6">
        <v>0</v>
      </c>
      <c r="J511" s="7">
        <v>2.5000000000000001E-3</v>
      </c>
      <c r="K511" s="5">
        <f t="shared" si="102"/>
        <v>3.7054588579512635</v>
      </c>
      <c r="L511" s="21"/>
      <c r="M511" s="6">
        <v>0</v>
      </c>
      <c r="N511" s="7">
        <v>0</v>
      </c>
      <c r="O511" s="5">
        <f t="shared" si="103"/>
        <v>3.7054588579512635</v>
      </c>
      <c r="P511" s="329">
        <f>Weightings!$C$6</f>
        <v>19813.452023725906</v>
      </c>
      <c r="Q511" s="5">
        <f t="shared" si="101"/>
        <v>0.92212994214761812</v>
      </c>
      <c r="R511" s="5"/>
      <c r="S511" s="29"/>
    </row>
    <row r="512" spans="1:19">
      <c r="A512" s="1" t="s">
        <v>41</v>
      </c>
      <c r="B512" s="8" t="s">
        <v>258</v>
      </c>
      <c r="C512" s="422">
        <v>3.58</v>
      </c>
      <c r="D512" s="21" t="s">
        <v>155</v>
      </c>
      <c r="E512" s="6">
        <f>0.0951+0.0022+0.007</f>
        <v>0.1043</v>
      </c>
      <c r="F512" s="10">
        <v>2.2800000000000001E-2</v>
      </c>
      <c r="G512" s="5">
        <f t="shared" si="100"/>
        <v>3.7678284486287352</v>
      </c>
      <c r="H512" s="21" t="s">
        <v>39</v>
      </c>
      <c r="I512" s="6">
        <v>0</v>
      </c>
      <c r="J512" s="7">
        <v>2.5000000000000001E-3</v>
      </c>
      <c r="K512" s="5">
        <f t="shared" si="102"/>
        <v>3.7772716276979801</v>
      </c>
      <c r="L512" s="21"/>
      <c r="M512" s="6">
        <v>0</v>
      </c>
      <c r="N512" s="7">
        <v>0</v>
      </c>
      <c r="O512" s="5">
        <f t="shared" si="103"/>
        <v>3.7772716276979801</v>
      </c>
      <c r="P512" s="329">
        <f>Weightings!$C$7</f>
        <v>669.60336394048545</v>
      </c>
      <c r="Q512" s="5">
        <f t="shared" si="101"/>
        <v>3.1767703756360989E-2</v>
      </c>
      <c r="R512" s="5"/>
      <c r="S512" s="245"/>
    </row>
    <row r="513" spans="1:19">
      <c r="A513" s="1" t="s">
        <v>26</v>
      </c>
      <c r="B513" s="8" t="s">
        <v>259</v>
      </c>
      <c r="C513" s="423">
        <f>C518</f>
        <v>3.12</v>
      </c>
      <c r="D513" s="21" t="s">
        <v>31</v>
      </c>
      <c r="E513" s="609">
        <f>0.0331+0.0022+0.0097</f>
        <v>4.4999999999999998E-2</v>
      </c>
      <c r="F513" s="608">
        <v>5.04E-2</v>
      </c>
      <c r="G513" s="5">
        <f t="shared" si="100"/>
        <v>3.3305939342881214</v>
      </c>
      <c r="H513" s="21" t="s">
        <v>38</v>
      </c>
      <c r="I513" s="6">
        <f>E511</f>
        <v>0.1043</v>
      </c>
      <c r="J513" s="7">
        <v>2.2800000000000001E-2</v>
      </c>
      <c r="K513" s="5">
        <f t="shared" si="102"/>
        <v>3.512603248350513</v>
      </c>
      <c r="L513" s="21" t="s">
        <v>39</v>
      </c>
      <c r="M513" s="6">
        <v>0</v>
      </c>
      <c r="N513" s="7">
        <v>2.5000000000000001E-3</v>
      </c>
      <c r="O513" s="5">
        <f t="shared" si="103"/>
        <v>3.5214067652636718</v>
      </c>
      <c r="P513" s="329">
        <f>Weightings!$C$8</f>
        <v>273.77460524748824</v>
      </c>
      <c r="Q513" s="5">
        <f t="shared" si="101"/>
        <v>1.2108750662407982E-2</v>
      </c>
      <c r="R513" s="5"/>
      <c r="S513" s="29"/>
    </row>
    <row r="514" spans="1:19">
      <c r="A514" s="1" t="s">
        <v>27</v>
      </c>
      <c r="B514" s="8" t="s">
        <v>103</v>
      </c>
      <c r="C514" s="423">
        <f>C519</f>
        <v>3.21</v>
      </c>
      <c r="D514" s="21" t="s">
        <v>32</v>
      </c>
      <c r="E514" s="609">
        <f>0.0305+0.0022+0.0097</f>
        <v>4.24E-2</v>
      </c>
      <c r="F514" s="608">
        <v>4.6199999999999998E-2</v>
      </c>
      <c r="G514" s="5">
        <f t="shared" si="100"/>
        <v>3.4078854267141963</v>
      </c>
      <c r="H514" s="21" t="s">
        <v>38</v>
      </c>
      <c r="I514" s="6">
        <f>E511</f>
        <v>0.1043</v>
      </c>
      <c r="J514" s="7">
        <v>2.2800000000000001E-2</v>
      </c>
      <c r="K514" s="5">
        <f t="shared" si="102"/>
        <v>3.5916981034733895</v>
      </c>
      <c r="L514" s="21" t="s">
        <v>39</v>
      </c>
      <c r="M514" s="6">
        <v>0</v>
      </c>
      <c r="N514" s="7">
        <v>2.5000000000000001E-3</v>
      </c>
      <c r="O514" s="5">
        <f t="shared" si="103"/>
        <v>3.6006998531061547</v>
      </c>
      <c r="P514" s="329">
        <f>Weightings!$C$9</f>
        <v>6.554456479221634</v>
      </c>
      <c r="Q514" s="5">
        <f t="shared" si="101"/>
        <v>2.9642415188290555E-4</v>
      </c>
      <c r="R514" s="5"/>
      <c r="S514" s="29"/>
    </row>
    <row r="515" spans="1:19">
      <c r="A515" s="1" t="s">
        <v>0</v>
      </c>
      <c r="B515" s="8" t="s">
        <v>260</v>
      </c>
      <c r="C515" s="422">
        <v>3.1349999999999998</v>
      </c>
      <c r="D515" s="21" t="s">
        <v>37</v>
      </c>
      <c r="E515" s="6">
        <f>0.0366+0.0022</f>
        <v>3.8800000000000001E-2</v>
      </c>
      <c r="F515" s="10">
        <v>6.9699999999999996E-3</v>
      </c>
      <c r="G515" s="5">
        <f t="shared" si="100"/>
        <v>3.1958043201111748</v>
      </c>
      <c r="H515" s="21" t="s">
        <v>43</v>
      </c>
      <c r="I515" s="609">
        <f>0.017+0.0022</f>
        <v>1.9200000000000002E-2</v>
      </c>
      <c r="J515" s="608">
        <v>2.9020000000000001E-2</v>
      </c>
      <c r="K515" s="5">
        <f t="shared" si="102"/>
        <v>3.3105183794837947</v>
      </c>
      <c r="L515" s="15" t="s">
        <v>156</v>
      </c>
      <c r="M515" s="6">
        <f>E516</f>
        <v>2.2600000000000002E-2</v>
      </c>
      <c r="N515" s="10">
        <f>F516</f>
        <v>2.776E-2</v>
      </c>
      <c r="O515" s="247">
        <f t="shared" si="103"/>
        <v>3.4276423552659785</v>
      </c>
      <c r="P515" s="329">
        <f>Weightings!$C$13</f>
        <v>31370.607479626047</v>
      </c>
      <c r="Q515" s="5">
        <f t="shared" si="101"/>
        <v>1.3505429814308929</v>
      </c>
      <c r="R515" s="247"/>
      <c r="S515" s="29"/>
    </row>
    <row r="516" spans="1:19">
      <c r="A516" s="1" t="s">
        <v>1</v>
      </c>
      <c r="B516" s="8" t="s">
        <v>261</v>
      </c>
      <c r="C516" s="422">
        <v>3.4649999999999999</v>
      </c>
      <c r="D516" s="21" t="s">
        <v>48</v>
      </c>
      <c r="E516" s="6">
        <f>0.0134+0.0022+0.007</f>
        <v>2.2600000000000002E-2</v>
      </c>
      <c r="F516" s="10">
        <v>2.776E-2</v>
      </c>
      <c r="G516" s="5">
        <f t="shared" si="100"/>
        <v>3.5865348309059493</v>
      </c>
      <c r="H516" s="21"/>
      <c r="I516" s="6">
        <v>0</v>
      </c>
      <c r="J516" s="7">
        <v>0</v>
      </c>
      <c r="K516" s="5">
        <f t="shared" si="102"/>
        <v>3.5865348309059493</v>
      </c>
      <c r="L516" s="15"/>
      <c r="M516" s="6">
        <v>0</v>
      </c>
      <c r="N516" s="7">
        <v>0</v>
      </c>
      <c r="O516" s="5">
        <f t="shared" si="103"/>
        <v>3.5865348309059493</v>
      </c>
      <c r="P516" s="329">
        <f>Weightings!$C$14</f>
        <v>5614.3227016821775</v>
      </c>
      <c r="Q516" s="5">
        <f t="shared" si="101"/>
        <v>0.25290790567462224</v>
      </c>
      <c r="R516" s="5"/>
      <c r="S516" s="246"/>
    </row>
    <row r="517" spans="1:19">
      <c r="A517" s="1" t="s">
        <v>2</v>
      </c>
      <c r="B517" s="8" t="s">
        <v>262</v>
      </c>
      <c r="C517" s="649">
        <v>3.1</v>
      </c>
      <c r="D517" s="21" t="s">
        <v>33</v>
      </c>
      <c r="E517" s="609">
        <f>0.0299+0.0022+0.0097</f>
        <v>4.1799999999999997E-2</v>
      </c>
      <c r="F517" s="608">
        <v>4.58E-2</v>
      </c>
      <c r="G517" s="5">
        <f t="shared" si="100"/>
        <v>3.2905948019283167</v>
      </c>
      <c r="H517" s="21" t="s">
        <v>42</v>
      </c>
      <c r="I517" s="6">
        <v>0</v>
      </c>
      <c r="J517" s="7">
        <v>0.01</v>
      </c>
      <c r="K517" s="5">
        <f t="shared" si="102"/>
        <v>3.3238331332609259</v>
      </c>
      <c r="L517" s="15"/>
      <c r="M517" s="6">
        <v>0</v>
      </c>
      <c r="N517" s="7">
        <v>0</v>
      </c>
      <c r="O517" s="5">
        <f t="shared" si="103"/>
        <v>3.3238331332609259</v>
      </c>
      <c r="P517" s="329">
        <f>Weightings!$C$15</f>
        <v>3366</v>
      </c>
      <c r="Q517" s="5">
        <f t="shared" si="101"/>
        <v>0.14052167089080617</v>
      </c>
      <c r="R517" s="5"/>
      <c r="S517" s="29"/>
    </row>
    <row r="518" spans="1:19">
      <c r="A518" s="1" t="s">
        <v>3</v>
      </c>
      <c r="B518" s="8" t="s">
        <v>259</v>
      </c>
      <c r="C518" s="422">
        <v>3.12</v>
      </c>
      <c r="D518" s="21" t="s">
        <v>34</v>
      </c>
      <c r="E518" s="609">
        <f>0.0277+0.0022+0.0097</f>
        <v>3.9599999999999996E-2</v>
      </c>
      <c r="F518" s="608">
        <v>4.2299999999999997E-2</v>
      </c>
      <c r="G518" s="5">
        <f t="shared" si="100"/>
        <v>3.2974051581915007</v>
      </c>
      <c r="H518" s="21" t="s">
        <v>42</v>
      </c>
      <c r="I518" s="6">
        <v>0</v>
      </c>
      <c r="J518" s="7">
        <v>0.01</v>
      </c>
      <c r="K518" s="5">
        <f t="shared" si="102"/>
        <v>3.330712281001516</v>
      </c>
      <c r="M518" s="6">
        <v>0</v>
      </c>
      <c r="N518" s="7">
        <v>0</v>
      </c>
      <c r="O518" s="5">
        <f t="shared" si="103"/>
        <v>3.330712281001516</v>
      </c>
      <c r="P518" s="329">
        <f>Weightings!$C$16</f>
        <v>4950</v>
      </c>
      <c r="Q518" s="5">
        <f t="shared" si="101"/>
        <v>0.2070772067254428</v>
      </c>
      <c r="R518" s="5"/>
      <c r="S518" s="29"/>
    </row>
    <row r="519" spans="1:19">
      <c r="A519" s="1" t="s">
        <v>4</v>
      </c>
      <c r="B519" s="8" t="s">
        <v>103</v>
      </c>
      <c r="C519" s="422">
        <v>3.21</v>
      </c>
      <c r="D519" s="21" t="s">
        <v>35</v>
      </c>
      <c r="E519" s="609">
        <f>0.0251+0.0022+0.0097</f>
        <v>3.7000000000000005E-2</v>
      </c>
      <c r="F519" s="608">
        <v>3.8100000000000002E-2</v>
      </c>
      <c r="G519" s="5">
        <f t="shared" si="100"/>
        <v>3.3741452333922446</v>
      </c>
      <c r="H519" s="21" t="s">
        <v>42</v>
      </c>
      <c r="I519" s="6">
        <v>0</v>
      </c>
      <c r="J519" s="7">
        <v>0.01</v>
      </c>
      <c r="K519" s="5">
        <f t="shared" si="102"/>
        <v>3.4082275084770148</v>
      </c>
      <c r="M519" s="6">
        <v>0</v>
      </c>
      <c r="N519" s="7">
        <v>0</v>
      </c>
      <c r="O519" s="5">
        <f t="shared" si="103"/>
        <v>3.4082275084770148</v>
      </c>
      <c r="P519" s="329">
        <f>Weightings!$C$17</f>
        <v>11172.172715894869</v>
      </c>
      <c r="Q519" s="5">
        <f t="shared" si="101"/>
        <v>0.4782513441008921</v>
      </c>
      <c r="R519" s="5"/>
      <c r="S519" s="29"/>
    </row>
    <row r="520" spans="1:19">
      <c r="O520" s="35"/>
      <c r="P520" s="67"/>
      <c r="Q520" s="35"/>
      <c r="R520" s="35"/>
      <c r="S520" s="244"/>
    </row>
    <row r="521" spans="1:19" ht="13.5" thickBot="1">
      <c r="O521" s="36"/>
      <c r="P521" s="330"/>
      <c r="Q521" s="36"/>
      <c r="R521" s="36"/>
    </row>
    <row r="522" spans="1:19" ht="13.5" thickBot="1">
      <c r="O522" s="331" t="s">
        <v>198</v>
      </c>
      <c r="P522" s="332"/>
      <c r="Q522" s="333">
        <f>SUM(Q509:Q519)</f>
        <v>3.5017877668287984</v>
      </c>
      <c r="R522" s="424">
        <f>B507</f>
        <v>37190</v>
      </c>
    </row>
    <row r="523" spans="1:19">
      <c r="O523" s="35"/>
      <c r="P523" s="35"/>
      <c r="Q523" s="35"/>
      <c r="R523" s="35"/>
      <c r="S523" s="35"/>
    </row>
    <row r="524" spans="1:19">
      <c r="D524" s="21"/>
      <c r="H524" s="5"/>
      <c r="O524" s="36" t="s">
        <v>263</v>
      </c>
      <c r="P524" s="404">
        <f>Weightings!C523</f>
        <v>0</v>
      </c>
      <c r="Q524" s="35" t="s">
        <v>206</v>
      </c>
      <c r="R524" s="344" t="s">
        <v>208</v>
      </c>
      <c r="S524" s="35"/>
    </row>
    <row r="525" spans="1:19" ht="13.5" thickBot="1">
      <c r="A525" s="675"/>
      <c r="B525" s="676"/>
      <c r="C525" s="675"/>
      <c r="D525" s="677"/>
      <c r="E525" s="675"/>
      <c r="F525" s="675"/>
      <c r="G525" s="675"/>
      <c r="H525" s="678"/>
      <c r="I525" s="675"/>
      <c r="J525" s="675"/>
      <c r="K525" s="675"/>
      <c r="L525" s="675"/>
      <c r="M525" s="675"/>
      <c r="N525" s="675"/>
      <c r="O525" s="675"/>
      <c r="P525" s="679"/>
      <c r="Q525" s="675"/>
      <c r="R525" s="675"/>
      <c r="S525" s="675"/>
    </row>
    <row r="526" spans="1:19" ht="14.25" thickTop="1" thickBot="1">
      <c r="A526" s="2"/>
      <c r="B526" s="28"/>
      <c r="D526" s="3" t="s">
        <v>10</v>
      </c>
      <c r="H526" s="3" t="s">
        <v>11</v>
      </c>
      <c r="L526" s="3" t="s">
        <v>12</v>
      </c>
    </row>
    <row r="527" spans="1:19" ht="14.25" thickTop="1" thickBot="1">
      <c r="A527" s="421" t="s">
        <v>255</v>
      </c>
      <c r="B527" s="433">
        <f>B507+1</f>
        <v>37191</v>
      </c>
      <c r="C527" s="434">
        <f>Q542</f>
        <v>3.3961513960548526</v>
      </c>
      <c r="E527" s="624"/>
    </row>
    <row r="528" spans="1:19" ht="54" customHeight="1" thickTop="1">
      <c r="A528" s="2" t="s">
        <v>5</v>
      </c>
      <c r="B528" s="9" t="s">
        <v>46</v>
      </c>
      <c r="C528" s="18" t="s">
        <v>256</v>
      </c>
      <c r="D528" s="14" t="s">
        <v>28</v>
      </c>
      <c r="E528" s="4" t="s">
        <v>7</v>
      </c>
      <c r="F528" s="4" t="s">
        <v>8</v>
      </c>
      <c r="G528" s="4" t="s">
        <v>9</v>
      </c>
      <c r="H528" s="14" t="s">
        <v>28</v>
      </c>
      <c r="I528" s="4" t="s">
        <v>7</v>
      </c>
      <c r="J528" s="4" t="s">
        <v>8</v>
      </c>
      <c r="K528" s="4" t="s">
        <v>9</v>
      </c>
      <c r="L528" s="14" t="s">
        <v>28</v>
      </c>
      <c r="M528" s="4" t="s">
        <v>7</v>
      </c>
      <c r="N528" s="4" t="s">
        <v>8</v>
      </c>
      <c r="O528" s="4" t="s">
        <v>9</v>
      </c>
      <c r="P528" s="4" t="s">
        <v>193</v>
      </c>
      <c r="Q528" s="4" t="s">
        <v>197</v>
      </c>
      <c r="R528" s="4"/>
      <c r="S528" s="4"/>
    </row>
    <row r="529" spans="1:19">
      <c r="A529" s="1" t="s">
        <v>49</v>
      </c>
      <c r="B529" s="8" t="s">
        <v>269</v>
      </c>
      <c r="C529" s="422">
        <v>3.04</v>
      </c>
      <c r="D529" s="21" t="s">
        <v>29</v>
      </c>
      <c r="E529" s="6">
        <v>5.2200000000000003E-2</v>
      </c>
      <c r="F529" s="10">
        <v>5.0599999999999999E-2</v>
      </c>
      <c r="G529" s="5">
        <f t="shared" ref="G529:G539" si="104">+C529/(1-F529)+E529</f>
        <v>3.2542223298925639</v>
      </c>
      <c r="H529" s="21" t="s">
        <v>38</v>
      </c>
      <c r="I529" s="6">
        <f>E531</f>
        <v>0.1043</v>
      </c>
      <c r="J529" s="7">
        <v>2.2800000000000001E-2</v>
      </c>
      <c r="K529" s="5">
        <f>+G529/(1-J529)+I529</f>
        <v>3.4344497440570652</v>
      </c>
      <c r="L529" s="21" t="s">
        <v>39</v>
      </c>
      <c r="M529" s="6">
        <v>0</v>
      </c>
      <c r="N529" s="7">
        <v>2.5000000000000001E-3</v>
      </c>
      <c r="O529" s="5">
        <f>+K529/(1-N529)+M529</f>
        <v>3.4430573875258799</v>
      </c>
      <c r="P529" s="329">
        <f>Weightings!$C$4</f>
        <v>1071.401539872767</v>
      </c>
      <c r="Q529" s="5">
        <f t="shared" ref="Q529:Q539" si="105">+P529/SUM($P$9:$P$19)*O529</f>
        <v>4.6332582578780188E-2</v>
      </c>
      <c r="R529" s="5"/>
      <c r="S529" s="245"/>
    </row>
    <row r="530" spans="1:19">
      <c r="A530" s="1" t="s">
        <v>50</v>
      </c>
      <c r="B530" s="8" t="s">
        <v>270</v>
      </c>
      <c r="C530" s="422">
        <v>2.99</v>
      </c>
      <c r="D530" s="21" t="s">
        <v>30</v>
      </c>
      <c r="E530" s="6">
        <v>5.2200000000000003E-2</v>
      </c>
      <c r="F530" s="10">
        <v>5.8000000000000003E-2</v>
      </c>
      <c r="G530" s="5">
        <f t="shared" si="104"/>
        <v>3.2262976645435248</v>
      </c>
      <c r="H530" s="21" t="s">
        <v>38</v>
      </c>
      <c r="I530" s="6">
        <f>E531</f>
        <v>0.1043</v>
      </c>
      <c r="J530" s="7">
        <v>2.2800000000000001E-2</v>
      </c>
      <c r="K530" s="5">
        <f t="shared" ref="K530:K539" si="106">+G530/(1-J530)+I530</f>
        <v>3.4058735412848189</v>
      </c>
      <c r="L530" s="21" t="s">
        <v>39</v>
      </c>
      <c r="M530" s="6">
        <v>0</v>
      </c>
      <c r="N530" s="7">
        <v>2.5000000000000001E-3</v>
      </c>
      <c r="O530" s="5">
        <f t="shared" ref="O530:O539" si="107">+K530/(1-N530)+M530</f>
        <v>3.4144095651978135</v>
      </c>
      <c r="P530" s="329">
        <f>Weightings!$C$5</f>
        <v>1309.8829179244465</v>
      </c>
      <c r="Q530" s="5">
        <f t="shared" si="105"/>
        <v>5.6174352319712323E-2</v>
      </c>
      <c r="R530" s="5"/>
      <c r="S530" s="29"/>
    </row>
    <row r="531" spans="1:19">
      <c r="A531" s="1" t="s">
        <v>40</v>
      </c>
      <c r="B531" s="8" t="s">
        <v>257</v>
      </c>
      <c r="C531" s="422">
        <v>3.415</v>
      </c>
      <c r="D531" s="21" t="s">
        <v>154</v>
      </c>
      <c r="E531" s="6">
        <f>0.0951+0.0022+0.007</f>
        <v>0.1043</v>
      </c>
      <c r="F531" s="10">
        <v>2.2800000000000001E-2</v>
      </c>
      <c r="G531" s="5">
        <f t="shared" si="104"/>
        <v>3.5989786737617684</v>
      </c>
      <c r="H531" s="21" t="s">
        <v>39</v>
      </c>
      <c r="I531" s="6">
        <v>0</v>
      </c>
      <c r="J531" s="7">
        <v>2.5000000000000001E-3</v>
      </c>
      <c r="K531" s="5">
        <f t="shared" si="106"/>
        <v>3.6079986704378628</v>
      </c>
      <c r="L531" s="21"/>
      <c r="M531" s="6">
        <v>0</v>
      </c>
      <c r="N531" s="7">
        <v>0</v>
      </c>
      <c r="O531" s="5">
        <f t="shared" si="107"/>
        <v>3.6079986704378628</v>
      </c>
      <c r="P531" s="329">
        <f>Weightings!$C$6</f>
        <v>19813.452023725906</v>
      </c>
      <c r="Q531" s="5">
        <f t="shared" si="105"/>
        <v>0.89787627734694686</v>
      </c>
      <c r="R531" s="5"/>
      <c r="S531" s="29"/>
    </row>
    <row r="532" spans="1:19">
      <c r="A532" s="1" t="s">
        <v>41</v>
      </c>
      <c r="B532" s="8" t="s">
        <v>258</v>
      </c>
      <c r="C532" s="422">
        <v>3.43</v>
      </c>
      <c r="D532" s="21" t="s">
        <v>155</v>
      </c>
      <c r="E532" s="6">
        <f>0.0951+0.0022+0.007</f>
        <v>0.1043</v>
      </c>
      <c r="F532" s="10">
        <v>2.2800000000000001E-2</v>
      </c>
      <c r="G532" s="5">
        <f t="shared" si="104"/>
        <v>3.6143286532951291</v>
      </c>
      <c r="H532" s="21" t="s">
        <v>39</v>
      </c>
      <c r="I532" s="6">
        <v>0</v>
      </c>
      <c r="J532" s="7">
        <v>2.5000000000000001E-3</v>
      </c>
      <c r="K532" s="5">
        <f t="shared" si="106"/>
        <v>3.6233871210978736</v>
      </c>
      <c r="L532" s="21"/>
      <c r="M532" s="6">
        <v>0</v>
      </c>
      <c r="N532" s="7">
        <v>0</v>
      </c>
      <c r="O532" s="5">
        <f t="shared" si="107"/>
        <v>3.6233871210978736</v>
      </c>
      <c r="P532" s="329">
        <f>Weightings!$C$7</f>
        <v>669.60336394048545</v>
      </c>
      <c r="Q532" s="5">
        <f t="shared" si="105"/>
        <v>3.0473500452971543E-2</v>
      </c>
      <c r="R532" s="5"/>
      <c r="S532" s="245"/>
    </row>
    <row r="533" spans="1:19">
      <c r="A533" s="1" t="s">
        <v>26</v>
      </c>
      <c r="B533" s="8" t="s">
        <v>259</v>
      </c>
      <c r="C533" s="423">
        <f>C538</f>
        <v>2.98</v>
      </c>
      <c r="D533" s="21" t="s">
        <v>31</v>
      </c>
      <c r="E533" s="609">
        <f>0.0331+0.0022+0.0097</f>
        <v>4.4999999999999998E-2</v>
      </c>
      <c r="F533" s="608">
        <v>5.04E-2</v>
      </c>
      <c r="G533" s="5">
        <f t="shared" si="104"/>
        <v>3.1831634372367312</v>
      </c>
      <c r="H533" s="21" t="s">
        <v>38</v>
      </c>
      <c r="I533" s="6">
        <f>E531</f>
        <v>0.1043</v>
      </c>
      <c r="J533" s="7">
        <v>2.2800000000000001E-2</v>
      </c>
      <c r="K533" s="5">
        <f t="shared" si="106"/>
        <v>3.3617329075283782</v>
      </c>
      <c r="L533" s="21" t="s">
        <v>39</v>
      </c>
      <c r="M533" s="6">
        <v>0</v>
      </c>
      <c r="N533" s="7">
        <v>2.5000000000000001E-3</v>
      </c>
      <c r="O533" s="5">
        <f t="shared" si="107"/>
        <v>3.3701583032865945</v>
      </c>
      <c r="P533" s="329">
        <f>Weightings!$C$8</f>
        <v>273.77460524748824</v>
      </c>
      <c r="Q533" s="5">
        <f t="shared" si="105"/>
        <v>1.1588665924621096E-2</v>
      </c>
      <c r="R533" s="5"/>
      <c r="S533" s="29"/>
    </row>
    <row r="534" spans="1:19">
      <c r="A534" s="1" t="s">
        <v>27</v>
      </c>
      <c r="B534" s="8" t="s">
        <v>103</v>
      </c>
      <c r="C534" s="423">
        <f>C539</f>
        <v>3.1</v>
      </c>
      <c r="D534" s="21" t="s">
        <v>32</v>
      </c>
      <c r="E534" s="609">
        <f>0.0305+0.0022+0.0097</f>
        <v>4.24E-2</v>
      </c>
      <c r="F534" s="608">
        <v>4.6199999999999998E-2</v>
      </c>
      <c r="G534" s="5">
        <f t="shared" si="104"/>
        <v>3.2925572656741458</v>
      </c>
      <c r="H534" s="21" t="s">
        <v>38</v>
      </c>
      <c r="I534" s="6">
        <f>E531</f>
        <v>0.1043</v>
      </c>
      <c r="J534" s="7">
        <v>2.2800000000000001E-2</v>
      </c>
      <c r="K534" s="5">
        <f t="shared" si="106"/>
        <v>3.4736791093677302</v>
      </c>
      <c r="L534" s="21" t="s">
        <v>39</v>
      </c>
      <c r="M534" s="6">
        <v>0</v>
      </c>
      <c r="N534" s="7">
        <v>2.5000000000000001E-3</v>
      </c>
      <c r="O534" s="5">
        <f t="shared" si="107"/>
        <v>3.4823850720478498</v>
      </c>
      <c r="P534" s="329">
        <f>Weightings!$C$9</f>
        <v>6.554456479221634</v>
      </c>
      <c r="Q534" s="5">
        <f t="shared" si="105"/>
        <v>2.8668400133962567E-4</v>
      </c>
      <c r="R534" s="5"/>
      <c r="S534" s="29"/>
    </row>
    <row r="535" spans="1:19">
      <c r="A535" s="1" t="s">
        <v>0</v>
      </c>
      <c r="B535" s="8" t="s">
        <v>260</v>
      </c>
      <c r="C535" s="422">
        <v>3.04</v>
      </c>
      <c r="D535" s="21" t="s">
        <v>37</v>
      </c>
      <c r="E535" s="6">
        <f>0.0366+0.0022</f>
        <v>3.8800000000000001E-2</v>
      </c>
      <c r="F535" s="10">
        <v>6.9699999999999996E-3</v>
      </c>
      <c r="G535" s="5">
        <f t="shared" si="104"/>
        <v>3.1001375225320489</v>
      </c>
      <c r="H535" s="21" t="s">
        <v>43</v>
      </c>
      <c r="I535" s="609">
        <f>0.017+0.0022</f>
        <v>1.9200000000000002E-2</v>
      </c>
      <c r="J535" s="608">
        <v>2.9020000000000001E-2</v>
      </c>
      <c r="K535" s="5">
        <f t="shared" si="106"/>
        <v>3.2119923567241848</v>
      </c>
      <c r="L535" s="15" t="s">
        <v>156</v>
      </c>
      <c r="M535" s="6">
        <f>E536</f>
        <v>2.2600000000000002E-2</v>
      </c>
      <c r="N535" s="10">
        <f>F536</f>
        <v>2.776E-2</v>
      </c>
      <c r="O535" s="247">
        <f t="shared" si="107"/>
        <v>3.3263031563443031</v>
      </c>
      <c r="P535" s="329">
        <f>Weightings!$C$13</f>
        <v>31370.607479626047</v>
      </c>
      <c r="Q535" s="5">
        <f t="shared" si="105"/>
        <v>1.3106138028112999</v>
      </c>
      <c r="R535" s="247"/>
      <c r="S535" s="29"/>
    </row>
    <row r="536" spans="1:19">
      <c r="A536" s="1" t="s">
        <v>1</v>
      </c>
      <c r="B536" s="8" t="s">
        <v>261</v>
      </c>
      <c r="C536" s="422">
        <v>3.415</v>
      </c>
      <c r="D536" s="21" t="s">
        <v>48</v>
      </c>
      <c r="E536" s="6">
        <f>0.0134+0.0022+0.007</f>
        <v>2.2600000000000002E-2</v>
      </c>
      <c r="F536" s="10">
        <v>2.776E-2</v>
      </c>
      <c r="G536" s="5">
        <f t="shared" si="104"/>
        <v>3.5351071998683454</v>
      </c>
      <c r="H536" s="21"/>
      <c r="I536" s="6">
        <v>0</v>
      </c>
      <c r="J536" s="7">
        <v>0</v>
      </c>
      <c r="K536" s="5">
        <f t="shared" si="106"/>
        <v>3.5351071998683454</v>
      </c>
      <c r="L536" s="15"/>
      <c r="M536" s="6">
        <v>0</v>
      </c>
      <c r="N536" s="7">
        <v>0</v>
      </c>
      <c r="O536" s="5">
        <f t="shared" si="107"/>
        <v>3.5351071998683454</v>
      </c>
      <c r="P536" s="329">
        <f>Weightings!$C$14</f>
        <v>5614.3227016821775</v>
      </c>
      <c r="Q536" s="5">
        <f t="shared" si="105"/>
        <v>0.24928143748938444</v>
      </c>
      <c r="R536" s="5"/>
      <c r="S536" s="246"/>
    </row>
    <row r="537" spans="1:19">
      <c r="A537" s="1" t="s">
        <v>2</v>
      </c>
      <c r="B537" s="8" t="s">
        <v>262</v>
      </c>
      <c r="C537" s="649">
        <v>2.9449999999999998</v>
      </c>
      <c r="D537" s="21" t="s">
        <v>33</v>
      </c>
      <c r="E537" s="609">
        <f>0.0299+0.0022+0.0097</f>
        <v>4.1799999999999997E-2</v>
      </c>
      <c r="F537" s="608">
        <v>4.58E-2</v>
      </c>
      <c r="G537" s="5">
        <f t="shared" si="104"/>
        <v>3.1281550618319005</v>
      </c>
      <c r="H537" s="21" t="s">
        <v>42</v>
      </c>
      <c r="I537" s="6">
        <v>0</v>
      </c>
      <c r="J537" s="7">
        <v>0.01</v>
      </c>
      <c r="K537" s="5">
        <f t="shared" si="106"/>
        <v>3.1597525877089905</v>
      </c>
      <c r="L537" s="15"/>
      <c r="M537" s="6">
        <v>0</v>
      </c>
      <c r="N537" s="7">
        <v>0</v>
      </c>
      <c r="O537" s="5">
        <f t="shared" si="107"/>
        <v>3.1597525877089905</v>
      </c>
      <c r="P537" s="329">
        <f>Weightings!$C$15</f>
        <v>3366</v>
      </c>
      <c r="Q537" s="5">
        <f t="shared" si="105"/>
        <v>0.13358483877642968</v>
      </c>
      <c r="R537" s="5"/>
      <c r="S537" s="29"/>
    </row>
    <row r="538" spans="1:19">
      <c r="A538" s="1" t="s">
        <v>3</v>
      </c>
      <c r="B538" s="8" t="s">
        <v>259</v>
      </c>
      <c r="C538" s="422">
        <v>2.98</v>
      </c>
      <c r="D538" s="21" t="s">
        <v>34</v>
      </c>
      <c r="E538" s="609">
        <f>0.0277+0.0022+0.0097</f>
        <v>3.9599999999999996E-2</v>
      </c>
      <c r="F538" s="608">
        <v>4.2299999999999997E-2</v>
      </c>
      <c r="G538" s="5">
        <f t="shared" si="104"/>
        <v>3.1512215934008565</v>
      </c>
      <c r="H538" s="21" t="s">
        <v>42</v>
      </c>
      <c r="I538" s="6">
        <v>0</v>
      </c>
      <c r="J538" s="7">
        <v>0.01</v>
      </c>
      <c r="K538" s="5">
        <f t="shared" si="106"/>
        <v>3.1830521145463195</v>
      </c>
      <c r="M538" s="6">
        <v>0</v>
      </c>
      <c r="N538" s="7">
        <v>0</v>
      </c>
      <c r="O538" s="5">
        <f t="shared" si="107"/>
        <v>3.1830521145463195</v>
      </c>
      <c r="P538" s="329">
        <f>Weightings!$C$16</f>
        <v>4950</v>
      </c>
      <c r="Q538" s="5">
        <f t="shared" si="105"/>
        <v>0.19789687163959091</v>
      </c>
      <c r="R538" s="5"/>
      <c r="S538" s="29"/>
    </row>
    <row r="539" spans="1:19">
      <c r="A539" s="1" t="s">
        <v>4</v>
      </c>
      <c r="B539" s="8" t="s">
        <v>103</v>
      </c>
      <c r="C539" s="422">
        <v>3.1</v>
      </c>
      <c r="D539" s="21" t="s">
        <v>35</v>
      </c>
      <c r="E539" s="609">
        <f>0.0251+0.0022+0.0097</f>
        <v>3.7000000000000005E-2</v>
      </c>
      <c r="F539" s="608">
        <v>3.8100000000000002E-2</v>
      </c>
      <c r="G539" s="5">
        <f t="shared" si="104"/>
        <v>3.2597882316249089</v>
      </c>
      <c r="H539" s="21" t="s">
        <v>42</v>
      </c>
      <c r="I539" s="6">
        <v>0</v>
      </c>
      <c r="J539" s="7">
        <v>0.01</v>
      </c>
      <c r="K539" s="5">
        <f t="shared" si="106"/>
        <v>3.2927153854797062</v>
      </c>
      <c r="M539" s="6">
        <v>0</v>
      </c>
      <c r="N539" s="7">
        <v>0</v>
      </c>
      <c r="O539" s="5">
        <f t="shared" si="107"/>
        <v>3.2927153854797062</v>
      </c>
      <c r="P539" s="329">
        <f>Weightings!$C$17</f>
        <v>11172.172715894869</v>
      </c>
      <c r="Q539" s="5">
        <f t="shared" si="105"/>
        <v>0.46204238271377612</v>
      </c>
      <c r="R539" s="5"/>
      <c r="S539" s="29"/>
    </row>
    <row r="540" spans="1:19">
      <c r="O540" s="35"/>
      <c r="P540" s="67"/>
      <c r="Q540" s="35"/>
      <c r="R540" s="35"/>
      <c r="S540" s="244"/>
    </row>
    <row r="541" spans="1:19" ht="13.5" thickBot="1">
      <c r="O541" s="36"/>
      <c r="P541" s="330"/>
      <c r="Q541" s="36"/>
      <c r="R541" s="36"/>
    </row>
    <row r="542" spans="1:19" ht="13.5" thickBot="1">
      <c r="O542" s="331" t="s">
        <v>198</v>
      </c>
      <c r="P542" s="332"/>
      <c r="Q542" s="333">
        <f>SUM(Q529:Q539)</f>
        <v>3.3961513960548526</v>
      </c>
      <c r="R542" s="424">
        <f>B527</f>
        <v>37191</v>
      </c>
    </row>
    <row r="543" spans="1:19">
      <c r="O543" s="35"/>
      <c r="P543" s="35"/>
      <c r="Q543" s="35"/>
      <c r="R543" s="35"/>
      <c r="S543" s="35"/>
    </row>
    <row r="544" spans="1:19">
      <c r="D544" s="21"/>
      <c r="H544" s="5"/>
      <c r="O544" s="36" t="s">
        <v>263</v>
      </c>
      <c r="P544" s="404">
        <f>Weightings!C543</f>
        <v>0</v>
      </c>
      <c r="Q544" s="35" t="s">
        <v>206</v>
      </c>
      <c r="R544" s="344" t="s">
        <v>208</v>
      </c>
      <c r="S544" s="35"/>
    </row>
    <row r="545" spans="1:19" ht="13.5" thickBot="1">
      <c r="A545" s="675"/>
      <c r="B545" s="676"/>
      <c r="C545" s="675"/>
      <c r="D545" s="677"/>
      <c r="E545" s="675"/>
      <c r="F545" s="675"/>
      <c r="G545" s="675"/>
      <c r="H545" s="678"/>
      <c r="I545" s="675"/>
      <c r="J545" s="675"/>
      <c r="K545" s="675"/>
      <c r="L545" s="675"/>
      <c r="M545" s="675"/>
      <c r="N545" s="675"/>
      <c r="O545" s="675"/>
      <c r="P545" s="679"/>
      <c r="Q545" s="675"/>
      <c r="R545" s="675"/>
      <c r="S545" s="675"/>
    </row>
    <row r="546" spans="1:19" ht="14.25" thickTop="1" thickBot="1">
      <c r="A546" s="2"/>
      <c r="B546" s="28"/>
      <c r="D546" s="3" t="s">
        <v>10</v>
      </c>
      <c r="H546" s="3" t="s">
        <v>11</v>
      </c>
      <c r="L546" s="3" t="s">
        <v>12</v>
      </c>
    </row>
    <row r="547" spans="1:19" ht="14.25" thickTop="1" thickBot="1">
      <c r="A547" s="421" t="s">
        <v>255</v>
      </c>
      <c r="B547" s="433">
        <f>B527+1</f>
        <v>37192</v>
      </c>
      <c r="C547" s="434">
        <f>Q562</f>
        <v>3.3961513960548526</v>
      </c>
      <c r="E547" s="624"/>
    </row>
    <row r="548" spans="1:19" ht="54" customHeight="1" thickTop="1">
      <c r="A548" s="2" t="s">
        <v>5</v>
      </c>
      <c r="B548" s="9" t="s">
        <v>46</v>
      </c>
      <c r="C548" s="18" t="s">
        <v>256</v>
      </c>
      <c r="D548" s="14" t="s">
        <v>28</v>
      </c>
      <c r="E548" s="4" t="s">
        <v>7</v>
      </c>
      <c r="F548" s="4" t="s">
        <v>8</v>
      </c>
      <c r="G548" s="4" t="s">
        <v>9</v>
      </c>
      <c r="H548" s="14" t="s">
        <v>28</v>
      </c>
      <c r="I548" s="4" t="s">
        <v>7</v>
      </c>
      <c r="J548" s="4" t="s">
        <v>8</v>
      </c>
      <c r="K548" s="4" t="s">
        <v>9</v>
      </c>
      <c r="L548" s="14" t="s">
        <v>28</v>
      </c>
      <c r="M548" s="4" t="s">
        <v>7</v>
      </c>
      <c r="N548" s="4" t="s">
        <v>8</v>
      </c>
      <c r="O548" s="4" t="s">
        <v>9</v>
      </c>
      <c r="P548" s="4" t="s">
        <v>193</v>
      </c>
      <c r="Q548" s="4" t="s">
        <v>197</v>
      </c>
      <c r="R548" s="4"/>
      <c r="S548" s="4"/>
    </row>
    <row r="549" spans="1:19">
      <c r="A549" s="1" t="s">
        <v>49</v>
      </c>
      <c r="B549" s="8" t="s">
        <v>269</v>
      </c>
      <c r="C549" s="422">
        <v>3.04</v>
      </c>
      <c r="D549" s="21" t="s">
        <v>29</v>
      </c>
      <c r="E549" s="6">
        <v>5.2200000000000003E-2</v>
      </c>
      <c r="F549" s="10">
        <v>5.0599999999999999E-2</v>
      </c>
      <c r="G549" s="5">
        <f t="shared" ref="G549:G559" si="108">+C549/(1-F549)+E549</f>
        <v>3.2542223298925639</v>
      </c>
      <c r="H549" s="21" t="s">
        <v>38</v>
      </c>
      <c r="I549" s="6">
        <f>E551</f>
        <v>0.1043</v>
      </c>
      <c r="J549" s="7">
        <v>2.2800000000000001E-2</v>
      </c>
      <c r="K549" s="5">
        <f>+G549/(1-J549)+I549</f>
        <v>3.4344497440570652</v>
      </c>
      <c r="L549" s="21" t="s">
        <v>39</v>
      </c>
      <c r="M549" s="6">
        <v>0</v>
      </c>
      <c r="N549" s="7">
        <v>2.5000000000000001E-3</v>
      </c>
      <c r="O549" s="5">
        <f>+K549/(1-N549)+M549</f>
        <v>3.4430573875258799</v>
      </c>
      <c r="P549" s="329">
        <f>Weightings!$C$4</f>
        <v>1071.401539872767</v>
      </c>
      <c r="Q549" s="5">
        <f t="shared" ref="Q549:Q559" si="109">+P549/SUM($P$9:$P$19)*O549</f>
        <v>4.6332582578780188E-2</v>
      </c>
      <c r="R549" s="5"/>
      <c r="S549" s="245"/>
    </row>
    <row r="550" spans="1:19">
      <c r="A550" s="1" t="s">
        <v>50</v>
      </c>
      <c r="B550" s="8" t="s">
        <v>270</v>
      </c>
      <c r="C550" s="422">
        <v>2.99</v>
      </c>
      <c r="D550" s="21" t="s">
        <v>30</v>
      </c>
      <c r="E550" s="6">
        <v>5.2200000000000003E-2</v>
      </c>
      <c r="F550" s="10">
        <v>5.8000000000000003E-2</v>
      </c>
      <c r="G550" s="5">
        <f t="shared" si="108"/>
        <v>3.2262976645435248</v>
      </c>
      <c r="H550" s="21" t="s">
        <v>38</v>
      </c>
      <c r="I550" s="6">
        <f>E551</f>
        <v>0.1043</v>
      </c>
      <c r="J550" s="7">
        <v>2.2800000000000001E-2</v>
      </c>
      <c r="K550" s="5">
        <f t="shared" ref="K550:K559" si="110">+G550/(1-J550)+I550</f>
        <v>3.4058735412848189</v>
      </c>
      <c r="L550" s="21" t="s">
        <v>39</v>
      </c>
      <c r="M550" s="6">
        <v>0</v>
      </c>
      <c r="N550" s="7">
        <v>2.5000000000000001E-3</v>
      </c>
      <c r="O550" s="5">
        <f t="shared" ref="O550:O559" si="111">+K550/(1-N550)+M550</f>
        <v>3.4144095651978135</v>
      </c>
      <c r="P550" s="329">
        <f>Weightings!$C$5</f>
        <v>1309.8829179244465</v>
      </c>
      <c r="Q550" s="5">
        <f t="shared" si="109"/>
        <v>5.6174352319712323E-2</v>
      </c>
      <c r="R550" s="5"/>
      <c r="S550" s="29"/>
    </row>
    <row r="551" spans="1:19">
      <c r="A551" s="1" t="s">
        <v>40</v>
      </c>
      <c r="B551" s="8" t="s">
        <v>257</v>
      </c>
      <c r="C551" s="422">
        <v>3.415</v>
      </c>
      <c r="D551" s="21" t="s">
        <v>154</v>
      </c>
      <c r="E551" s="6">
        <f>0.0951+0.0022+0.007</f>
        <v>0.1043</v>
      </c>
      <c r="F551" s="10">
        <v>2.2800000000000001E-2</v>
      </c>
      <c r="G551" s="5">
        <f t="shared" si="108"/>
        <v>3.5989786737617684</v>
      </c>
      <c r="H551" s="21" t="s">
        <v>39</v>
      </c>
      <c r="I551" s="6">
        <v>0</v>
      </c>
      <c r="J551" s="7">
        <v>2.5000000000000001E-3</v>
      </c>
      <c r="K551" s="5">
        <f t="shared" si="110"/>
        <v>3.6079986704378628</v>
      </c>
      <c r="L551" s="21"/>
      <c r="M551" s="6">
        <v>0</v>
      </c>
      <c r="N551" s="7">
        <v>0</v>
      </c>
      <c r="O551" s="5">
        <f t="shared" si="111"/>
        <v>3.6079986704378628</v>
      </c>
      <c r="P551" s="329">
        <f>Weightings!$C$6</f>
        <v>19813.452023725906</v>
      </c>
      <c r="Q551" s="5">
        <f t="shared" si="109"/>
        <v>0.89787627734694686</v>
      </c>
      <c r="R551" s="5"/>
      <c r="S551" s="29"/>
    </row>
    <row r="552" spans="1:19">
      <c r="A552" s="1" t="s">
        <v>41</v>
      </c>
      <c r="B552" s="8" t="s">
        <v>258</v>
      </c>
      <c r="C552" s="422">
        <v>3.43</v>
      </c>
      <c r="D552" s="21" t="s">
        <v>155</v>
      </c>
      <c r="E552" s="6">
        <f>0.0951+0.0022+0.007</f>
        <v>0.1043</v>
      </c>
      <c r="F552" s="10">
        <v>2.2800000000000001E-2</v>
      </c>
      <c r="G552" s="5">
        <f t="shared" si="108"/>
        <v>3.6143286532951291</v>
      </c>
      <c r="H552" s="21" t="s">
        <v>39</v>
      </c>
      <c r="I552" s="6">
        <v>0</v>
      </c>
      <c r="J552" s="7">
        <v>2.5000000000000001E-3</v>
      </c>
      <c r="K552" s="5">
        <f t="shared" si="110"/>
        <v>3.6233871210978736</v>
      </c>
      <c r="L552" s="21"/>
      <c r="M552" s="6">
        <v>0</v>
      </c>
      <c r="N552" s="7">
        <v>0</v>
      </c>
      <c r="O552" s="5">
        <f t="shared" si="111"/>
        <v>3.6233871210978736</v>
      </c>
      <c r="P552" s="329">
        <f>Weightings!$C$7</f>
        <v>669.60336394048545</v>
      </c>
      <c r="Q552" s="5">
        <f t="shared" si="109"/>
        <v>3.0473500452971543E-2</v>
      </c>
      <c r="R552" s="5"/>
      <c r="S552" s="245"/>
    </row>
    <row r="553" spans="1:19">
      <c r="A553" s="1" t="s">
        <v>26</v>
      </c>
      <c r="B553" s="8" t="s">
        <v>259</v>
      </c>
      <c r="C553" s="423">
        <f>C558</f>
        <v>2.98</v>
      </c>
      <c r="D553" s="21" t="s">
        <v>31</v>
      </c>
      <c r="E553" s="609">
        <f>0.0331+0.0022+0.0097</f>
        <v>4.4999999999999998E-2</v>
      </c>
      <c r="F553" s="608">
        <v>5.04E-2</v>
      </c>
      <c r="G553" s="5">
        <f t="shared" si="108"/>
        <v>3.1831634372367312</v>
      </c>
      <c r="H553" s="21" t="s">
        <v>38</v>
      </c>
      <c r="I553" s="6">
        <f>E551</f>
        <v>0.1043</v>
      </c>
      <c r="J553" s="7">
        <v>2.2800000000000001E-2</v>
      </c>
      <c r="K553" s="5">
        <f t="shared" si="110"/>
        <v>3.3617329075283782</v>
      </c>
      <c r="L553" s="21" t="s">
        <v>39</v>
      </c>
      <c r="M553" s="6">
        <v>0</v>
      </c>
      <c r="N553" s="7">
        <v>2.5000000000000001E-3</v>
      </c>
      <c r="O553" s="5">
        <f t="shared" si="111"/>
        <v>3.3701583032865945</v>
      </c>
      <c r="P553" s="329">
        <f>Weightings!$C$8</f>
        <v>273.77460524748824</v>
      </c>
      <c r="Q553" s="5">
        <f t="shared" si="109"/>
        <v>1.1588665924621096E-2</v>
      </c>
      <c r="R553" s="5"/>
      <c r="S553" s="29"/>
    </row>
    <row r="554" spans="1:19">
      <c r="A554" s="1" t="s">
        <v>27</v>
      </c>
      <c r="B554" s="8" t="s">
        <v>103</v>
      </c>
      <c r="C554" s="423">
        <f>C559</f>
        <v>3.1</v>
      </c>
      <c r="D554" s="21" t="s">
        <v>32</v>
      </c>
      <c r="E554" s="609">
        <f>0.0305+0.0022+0.0097</f>
        <v>4.24E-2</v>
      </c>
      <c r="F554" s="608">
        <v>4.6199999999999998E-2</v>
      </c>
      <c r="G554" s="5">
        <f t="shared" si="108"/>
        <v>3.2925572656741458</v>
      </c>
      <c r="H554" s="21" t="s">
        <v>38</v>
      </c>
      <c r="I554" s="6">
        <f>E551</f>
        <v>0.1043</v>
      </c>
      <c r="J554" s="7">
        <v>2.2800000000000001E-2</v>
      </c>
      <c r="K554" s="5">
        <f t="shared" si="110"/>
        <v>3.4736791093677302</v>
      </c>
      <c r="L554" s="21" t="s">
        <v>39</v>
      </c>
      <c r="M554" s="6">
        <v>0</v>
      </c>
      <c r="N554" s="7">
        <v>2.5000000000000001E-3</v>
      </c>
      <c r="O554" s="5">
        <f t="shared" si="111"/>
        <v>3.4823850720478498</v>
      </c>
      <c r="P554" s="329">
        <f>Weightings!$C$9</f>
        <v>6.554456479221634</v>
      </c>
      <c r="Q554" s="5">
        <f t="shared" si="109"/>
        <v>2.8668400133962567E-4</v>
      </c>
      <c r="R554" s="5"/>
      <c r="S554" s="29"/>
    </row>
    <row r="555" spans="1:19">
      <c r="A555" s="1" t="s">
        <v>0</v>
      </c>
      <c r="B555" s="8" t="s">
        <v>260</v>
      </c>
      <c r="C555" s="422">
        <v>3.04</v>
      </c>
      <c r="D555" s="21" t="s">
        <v>37</v>
      </c>
      <c r="E555" s="6">
        <f>0.0366+0.0022</f>
        <v>3.8800000000000001E-2</v>
      </c>
      <c r="F555" s="10">
        <v>6.9699999999999996E-3</v>
      </c>
      <c r="G555" s="5">
        <f t="shared" si="108"/>
        <v>3.1001375225320489</v>
      </c>
      <c r="H555" s="21" t="s">
        <v>43</v>
      </c>
      <c r="I555" s="609">
        <f>0.017+0.0022</f>
        <v>1.9200000000000002E-2</v>
      </c>
      <c r="J555" s="608">
        <v>2.9020000000000001E-2</v>
      </c>
      <c r="K555" s="5">
        <f t="shared" si="110"/>
        <v>3.2119923567241848</v>
      </c>
      <c r="L555" s="15" t="s">
        <v>156</v>
      </c>
      <c r="M555" s="6">
        <f>E556</f>
        <v>2.2600000000000002E-2</v>
      </c>
      <c r="N555" s="10">
        <f>F556</f>
        <v>2.776E-2</v>
      </c>
      <c r="O555" s="247">
        <f t="shared" si="111"/>
        <v>3.3263031563443031</v>
      </c>
      <c r="P555" s="329">
        <f>Weightings!$C$13</f>
        <v>31370.607479626047</v>
      </c>
      <c r="Q555" s="5">
        <f t="shared" si="109"/>
        <v>1.3106138028112999</v>
      </c>
      <c r="R555" s="247"/>
      <c r="S555" s="29"/>
    </row>
    <row r="556" spans="1:19">
      <c r="A556" s="1" t="s">
        <v>1</v>
      </c>
      <c r="B556" s="8" t="s">
        <v>261</v>
      </c>
      <c r="C556" s="422">
        <v>3.415</v>
      </c>
      <c r="D556" s="21" t="s">
        <v>48</v>
      </c>
      <c r="E556" s="6">
        <f>0.0134+0.0022+0.007</f>
        <v>2.2600000000000002E-2</v>
      </c>
      <c r="F556" s="10">
        <v>2.776E-2</v>
      </c>
      <c r="G556" s="5">
        <f t="shared" si="108"/>
        <v>3.5351071998683454</v>
      </c>
      <c r="H556" s="21"/>
      <c r="I556" s="6">
        <v>0</v>
      </c>
      <c r="J556" s="7">
        <v>0</v>
      </c>
      <c r="K556" s="5">
        <f t="shared" si="110"/>
        <v>3.5351071998683454</v>
      </c>
      <c r="L556" s="15"/>
      <c r="M556" s="6">
        <v>0</v>
      </c>
      <c r="N556" s="7">
        <v>0</v>
      </c>
      <c r="O556" s="5">
        <f t="shared" si="111"/>
        <v>3.5351071998683454</v>
      </c>
      <c r="P556" s="329">
        <f>Weightings!$C$14</f>
        <v>5614.3227016821775</v>
      </c>
      <c r="Q556" s="5">
        <f t="shared" si="109"/>
        <v>0.24928143748938444</v>
      </c>
      <c r="R556" s="5"/>
      <c r="S556" s="246"/>
    </row>
    <row r="557" spans="1:19">
      <c r="A557" s="1" t="s">
        <v>2</v>
      </c>
      <c r="B557" s="8" t="s">
        <v>262</v>
      </c>
      <c r="C557" s="649">
        <v>2.9449999999999998</v>
      </c>
      <c r="D557" s="21" t="s">
        <v>33</v>
      </c>
      <c r="E557" s="609">
        <f>0.0299+0.0022+0.0097</f>
        <v>4.1799999999999997E-2</v>
      </c>
      <c r="F557" s="608">
        <v>4.58E-2</v>
      </c>
      <c r="G557" s="5">
        <f t="shared" si="108"/>
        <v>3.1281550618319005</v>
      </c>
      <c r="H557" s="21" t="s">
        <v>42</v>
      </c>
      <c r="I557" s="6">
        <v>0</v>
      </c>
      <c r="J557" s="7">
        <v>0.01</v>
      </c>
      <c r="K557" s="5">
        <f t="shared" si="110"/>
        <v>3.1597525877089905</v>
      </c>
      <c r="L557" s="15"/>
      <c r="M557" s="6">
        <v>0</v>
      </c>
      <c r="N557" s="7">
        <v>0</v>
      </c>
      <c r="O557" s="5">
        <f t="shared" si="111"/>
        <v>3.1597525877089905</v>
      </c>
      <c r="P557" s="329">
        <f>Weightings!$C$15</f>
        <v>3366</v>
      </c>
      <c r="Q557" s="5">
        <f t="shared" si="109"/>
        <v>0.13358483877642968</v>
      </c>
      <c r="R557" s="5"/>
      <c r="S557" s="29"/>
    </row>
    <row r="558" spans="1:19">
      <c r="A558" s="1" t="s">
        <v>3</v>
      </c>
      <c r="B558" s="8" t="s">
        <v>259</v>
      </c>
      <c r="C558" s="422">
        <v>2.98</v>
      </c>
      <c r="D558" s="21" t="s">
        <v>34</v>
      </c>
      <c r="E558" s="609">
        <f>0.0277+0.0022+0.0097</f>
        <v>3.9599999999999996E-2</v>
      </c>
      <c r="F558" s="608">
        <v>4.2299999999999997E-2</v>
      </c>
      <c r="G558" s="5">
        <f t="shared" si="108"/>
        <v>3.1512215934008565</v>
      </c>
      <c r="H558" s="21" t="s">
        <v>42</v>
      </c>
      <c r="I558" s="6">
        <v>0</v>
      </c>
      <c r="J558" s="7">
        <v>0.01</v>
      </c>
      <c r="K558" s="5">
        <f t="shared" si="110"/>
        <v>3.1830521145463195</v>
      </c>
      <c r="M558" s="6">
        <v>0</v>
      </c>
      <c r="N558" s="7">
        <v>0</v>
      </c>
      <c r="O558" s="5">
        <f t="shared" si="111"/>
        <v>3.1830521145463195</v>
      </c>
      <c r="P558" s="329">
        <f>Weightings!$C$16</f>
        <v>4950</v>
      </c>
      <c r="Q558" s="5">
        <f t="shared" si="109"/>
        <v>0.19789687163959091</v>
      </c>
      <c r="R558" s="5"/>
      <c r="S558" s="29"/>
    </row>
    <row r="559" spans="1:19">
      <c r="A559" s="1" t="s">
        <v>4</v>
      </c>
      <c r="B559" s="8" t="s">
        <v>103</v>
      </c>
      <c r="C559" s="422">
        <v>3.1</v>
      </c>
      <c r="D559" s="21" t="s">
        <v>35</v>
      </c>
      <c r="E559" s="609">
        <f>0.0251+0.0022+0.0097</f>
        <v>3.7000000000000005E-2</v>
      </c>
      <c r="F559" s="608">
        <v>3.8100000000000002E-2</v>
      </c>
      <c r="G559" s="5">
        <f t="shared" si="108"/>
        <v>3.2597882316249089</v>
      </c>
      <c r="H559" s="21" t="s">
        <v>42</v>
      </c>
      <c r="I559" s="6">
        <v>0</v>
      </c>
      <c r="J559" s="7">
        <v>0.01</v>
      </c>
      <c r="K559" s="5">
        <f t="shared" si="110"/>
        <v>3.2927153854797062</v>
      </c>
      <c r="M559" s="6">
        <v>0</v>
      </c>
      <c r="N559" s="7">
        <v>0</v>
      </c>
      <c r="O559" s="5">
        <f t="shared" si="111"/>
        <v>3.2927153854797062</v>
      </c>
      <c r="P559" s="329">
        <f>Weightings!$C$17</f>
        <v>11172.172715894869</v>
      </c>
      <c r="Q559" s="5">
        <f t="shared" si="109"/>
        <v>0.46204238271377612</v>
      </c>
      <c r="R559" s="5"/>
      <c r="S559" s="29"/>
    </row>
    <row r="560" spans="1:19">
      <c r="O560" s="35"/>
      <c r="P560" s="67"/>
      <c r="Q560" s="35"/>
      <c r="R560" s="35"/>
      <c r="S560" s="244"/>
    </row>
    <row r="561" spans="1:19" ht="13.5" thickBot="1">
      <c r="O561" s="36"/>
      <c r="P561" s="330"/>
      <c r="Q561" s="36"/>
      <c r="R561" s="36"/>
    </row>
    <row r="562" spans="1:19" ht="13.5" thickBot="1">
      <c r="O562" s="331" t="s">
        <v>198</v>
      </c>
      <c r="P562" s="332"/>
      <c r="Q562" s="333">
        <f>SUM(Q549:Q559)</f>
        <v>3.3961513960548526</v>
      </c>
      <c r="R562" s="424">
        <f>B547</f>
        <v>37192</v>
      </c>
    </row>
    <row r="563" spans="1:19">
      <c r="O563" s="35"/>
      <c r="P563" s="35"/>
      <c r="Q563" s="35"/>
      <c r="R563" s="35"/>
      <c r="S563" s="35"/>
    </row>
    <row r="564" spans="1:19">
      <c r="D564" s="21"/>
      <c r="H564" s="5"/>
      <c r="O564" s="36" t="s">
        <v>263</v>
      </c>
      <c r="P564" s="404">
        <f>Weightings!C563</f>
        <v>0</v>
      </c>
      <c r="Q564" s="35" t="s">
        <v>206</v>
      </c>
      <c r="R564" s="344" t="s">
        <v>208</v>
      </c>
      <c r="S564" s="35"/>
    </row>
    <row r="565" spans="1:19" ht="13.5" thickBot="1">
      <c r="A565" s="675"/>
      <c r="B565" s="676"/>
      <c r="C565" s="675"/>
      <c r="D565" s="677"/>
      <c r="E565" s="675"/>
      <c r="F565" s="675"/>
      <c r="G565" s="675"/>
      <c r="H565" s="678"/>
      <c r="I565" s="675"/>
      <c r="J565" s="675"/>
      <c r="K565" s="675"/>
      <c r="L565" s="675"/>
      <c r="M565" s="675"/>
      <c r="N565" s="675"/>
      <c r="O565" s="675"/>
      <c r="P565" s="679"/>
      <c r="Q565" s="675"/>
      <c r="R565" s="675"/>
      <c r="S565" s="675"/>
    </row>
    <row r="566" spans="1:19" ht="14.25" thickTop="1" thickBot="1">
      <c r="A566" s="2"/>
      <c r="B566" s="28"/>
      <c r="D566" s="3" t="s">
        <v>10</v>
      </c>
      <c r="H566" s="3" t="s">
        <v>11</v>
      </c>
      <c r="L566" s="3" t="s">
        <v>12</v>
      </c>
    </row>
    <row r="567" spans="1:19" ht="14.25" thickTop="1" thickBot="1">
      <c r="A567" s="421" t="s">
        <v>255</v>
      </c>
      <c r="B567" s="433">
        <f>B547+1</f>
        <v>37193</v>
      </c>
      <c r="C567" s="434">
        <f>Q582</f>
        <v>3.3961513960548526</v>
      </c>
      <c r="E567" s="624"/>
    </row>
    <row r="568" spans="1:19" ht="54" customHeight="1" thickTop="1">
      <c r="A568" s="2" t="s">
        <v>5</v>
      </c>
      <c r="B568" s="9" t="s">
        <v>46</v>
      </c>
      <c r="C568" s="18" t="s">
        <v>256</v>
      </c>
      <c r="D568" s="14" t="s">
        <v>28</v>
      </c>
      <c r="E568" s="4" t="s">
        <v>7</v>
      </c>
      <c r="F568" s="4" t="s">
        <v>8</v>
      </c>
      <c r="G568" s="4" t="s">
        <v>9</v>
      </c>
      <c r="H568" s="14" t="s">
        <v>28</v>
      </c>
      <c r="I568" s="4" t="s">
        <v>7</v>
      </c>
      <c r="J568" s="4" t="s">
        <v>8</v>
      </c>
      <c r="K568" s="4" t="s">
        <v>9</v>
      </c>
      <c r="L568" s="14" t="s">
        <v>28</v>
      </c>
      <c r="M568" s="4" t="s">
        <v>7</v>
      </c>
      <c r="N568" s="4" t="s">
        <v>8</v>
      </c>
      <c r="O568" s="4" t="s">
        <v>9</v>
      </c>
      <c r="P568" s="4" t="s">
        <v>193</v>
      </c>
      <c r="Q568" s="4" t="s">
        <v>197</v>
      </c>
      <c r="R568" s="4"/>
      <c r="S568" s="4"/>
    </row>
    <row r="569" spans="1:19">
      <c r="A569" s="1" t="s">
        <v>49</v>
      </c>
      <c r="B569" s="8" t="s">
        <v>269</v>
      </c>
      <c r="C569" s="422">
        <v>3.04</v>
      </c>
      <c r="D569" s="21" t="s">
        <v>29</v>
      </c>
      <c r="E569" s="6">
        <v>5.2200000000000003E-2</v>
      </c>
      <c r="F569" s="10">
        <v>5.0599999999999999E-2</v>
      </c>
      <c r="G569" s="5">
        <f t="shared" ref="G569:G579" si="112">+C569/(1-F569)+E569</f>
        <v>3.2542223298925639</v>
      </c>
      <c r="H569" s="21" t="s">
        <v>38</v>
      </c>
      <c r="I569" s="6">
        <f>E571</f>
        <v>0.1043</v>
      </c>
      <c r="J569" s="7">
        <v>2.2800000000000001E-2</v>
      </c>
      <c r="K569" s="5">
        <f>+G569/(1-J569)+I569</f>
        <v>3.4344497440570652</v>
      </c>
      <c r="L569" s="21" t="s">
        <v>39</v>
      </c>
      <c r="M569" s="6">
        <v>0</v>
      </c>
      <c r="N569" s="7">
        <v>2.5000000000000001E-3</v>
      </c>
      <c r="O569" s="5">
        <f>+K569/(1-N569)+M569</f>
        <v>3.4430573875258799</v>
      </c>
      <c r="P569" s="329">
        <f>Weightings!$C$4</f>
        <v>1071.401539872767</v>
      </c>
      <c r="Q569" s="5">
        <f t="shared" ref="Q569:Q579" si="113">+P569/SUM($P$9:$P$19)*O569</f>
        <v>4.6332582578780188E-2</v>
      </c>
      <c r="R569" s="5"/>
      <c r="S569" s="245"/>
    </row>
    <row r="570" spans="1:19">
      <c r="A570" s="1" t="s">
        <v>50</v>
      </c>
      <c r="B570" s="8" t="s">
        <v>270</v>
      </c>
      <c r="C570" s="422">
        <v>2.99</v>
      </c>
      <c r="D570" s="21" t="s">
        <v>30</v>
      </c>
      <c r="E570" s="6">
        <v>5.2200000000000003E-2</v>
      </c>
      <c r="F570" s="10">
        <v>5.8000000000000003E-2</v>
      </c>
      <c r="G570" s="5">
        <f t="shared" si="112"/>
        <v>3.2262976645435248</v>
      </c>
      <c r="H570" s="21" t="s">
        <v>38</v>
      </c>
      <c r="I570" s="6">
        <f>E571</f>
        <v>0.1043</v>
      </c>
      <c r="J570" s="7">
        <v>2.2800000000000001E-2</v>
      </c>
      <c r="K570" s="5">
        <f t="shared" ref="K570:K579" si="114">+G570/(1-J570)+I570</f>
        <v>3.4058735412848189</v>
      </c>
      <c r="L570" s="21" t="s">
        <v>39</v>
      </c>
      <c r="M570" s="6">
        <v>0</v>
      </c>
      <c r="N570" s="7">
        <v>2.5000000000000001E-3</v>
      </c>
      <c r="O570" s="5">
        <f t="shared" ref="O570:O579" si="115">+K570/(1-N570)+M570</f>
        <v>3.4144095651978135</v>
      </c>
      <c r="P570" s="329">
        <f>Weightings!$C$5</f>
        <v>1309.8829179244465</v>
      </c>
      <c r="Q570" s="5">
        <f t="shared" si="113"/>
        <v>5.6174352319712323E-2</v>
      </c>
      <c r="R570" s="5"/>
      <c r="S570" s="29"/>
    </row>
    <row r="571" spans="1:19">
      <c r="A571" s="1" t="s">
        <v>40</v>
      </c>
      <c r="B571" s="8" t="s">
        <v>257</v>
      </c>
      <c r="C571" s="422">
        <v>3.415</v>
      </c>
      <c r="D571" s="21" t="s">
        <v>154</v>
      </c>
      <c r="E571" s="6">
        <f>0.0951+0.0022+0.007</f>
        <v>0.1043</v>
      </c>
      <c r="F571" s="10">
        <v>2.2800000000000001E-2</v>
      </c>
      <c r="G571" s="5">
        <f t="shared" si="112"/>
        <v>3.5989786737617684</v>
      </c>
      <c r="H571" s="21" t="s">
        <v>39</v>
      </c>
      <c r="I571" s="6">
        <v>0</v>
      </c>
      <c r="J571" s="7">
        <v>2.5000000000000001E-3</v>
      </c>
      <c r="K571" s="5">
        <f t="shared" si="114"/>
        <v>3.6079986704378628</v>
      </c>
      <c r="L571" s="21"/>
      <c r="M571" s="6">
        <v>0</v>
      </c>
      <c r="N571" s="7">
        <v>0</v>
      </c>
      <c r="O571" s="5">
        <f t="shared" si="115"/>
        <v>3.6079986704378628</v>
      </c>
      <c r="P571" s="329">
        <f>Weightings!$C$6</f>
        <v>19813.452023725906</v>
      </c>
      <c r="Q571" s="5">
        <f t="shared" si="113"/>
        <v>0.89787627734694686</v>
      </c>
      <c r="R571" s="5"/>
      <c r="S571" s="29"/>
    </row>
    <row r="572" spans="1:19">
      <c r="A572" s="1" t="s">
        <v>41</v>
      </c>
      <c r="B572" s="8" t="s">
        <v>258</v>
      </c>
      <c r="C572" s="422">
        <v>3.43</v>
      </c>
      <c r="D572" s="21" t="s">
        <v>155</v>
      </c>
      <c r="E572" s="6">
        <f>0.0951+0.0022+0.007</f>
        <v>0.1043</v>
      </c>
      <c r="F572" s="10">
        <v>2.2800000000000001E-2</v>
      </c>
      <c r="G572" s="5">
        <f t="shared" si="112"/>
        <v>3.6143286532951291</v>
      </c>
      <c r="H572" s="21" t="s">
        <v>39</v>
      </c>
      <c r="I572" s="6">
        <v>0</v>
      </c>
      <c r="J572" s="7">
        <v>2.5000000000000001E-3</v>
      </c>
      <c r="K572" s="5">
        <f t="shared" si="114"/>
        <v>3.6233871210978736</v>
      </c>
      <c r="L572" s="21"/>
      <c r="M572" s="6">
        <v>0</v>
      </c>
      <c r="N572" s="7">
        <v>0</v>
      </c>
      <c r="O572" s="5">
        <f t="shared" si="115"/>
        <v>3.6233871210978736</v>
      </c>
      <c r="P572" s="329">
        <f>Weightings!$C$7</f>
        <v>669.60336394048545</v>
      </c>
      <c r="Q572" s="5">
        <f t="shared" si="113"/>
        <v>3.0473500452971543E-2</v>
      </c>
      <c r="R572" s="5"/>
      <c r="S572" s="245"/>
    </row>
    <row r="573" spans="1:19">
      <c r="A573" s="1" t="s">
        <v>26</v>
      </c>
      <c r="B573" s="8" t="s">
        <v>259</v>
      </c>
      <c r="C573" s="423">
        <f>C578</f>
        <v>2.98</v>
      </c>
      <c r="D573" s="21" t="s">
        <v>31</v>
      </c>
      <c r="E573" s="609">
        <f>0.0331+0.0022+0.0097</f>
        <v>4.4999999999999998E-2</v>
      </c>
      <c r="F573" s="608">
        <v>5.04E-2</v>
      </c>
      <c r="G573" s="5">
        <f t="shared" si="112"/>
        <v>3.1831634372367312</v>
      </c>
      <c r="H573" s="21" t="s">
        <v>38</v>
      </c>
      <c r="I573" s="6">
        <f>E571</f>
        <v>0.1043</v>
      </c>
      <c r="J573" s="7">
        <v>2.2800000000000001E-2</v>
      </c>
      <c r="K573" s="5">
        <f t="shared" si="114"/>
        <v>3.3617329075283782</v>
      </c>
      <c r="L573" s="21" t="s">
        <v>39</v>
      </c>
      <c r="M573" s="6">
        <v>0</v>
      </c>
      <c r="N573" s="7">
        <v>2.5000000000000001E-3</v>
      </c>
      <c r="O573" s="5">
        <f t="shared" si="115"/>
        <v>3.3701583032865945</v>
      </c>
      <c r="P573" s="329">
        <f>Weightings!$C$8</f>
        <v>273.77460524748824</v>
      </c>
      <c r="Q573" s="5">
        <f t="shared" si="113"/>
        <v>1.1588665924621096E-2</v>
      </c>
      <c r="R573" s="5"/>
      <c r="S573" s="29"/>
    </row>
    <row r="574" spans="1:19">
      <c r="A574" s="1" t="s">
        <v>27</v>
      </c>
      <c r="B574" s="8" t="s">
        <v>103</v>
      </c>
      <c r="C574" s="423">
        <f>C579</f>
        <v>3.1</v>
      </c>
      <c r="D574" s="21" t="s">
        <v>32</v>
      </c>
      <c r="E574" s="609">
        <f>0.0305+0.0022+0.0097</f>
        <v>4.24E-2</v>
      </c>
      <c r="F574" s="608">
        <v>4.6199999999999998E-2</v>
      </c>
      <c r="G574" s="5">
        <f t="shared" si="112"/>
        <v>3.2925572656741458</v>
      </c>
      <c r="H574" s="21" t="s">
        <v>38</v>
      </c>
      <c r="I574" s="6">
        <f>E571</f>
        <v>0.1043</v>
      </c>
      <c r="J574" s="7">
        <v>2.2800000000000001E-2</v>
      </c>
      <c r="K574" s="5">
        <f t="shared" si="114"/>
        <v>3.4736791093677302</v>
      </c>
      <c r="L574" s="21" t="s">
        <v>39</v>
      </c>
      <c r="M574" s="6">
        <v>0</v>
      </c>
      <c r="N574" s="7">
        <v>2.5000000000000001E-3</v>
      </c>
      <c r="O574" s="5">
        <f t="shared" si="115"/>
        <v>3.4823850720478498</v>
      </c>
      <c r="P574" s="329">
        <f>Weightings!$C$9</f>
        <v>6.554456479221634</v>
      </c>
      <c r="Q574" s="5">
        <f t="shared" si="113"/>
        <v>2.8668400133962567E-4</v>
      </c>
      <c r="R574" s="5"/>
      <c r="S574" s="29"/>
    </row>
    <row r="575" spans="1:19">
      <c r="A575" s="1" t="s">
        <v>0</v>
      </c>
      <c r="B575" s="8" t="s">
        <v>260</v>
      </c>
      <c r="C575" s="422">
        <v>3.04</v>
      </c>
      <c r="D575" s="21" t="s">
        <v>37</v>
      </c>
      <c r="E575" s="6">
        <f>0.0366+0.0022</f>
        <v>3.8800000000000001E-2</v>
      </c>
      <c r="F575" s="10">
        <v>6.9699999999999996E-3</v>
      </c>
      <c r="G575" s="5">
        <f t="shared" si="112"/>
        <v>3.1001375225320489</v>
      </c>
      <c r="H575" s="21" t="s">
        <v>43</v>
      </c>
      <c r="I575" s="609">
        <f>0.017+0.0022</f>
        <v>1.9200000000000002E-2</v>
      </c>
      <c r="J575" s="608">
        <v>2.9020000000000001E-2</v>
      </c>
      <c r="K575" s="5">
        <f t="shared" si="114"/>
        <v>3.2119923567241848</v>
      </c>
      <c r="L575" s="15" t="s">
        <v>156</v>
      </c>
      <c r="M575" s="6">
        <f>E576</f>
        <v>2.2600000000000002E-2</v>
      </c>
      <c r="N575" s="10">
        <f>F576</f>
        <v>2.776E-2</v>
      </c>
      <c r="O575" s="247">
        <f t="shared" si="115"/>
        <v>3.3263031563443031</v>
      </c>
      <c r="P575" s="329">
        <f>Weightings!$C$13</f>
        <v>31370.607479626047</v>
      </c>
      <c r="Q575" s="5">
        <f t="shared" si="113"/>
        <v>1.3106138028112999</v>
      </c>
      <c r="R575" s="247"/>
      <c r="S575" s="29"/>
    </row>
    <row r="576" spans="1:19">
      <c r="A576" s="1" t="s">
        <v>1</v>
      </c>
      <c r="B576" s="8" t="s">
        <v>261</v>
      </c>
      <c r="C576" s="422">
        <v>3.415</v>
      </c>
      <c r="D576" s="21" t="s">
        <v>48</v>
      </c>
      <c r="E576" s="6">
        <f>0.0134+0.0022+0.007</f>
        <v>2.2600000000000002E-2</v>
      </c>
      <c r="F576" s="10">
        <v>2.776E-2</v>
      </c>
      <c r="G576" s="5">
        <f t="shared" si="112"/>
        <v>3.5351071998683454</v>
      </c>
      <c r="H576" s="21"/>
      <c r="I576" s="6">
        <v>0</v>
      </c>
      <c r="J576" s="7">
        <v>0</v>
      </c>
      <c r="K576" s="5">
        <f t="shared" si="114"/>
        <v>3.5351071998683454</v>
      </c>
      <c r="L576" s="15"/>
      <c r="M576" s="6">
        <v>0</v>
      </c>
      <c r="N576" s="7">
        <v>0</v>
      </c>
      <c r="O576" s="5">
        <f t="shared" si="115"/>
        <v>3.5351071998683454</v>
      </c>
      <c r="P576" s="329">
        <f>Weightings!$C$14</f>
        <v>5614.3227016821775</v>
      </c>
      <c r="Q576" s="5">
        <f t="shared" si="113"/>
        <v>0.24928143748938444</v>
      </c>
      <c r="R576" s="5"/>
      <c r="S576" s="246"/>
    </row>
    <row r="577" spans="1:19">
      <c r="A577" s="1" t="s">
        <v>2</v>
      </c>
      <c r="B577" s="8" t="s">
        <v>262</v>
      </c>
      <c r="C577" s="649">
        <v>2.9449999999999998</v>
      </c>
      <c r="D577" s="21" t="s">
        <v>33</v>
      </c>
      <c r="E577" s="609">
        <f>0.0299+0.0022+0.0097</f>
        <v>4.1799999999999997E-2</v>
      </c>
      <c r="F577" s="608">
        <v>4.58E-2</v>
      </c>
      <c r="G577" s="5">
        <f t="shared" si="112"/>
        <v>3.1281550618319005</v>
      </c>
      <c r="H577" s="21" t="s">
        <v>42</v>
      </c>
      <c r="I577" s="6">
        <v>0</v>
      </c>
      <c r="J577" s="7">
        <v>0.01</v>
      </c>
      <c r="K577" s="5">
        <f t="shared" si="114"/>
        <v>3.1597525877089905</v>
      </c>
      <c r="L577" s="15"/>
      <c r="M577" s="6">
        <v>0</v>
      </c>
      <c r="N577" s="7">
        <v>0</v>
      </c>
      <c r="O577" s="5">
        <f t="shared" si="115"/>
        <v>3.1597525877089905</v>
      </c>
      <c r="P577" s="329">
        <f>Weightings!$C$15</f>
        <v>3366</v>
      </c>
      <c r="Q577" s="5">
        <f t="shared" si="113"/>
        <v>0.13358483877642968</v>
      </c>
      <c r="R577" s="5"/>
      <c r="S577" s="29"/>
    </row>
    <row r="578" spans="1:19">
      <c r="A578" s="1" t="s">
        <v>3</v>
      </c>
      <c r="B578" s="8" t="s">
        <v>259</v>
      </c>
      <c r="C578" s="422">
        <v>2.98</v>
      </c>
      <c r="D578" s="21" t="s">
        <v>34</v>
      </c>
      <c r="E578" s="609">
        <f>0.0277+0.0022+0.0097</f>
        <v>3.9599999999999996E-2</v>
      </c>
      <c r="F578" s="608">
        <v>4.2299999999999997E-2</v>
      </c>
      <c r="G578" s="5">
        <f t="shared" si="112"/>
        <v>3.1512215934008565</v>
      </c>
      <c r="H578" s="21" t="s">
        <v>42</v>
      </c>
      <c r="I578" s="6">
        <v>0</v>
      </c>
      <c r="J578" s="7">
        <v>0.01</v>
      </c>
      <c r="K578" s="5">
        <f t="shared" si="114"/>
        <v>3.1830521145463195</v>
      </c>
      <c r="M578" s="6">
        <v>0</v>
      </c>
      <c r="N578" s="7">
        <v>0</v>
      </c>
      <c r="O578" s="5">
        <f t="shared" si="115"/>
        <v>3.1830521145463195</v>
      </c>
      <c r="P578" s="329">
        <f>Weightings!$C$16</f>
        <v>4950</v>
      </c>
      <c r="Q578" s="5">
        <f t="shared" si="113"/>
        <v>0.19789687163959091</v>
      </c>
      <c r="R578" s="5"/>
      <c r="S578" s="29"/>
    </row>
    <row r="579" spans="1:19">
      <c r="A579" s="1" t="s">
        <v>4</v>
      </c>
      <c r="B579" s="8" t="s">
        <v>103</v>
      </c>
      <c r="C579" s="422">
        <v>3.1</v>
      </c>
      <c r="D579" s="21" t="s">
        <v>35</v>
      </c>
      <c r="E579" s="609">
        <f>0.0251+0.0022+0.0097</f>
        <v>3.7000000000000005E-2</v>
      </c>
      <c r="F579" s="608">
        <v>3.8100000000000002E-2</v>
      </c>
      <c r="G579" s="5">
        <f t="shared" si="112"/>
        <v>3.2597882316249089</v>
      </c>
      <c r="H579" s="21" t="s">
        <v>42</v>
      </c>
      <c r="I579" s="6">
        <v>0</v>
      </c>
      <c r="J579" s="7">
        <v>0.01</v>
      </c>
      <c r="K579" s="5">
        <f t="shared" si="114"/>
        <v>3.2927153854797062</v>
      </c>
      <c r="M579" s="6">
        <v>0</v>
      </c>
      <c r="N579" s="7">
        <v>0</v>
      </c>
      <c r="O579" s="5">
        <f t="shared" si="115"/>
        <v>3.2927153854797062</v>
      </c>
      <c r="P579" s="329">
        <f>Weightings!$C$17</f>
        <v>11172.172715894869</v>
      </c>
      <c r="Q579" s="5">
        <f t="shared" si="113"/>
        <v>0.46204238271377612</v>
      </c>
      <c r="R579" s="5"/>
      <c r="S579" s="29"/>
    </row>
    <row r="580" spans="1:19">
      <c r="O580" s="35"/>
      <c r="P580" s="67"/>
      <c r="Q580" s="35"/>
      <c r="R580" s="35"/>
      <c r="S580" s="244"/>
    </row>
    <row r="581" spans="1:19" ht="13.5" thickBot="1">
      <c r="O581" s="36"/>
      <c r="P581" s="330"/>
      <c r="Q581" s="36"/>
      <c r="R581" s="36"/>
    </row>
    <row r="582" spans="1:19" ht="13.5" thickBot="1">
      <c r="O582" s="331" t="s">
        <v>198</v>
      </c>
      <c r="P582" s="332"/>
      <c r="Q582" s="333">
        <f>SUM(Q569:Q579)</f>
        <v>3.3961513960548526</v>
      </c>
      <c r="R582" s="424">
        <f>B567</f>
        <v>37193</v>
      </c>
    </row>
    <row r="583" spans="1:19">
      <c r="O583" s="35"/>
      <c r="P583" s="35"/>
      <c r="Q583" s="35"/>
      <c r="R583" s="35"/>
      <c r="S583" s="35"/>
    </row>
    <row r="584" spans="1:19">
      <c r="D584" s="21"/>
      <c r="H584" s="5"/>
      <c r="O584" s="36" t="s">
        <v>263</v>
      </c>
      <c r="P584" s="404">
        <f>Weightings!C583</f>
        <v>0</v>
      </c>
      <c r="Q584" s="35" t="s">
        <v>206</v>
      </c>
      <c r="R584" s="344" t="s">
        <v>208</v>
      </c>
      <c r="S584" s="35"/>
    </row>
    <row r="585" spans="1:19" ht="13.5" thickBot="1">
      <c r="A585" s="675"/>
      <c r="B585" s="676"/>
      <c r="C585" s="675"/>
      <c r="D585" s="677"/>
      <c r="E585" s="675"/>
      <c r="F585" s="675"/>
      <c r="G585" s="675"/>
      <c r="H585" s="678"/>
      <c r="I585" s="675"/>
      <c r="J585" s="675"/>
      <c r="K585" s="675"/>
      <c r="L585" s="675"/>
      <c r="M585" s="675"/>
      <c r="N585" s="675"/>
      <c r="O585" s="675"/>
      <c r="P585" s="679"/>
      <c r="Q585" s="675"/>
      <c r="R585" s="675"/>
      <c r="S585" s="675"/>
    </row>
    <row r="586" spans="1:19" ht="14.25" thickTop="1" thickBot="1">
      <c r="A586" s="2"/>
      <c r="B586" s="28"/>
      <c r="D586" s="3" t="s">
        <v>10</v>
      </c>
      <c r="H586" s="3" t="s">
        <v>11</v>
      </c>
      <c r="L586" s="3" t="s">
        <v>12</v>
      </c>
    </row>
    <row r="587" spans="1:19" ht="14.25" thickTop="1" thickBot="1">
      <c r="A587" s="421" t="s">
        <v>255</v>
      </c>
      <c r="B587" s="433">
        <f>B567+1</f>
        <v>37194</v>
      </c>
      <c r="C587" s="434">
        <f>Q602</f>
        <v>3.5623232225436121</v>
      </c>
      <c r="E587" s="624"/>
    </row>
    <row r="588" spans="1:19" ht="54" customHeight="1" thickTop="1">
      <c r="A588" s="2" t="s">
        <v>5</v>
      </c>
      <c r="B588" s="9" t="s">
        <v>46</v>
      </c>
      <c r="C588" s="18" t="s">
        <v>256</v>
      </c>
      <c r="D588" s="14" t="s">
        <v>28</v>
      </c>
      <c r="E588" s="4" t="s">
        <v>7</v>
      </c>
      <c r="F588" s="4" t="s">
        <v>8</v>
      </c>
      <c r="G588" s="4" t="s">
        <v>9</v>
      </c>
      <c r="H588" s="14" t="s">
        <v>28</v>
      </c>
      <c r="I588" s="4" t="s">
        <v>7</v>
      </c>
      <c r="J588" s="4" t="s">
        <v>8</v>
      </c>
      <c r="K588" s="4" t="s">
        <v>9</v>
      </c>
      <c r="L588" s="14" t="s">
        <v>28</v>
      </c>
      <c r="M588" s="4" t="s">
        <v>7</v>
      </c>
      <c r="N588" s="4" t="s">
        <v>8</v>
      </c>
      <c r="O588" s="4" t="s">
        <v>9</v>
      </c>
      <c r="P588" s="4" t="s">
        <v>193</v>
      </c>
      <c r="Q588" s="4" t="s">
        <v>197</v>
      </c>
      <c r="R588" s="4"/>
      <c r="S588" s="4"/>
    </row>
    <row r="589" spans="1:19">
      <c r="A589" s="1" t="s">
        <v>49</v>
      </c>
      <c r="B589" s="8" t="s">
        <v>269</v>
      </c>
      <c r="C589" s="422">
        <v>3.1949999999999998</v>
      </c>
      <c r="D589" s="21" t="s">
        <v>29</v>
      </c>
      <c r="E589" s="6">
        <v>5.2200000000000003E-2</v>
      </c>
      <c r="F589" s="10">
        <v>5.0599999999999999E-2</v>
      </c>
      <c r="G589" s="5">
        <f t="shared" ref="G589:G599" si="116">+C589/(1-F589)+E589</f>
        <v>3.4174833368443225</v>
      </c>
      <c r="H589" s="21" t="s">
        <v>38</v>
      </c>
      <c r="I589" s="6">
        <f>E591</f>
        <v>0.1043</v>
      </c>
      <c r="J589" s="7">
        <v>2.2800000000000001E-2</v>
      </c>
      <c r="K589" s="5">
        <f>+G589/(1-J589)+I589</f>
        <v>3.6015199517440877</v>
      </c>
      <c r="L589" s="21" t="s">
        <v>39</v>
      </c>
      <c r="M589" s="6">
        <v>0</v>
      </c>
      <c r="N589" s="7">
        <v>2.5000000000000001E-3</v>
      </c>
      <c r="O589" s="5">
        <f>+K589/(1-N589)+M589</f>
        <v>3.6105463175379322</v>
      </c>
      <c r="P589" s="329">
        <f>Weightings!$C$4</f>
        <v>1071.401539872767</v>
      </c>
      <c r="Q589" s="5">
        <f t="shared" ref="Q589:Q599" si="117">+P589/SUM($P$9:$P$19)*O589</f>
        <v>4.8586449943561837E-2</v>
      </c>
      <c r="R589" s="5"/>
      <c r="S589" s="245"/>
    </row>
    <row r="590" spans="1:19">
      <c r="A590" s="1" t="s">
        <v>50</v>
      </c>
      <c r="B590" s="8" t="s">
        <v>270</v>
      </c>
      <c r="C590" s="422">
        <v>3.18</v>
      </c>
      <c r="D590" s="21" t="s">
        <v>30</v>
      </c>
      <c r="E590" s="6">
        <v>5.2200000000000003E-2</v>
      </c>
      <c r="F590" s="10">
        <v>5.8000000000000003E-2</v>
      </c>
      <c r="G590" s="5">
        <f t="shared" si="116"/>
        <v>3.4279961783439492</v>
      </c>
      <c r="H590" s="21" t="s">
        <v>38</v>
      </c>
      <c r="I590" s="6">
        <f>E591</f>
        <v>0.1043</v>
      </c>
      <c r="J590" s="7">
        <v>2.2800000000000001E-2</v>
      </c>
      <c r="K590" s="5">
        <f t="shared" ref="K590:K599" si="118">+G590/(1-J590)+I590</f>
        <v>3.6122780785345365</v>
      </c>
      <c r="L590" s="21" t="s">
        <v>39</v>
      </c>
      <c r="M590" s="6">
        <v>0</v>
      </c>
      <c r="N590" s="7">
        <v>2.5000000000000001E-3</v>
      </c>
      <c r="O590" s="5">
        <f t="shared" ref="O590:O599" si="119">+K590/(1-N590)+M590</f>
        <v>3.6213314070521667</v>
      </c>
      <c r="P590" s="329">
        <f>Weightings!$C$5</f>
        <v>1309.8829179244465</v>
      </c>
      <c r="Q590" s="5">
        <f t="shared" si="117"/>
        <v>5.9578659924004317E-2</v>
      </c>
      <c r="R590" s="5"/>
      <c r="S590" s="29"/>
    </row>
    <row r="591" spans="1:19">
      <c r="A591" s="1" t="s">
        <v>40</v>
      </c>
      <c r="B591" s="8" t="s">
        <v>257</v>
      </c>
      <c r="C591" s="422">
        <v>3.5750000000000002</v>
      </c>
      <c r="D591" s="21" t="s">
        <v>154</v>
      </c>
      <c r="E591" s="6">
        <f>0.0951+0.0022+0.007</f>
        <v>0.1043</v>
      </c>
      <c r="F591" s="10">
        <v>2.2800000000000001E-2</v>
      </c>
      <c r="G591" s="5">
        <f t="shared" si="116"/>
        <v>3.7627117887842818</v>
      </c>
      <c r="H591" s="21" t="s">
        <v>39</v>
      </c>
      <c r="I591" s="6">
        <v>0</v>
      </c>
      <c r="J591" s="7">
        <v>2.5000000000000001E-3</v>
      </c>
      <c r="K591" s="5">
        <f t="shared" si="118"/>
        <v>3.772142144144643</v>
      </c>
      <c r="L591" s="21"/>
      <c r="M591" s="6">
        <v>0</v>
      </c>
      <c r="N591" s="7">
        <v>0</v>
      </c>
      <c r="O591" s="5">
        <f t="shared" si="119"/>
        <v>3.772142144144643</v>
      </c>
      <c r="P591" s="329">
        <f>Weightings!$C$6</f>
        <v>19813.452023725906</v>
      </c>
      <c r="Q591" s="5">
        <f t="shared" si="117"/>
        <v>0.93872455490597217</v>
      </c>
      <c r="R591" s="5"/>
      <c r="S591" s="29"/>
    </row>
    <row r="592" spans="1:19">
      <c r="A592" s="1" t="s">
        <v>41</v>
      </c>
      <c r="B592" s="8" t="s">
        <v>258</v>
      </c>
      <c r="C592" s="422">
        <v>3.61</v>
      </c>
      <c r="D592" s="21" t="s">
        <v>155</v>
      </c>
      <c r="E592" s="6">
        <f>0.0951+0.0022+0.007</f>
        <v>0.1043</v>
      </c>
      <c r="F592" s="10">
        <v>2.2800000000000001E-2</v>
      </c>
      <c r="G592" s="5">
        <f t="shared" si="116"/>
        <v>3.7985284076954562</v>
      </c>
      <c r="H592" s="21" t="s">
        <v>39</v>
      </c>
      <c r="I592" s="6">
        <v>0</v>
      </c>
      <c r="J592" s="7">
        <v>2.5000000000000001E-3</v>
      </c>
      <c r="K592" s="5">
        <f t="shared" si="118"/>
        <v>3.8080485290180008</v>
      </c>
      <c r="L592" s="21"/>
      <c r="M592" s="6">
        <v>0</v>
      </c>
      <c r="N592" s="7">
        <v>0</v>
      </c>
      <c r="O592" s="5">
        <f t="shared" si="119"/>
        <v>3.8080485290180008</v>
      </c>
      <c r="P592" s="329">
        <f>Weightings!$C$7</f>
        <v>669.60336394048545</v>
      </c>
      <c r="Q592" s="5">
        <f t="shared" si="117"/>
        <v>3.2026544417038873E-2</v>
      </c>
      <c r="R592" s="5"/>
      <c r="S592" s="245"/>
    </row>
    <row r="593" spans="1:19">
      <c r="A593" s="1" t="s">
        <v>26</v>
      </c>
      <c r="B593" s="8" t="s">
        <v>259</v>
      </c>
      <c r="C593" s="423">
        <f>C598</f>
        <v>3.14</v>
      </c>
      <c r="D593" s="21" t="s">
        <v>31</v>
      </c>
      <c r="E593" s="609">
        <f>0.0331+0.0022+0.0097</f>
        <v>4.4999999999999998E-2</v>
      </c>
      <c r="F593" s="608">
        <v>5.04E-2</v>
      </c>
      <c r="G593" s="5">
        <f t="shared" si="116"/>
        <v>3.3516554338668914</v>
      </c>
      <c r="H593" s="21" t="s">
        <v>38</v>
      </c>
      <c r="I593" s="6">
        <f>E591</f>
        <v>0.1043</v>
      </c>
      <c r="J593" s="7">
        <v>2.2800000000000001E-2</v>
      </c>
      <c r="K593" s="5">
        <f t="shared" si="118"/>
        <v>3.5341561541822464</v>
      </c>
      <c r="L593" s="21" t="s">
        <v>39</v>
      </c>
      <c r="M593" s="6">
        <v>0</v>
      </c>
      <c r="N593" s="7">
        <v>2.5000000000000001E-3</v>
      </c>
      <c r="O593" s="5">
        <f t="shared" si="119"/>
        <v>3.5430136884032541</v>
      </c>
      <c r="P593" s="329">
        <f>Weightings!$C$8</f>
        <v>273.77460524748824</v>
      </c>
      <c r="Q593" s="5">
        <f t="shared" si="117"/>
        <v>1.2183048482091823E-2</v>
      </c>
      <c r="R593" s="5"/>
      <c r="S593" s="29"/>
    </row>
    <row r="594" spans="1:19">
      <c r="A594" s="1" t="s">
        <v>27</v>
      </c>
      <c r="B594" s="8" t="s">
        <v>103</v>
      </c>
      <c r="C594" s="423">
        <f>C599</f>
        <v>3.23</v>
      </c>
      <c r="D594" s="21" t="s">
        <v>32</v>
      </c>
      <c r="E594" s="609">
        <f>0.0305+0.0022+0.0097</f>
        <v>4.24E-2</v>
      </c>
      <c r="F594" s="608">
        <v>4.6199999999999998E-2</v>
      </c>
      <c r="G594" s="5">
        <f t="shared" si="116"/>
        <v>3.4288541832669326</v>
      </c>
      <c r="H594" s="21" t="s">
        <v>38</v>
      </c>
      <c r="I594" s="6">
        <f>E591</f>
        <v>0.1043</v>
      </c>
      <c r="J594" s="7">
        <v>2.2800000000000001E-2</v>
      </c>
      <c r="K594" s="5">
        <f t="shared" si="118"/>
        <v>3.6131561024016912</v>
      </c>
      <c r="L594" s="21" t="s">
        <v>39</v>
      </c>
      <c r="M594" s="6">
        <v>0</v>
      </c>
      <c r="N594" s="7">
        <v>2.5000000000000001E-3</v>
      </c>
      <c r="O594" s="5">
        <f t="shared" si="119"/>
        <v>3.622211631480392</v>
      </c>
      <c r="P594" s="329">
        <f>Weightings!$C$9</f>
        <v>6.554456479221634</v>
      </c>
      <c r="Q594" s="5">
        <f t="shared" si="117"/>
        <v>2.9819508834532006E-4</v>
      </c>
      <c r="R594" s="5"/>
      <c r="S594" s="29"/>
    </row>
    <row r="595" spans="1:19">
      <c r="A595" s="1" t="s">
        <v>0</v>
      </c>
      <c r="B595" s="8" t="s">
        <v>260</v>
      </c>
      <c r="C595" s="422">
        <v>3.2</v>
      </c>
      <c r="D595" s="21" t="s">
        <v>37</v>
      </c>
      <c r="E595" s="6">
        <f>0.0366+0.0022</f>
        <v>3.8800000000000001E-2</v>
      </c>
      <c r="F595" s="10">
        <v>6.9699999999999996E-3</v>
      </c>
      <c r="G595" s="5">
        <f t="shared" si="116"/>
        <v>3.2612605500337355</v>
      </c>
      <c r="H595" s="21" t="s">
        <v>43</v>
      </c>
      <c r="I595" s="609">
        <f>0.017+0.0022</f>
        <v>1.9200000000000002E-2</v>
      </c>
      <c r="J595" s="608">
        <v>2.9020000000000001E-2</v>
      </c>
      <c r="K595" s="5">
        <f t="shared" si="118"/>
        <v>3.3779309213719499</v>
      </c>
      <c r="L595" s="15" t="s">
        <v>156</v>
      </c>
      <c r="M595" s="6">
        <f>E596</f>
        <v>2.2600000000000002E-2</v>
      </c>
      <c r="N595" s="10">
        <f>F596</f>
        <v>2.776E-2</v>
      </c>
      <c r="O595" s="247">
        <f t="shared" si="119"/>
        <v>3.4969797018965996</v>
      </c>
      <c r="P595" s="329">
        <f>Weightings!$C$13</f>
        <v>31370.607479626047</v>
      </c>
      <c r="Q595" s="5">
        <f t="shared" si="117"/>
        <v>1.3778629457495621</v>
      </c>
      <c r="R595" s="247"/>
      <c r="S595" s="29"/>
    </row>
    <row r="596" spans="1:19">
      <c r="A596" s="1" t="s">
        <v>1</v>
      </c>
      <c r="B596" s="8" t="s">
        <v>261</v>
      </c>
      <c r="C596" s="422">
        <v>3.585</v>
      </c>
      <c r="D596" s="21" t="s">
        <v>48</v>
      </c>
      <c r="E596" s="6">
        <f>0.0134+0.0022+0.007</f>
        <v>2.2600000000000002E-2</v>
      </c>
      <c r="F596" s="10">
        <v>2.776E-2</v>
      </c>
      <c r="G596" s="5">
        <f t="shared" si="116"/>
        <v>3.7099611453961985</v>
      </c>
      <c r="H596" s="21"/>
      <c r="I596" s="6">
        <v>0</v>
      </c>
      <c r="J596" s="7">
        <v>0</v>
      </c>
      <c r="K596" s="5">
        <f t="shared" si="118"/>
        <v>3.7099611453961985</v>
      </c>
      <c r="L596" s="15"/>
      <c r="M596" s="6">
        <v>0</v>
      </c>
      <c r="N596" s="7">
        <v>0</v>
      </c>
      <c r="O596" s="5">
        <f t="shared" si="119"/>
        <v>3.7099611453961985</v>
      </c>
      <c r="P596" s="329">
        <f>Weightings!$C$14</f>
        <v>5614.3227016821775</v>
      </c>
      <c r="Q596" s="5">
        <f t="shared" si="117"/>
        <v>0.2616114293191929</v>
      </c>
      <c r="R596" s="5"/>
      <c r="S596" s="246"/>
    </row>
    <row r="597" spans="1:19">
      <c r="A597" s="1" t="s">
        <v>2</v>
      </c>
      <c r="B597" s="8" t="s">
        <v>262</v>
      </c>
      <c r="C597" s="649">
        <v>3.13</v>
      </c>
      <c r="D597" s="21" t="s">
        <v>33</v>
      </c>
      <c r="E597" s="609">
        <f>0.0299+0.0022+0.0097</f>
        <v>4.1799999999999997E-2</v>
      </c>
      <c r="F597" s="608">
        <v>4.58E-2</v>
      </c>
      <c r="G597" s="5">
        <f t="shared" si="116"/>
        <v>3.3220347516243969</v>
      </c>
      <c r="H597" s="21" t="s">
        <v>42</v>
      </c>
      <c r="I597" s="6">
        <v>0</v>
      </c>
      <c r="J597" s="7">
        <v>0.01</v>
      </c>
      <c r="K597" s="5">
        <f t="shared" si="118"/>
        <v>3.3555906582064616</v>
      </c>
      <c r="L597" s="15"/>
      <c r="M597" s="6">
        <v>0</v>
      </c>
      <c r="N597" s="7">
        <v>0</v>
      </c>
      <c r="O597" s="5">
        <f t="shared" si="119"/>
        <v>3.3555906582064616</v>
      </c>
      <c r="P597" s="329">
        <f>Weightings!$C$15</f>
        <v>3366</v>
      </c>
      <c r="Q597" s="5">
        <f t="shared" si="117"/>
        <v>0.14186428355810482</v>
      </c>
      <c r="R597" s="5"/>
      <c r="S597" s="29"/>
    </row>
    <row r="598" spans="1:19">
      <c r="A598" s="1" t="s">
        <v>3</v>
      </c>
      <c r="B598" s="8" t="s">
        <v>259</v>
      </c>
      <c r="C598" s="422">
        <v>3.14</v>
      </c>
      <c r="D598" s="21" t="s">
        <v>34</v>
      </c>
      <c r="E598" s="609">
        <f>0.0277+0.0022+0.0097</f>
        <v>3.9599999999999996E-2</v>
      </c>
      <c r="F598" s="608">
        <v>4.2299999999999997E-2</v>
      </c>
      <c r="G598" s="5">
        <f t="shared" si="116"/>
        <v>3.3182885245901641</v>
      </c>
      <c r="H598" s="21" t="s">
        <v>42</v>
      </c>
      <c r="I598" s="6">
        <v>0</v>
      </c>
      <c r="J598" s="7">
        <v>0.01</v>
      </c>
      <c r="K598" s="5">
        <f t="shared" si="118"/>
        <v>3.3518065904951153</v>
      </c>
      <c r="M598" s="6">
        <v>0</v>
      </c>
      <c r="N598" s="7">
        <v>0</v>
      </c>
      <c r="O598" s="5">
        <f t="shared" si="119"/>
        <v>3.3518065904951153</v>
      </c>
      <c r="P598" s="329">
        <f>Weightings!$C$16</f>
        <v>4950</v>
      </c>
      <c r="Q598" s="5">
        <f t="shared" si="117"/>
        <v>0.20838868316627879</v>
      </c>
      <c r="R598" s="5"/>
      <c r="S598" s="29"/>
    </row>
    <row r="599" spans="1:19">
      <c r="A599" s="1" t="s">
        <v>4</v>
      </c>
      <c r="B599" s="8" t="s">
        <v>103</v>
      </c>
      <c r="C599" s="422">
        <v>3.23</v>
      </c>
      <c r="D599" s="21" t="s">
        <v>35</v>
      </c>
      <c r="E599" s="609">
        <f>0.0251+0.0022+0.0097</f>
        <v>3.7000000000000005E-2</v>
      </c>
      <c r="F599" s="608">
        <v>3.8100000000000002E-2</v>
      </c>
      <c r="G599" s="5">
        <f t="shared" si="116"/>
        <v>3.3949374155317602</v>
      </c>
      <c r="H599" s="21" t="s">
        <v>42</v>
      </c>
      <c r="I599" s="6">
        <v>0</v>
      </c>
      <c r="J599" s="7">
        <v>0.01</v>
      </c>
      <c r="K599" s="5">
        <f t="shared" si="118"/>
        <v>3.4292297126583438</v>
      </c>
      <c r="M599" s="6">
        <v>0</v>
      </c>
      <c r="N599" s="7">
        <v>0</v>
      </c>
      <c r="O599" s="5">
        <f t="shared" si="119"/>
        <v>3.4292297126583438</v>
      </c>
      <c r="P599" s="329">
        <f>Weightings!$C$17</f>
        <v>11172.172715894869</v>
      </c>
      <c r="Q599" s="5">
        <f t="shared" si="117"/>
        <v>0.48119842798945861</v>
      </c>
      <c r="R599" s="5"/>
      <c r="S599" s="29"/>
    </row>
    <row r="600" spans="1:19">
      <c r="O600" s="35"/>
      <c r="P600" s="67"/>
      <c r="Q600" s="35"/>
      <c r="R600" s="35"/>
      <c r="S600" s="244"/>
    </row>
    <row r="601" spans="1:19" ht="13.5" thickBot="1">
      <c r="O601" s="36"/>
      <c r="P601" s="330"/>
      <c r="Q601" s="36"/>
      <c r="R601" s="36"/>
    </row>
    <row r="602" spans="1:19" ht="13.5" thickBot="1">
      <c r="O602" s="331" t="s">
        <v>198</v>
      </c>
      <c r="P602" s="332"/>
      <c r="Q602" s="333">
        <f>SUM(Q589:Q599)</f>
        <v>3.5623232225436121</v>
      </c>
      <c r="R602" s="424">
        <f>B587</f>
        <v>37194</v>
      </c>
    </row>
    <row r="603" spans="1:19">
      <c r="O603" s="35"/>
      <c r="P603" s="35"/>
      <c r="Q603" s="35"/>
      <c r="R603" s="35"/>
      <c r="S603" s="35"/>
    </row>
    <row r="604" spans="1:19">
      <c r="D604" s="21"/>
      <c r="H604" s="5"/>
      <c r="O604" s="36" t="s">
        <v>263</v>
      </c>
      <c r="P604" s="404">
        <f>Weightings!C603</f>
        <v>0</v>
      </c>
      <c r="Q604" s="35" t="s">
        <v>206</v>
      </c>
      <c r="R604" s="344" t="s">
        <v>208</v>
      </c>
      <c r="S604" s="35"/>
    </row>
    <row r="605" spans="1:19" ht="13.5" thickBot="1">
      <c r="A605" s="675"/>
      <c r="B605" s="676"/>
      <c r="C605" s="675"/>
      <c r="D605" s="677"/>
      <c r="E605" s="675"/>
      <c r="F605" s="675"/>
      <c r="G605" s="675"/>
      <c r="H605" s="678"/>
      <c r="I605" s="675"/>
      <c r="J605" s="675"/>
      <c r="K605" s="675"/>
      <c r="L605" s="675"/>
      <c r="M605" s="675"/>
      <c r="N605" s="675"/>
      <c r="O605" s="675"/>
      <c r="P605" s="679"/>
      <c r="Q605" s="675"/>
      <c r="R605" s="675"/>
      <c r="S605" s="675"/>
    </row>
    <row r="606" spans="1:19" ht="14.25" thickTop="1" thickBot="1">
      <c r="A606" s="2"/>
      <c r="B606" s="28"/>
      <c r="D606" s="3" t="s">
        <v>10</v>
      </c>
      <c r="H606" s="3" t="s">
        <v>11</v>
      </c>
      <c r="L606" s="3" t="s">
        <v>12</v>
      </c>
    </row>
    <row r="607" spans="1:19" ht="14.25" thickTop="1" thickBot="1">
      <c r="A607" s="421" t="s">
        <v>255</v>
      </c>
      <c r="B607" s="433">
        <f>B587+1</f>
        <v>37195</v>
      </c>
      <c r="C607" s="434">
        <f>Q622</f>
        <v>3.4022658726276407</v>
      </c>
      <c r="E607" s="624"/>
    </row>
    <row r="608" spans="1:19" ht="54" customHeight="1" thickTop="1">
      <c r="A608" s="2" t="s">
        <v>5</v>
      </c>
      <c r="B608" s="9" t="s">
        <v>46</v>
      </c>
      <c r="C608" s="18" t="s">
        <v>256</v>
      </c>
      <c r="D608" s="14" t="s">
        <v>28</v>
      </c>
      <c r="E608" s="4" t="s">
        <v>7</v>
      </c>
      <c r="F608" s="4" t="s">
        <v>8</v>
      </c>
      <c r="G608" s="4" t="s">
        <v>9</v>
      </c>
      <c r="H608" s="14" t="s">
        <v>28</v>
      </c>
      <c r="I608" s="4" t="s">
        <v>7</v>
      </c>
      <c r="J608" s="4" t="s">
        <v>8</v>
      </c>
      <c r="K608" s="4" t="s">
        <v>9</v>
      </c>
      <c r="L608" s="14" t="s">
        <v>28</v>
      </c>
      <c r="M608" s="4" t="s">
        <v>7</v>
      </c>
      <c r="N608" s="4" t="s">
        <v>8</v>
      </c>
      <c r="O608" s="4" t="s">
        <v>9</v>
      </c>
      <c r="P608" s="4" t="s">
        <v>193</v>
      </c>
      <c r="Q608" s="4" t="s">
        <v>197</v>
      </c>
      <c r="R608" s="4"/>
      <c r="S608" s="4"/>
    </row>
    <row r="609" spans="1:19">
      <c r="A609" s="1" t="s">
        <v>49</v>
      </c>
      <c r="B609" s="8" t="s">
        <v>269</v>
      </c>
      <c r="C609" s="422">
        <v>3.07</v>
      </c>
      <c r="D609" s="21" t="s">
        <v>29</v>
      </c>
      <c r="E609" s="6">
        <v>5.2200000000000003E-2</v>
      </c>
      <c r="F609" s="10">
        <v>5.0599999999999999E-2</v>
      </c>
      <c r="G609" s="5">
        <f t="shared" ref="G609:G619" si="120">+C609/(1-F609)+E609</f>
        <v>3.2858212344638718</v>
      </c>
      <c r="H609" s="21" t="s">
        <v>38</v>
      </c>
      <c r="I609" s="6">
        <f>E611</f>
        <v>0.1043</v>
      </c>
      <c r="J609" s="7">
        <v>2.2800000000000001E-2</v>
      </c>
      <c r="K609" s="5">
        <f>+G609/(1-J609)+I609</f>
        <v>3.4667859132868108</v>
      </c>
      <c r="L609" s="21" t="s">
        <v>39</v>
      </c>
      <c r="M609" s="6">
        <v>0</v>
      </c>
      <c r="N609" s="7">
        <v>2.5000000000000001E-3</v>
      </c>
      <c r="O609" s="5">
        <f>+K609/(1-N609)+M609</f>
        <v>3.4754745997862764</v>
      </c>
      <c r="P609" s="329">
        <f>Weightings!$C$4</f>
        <v>1071.401539872767</v>
      </c>
      <c r="Q609" s="5">
        <f t="shared" ref="Q609:Q619" si="121">+P609/SUM($P$9:$P$19)*O609</f>
        <v>4.6768814971963724E-2</v>
      </c>
      <c r="R609" s="5"/>
      <c r="S609" s="245"/>
    </row>
    <row r="610" spans="1:19">
      <c r="A610" s="1" t="s">
        <v>50</v>
      </c>
      <c r="B610" s="8" t="s">
        <v>270</v>
      </c>
      <c r="C610" s="422">
        <v>3.05</v>
      </c>
      <c r="D610" s="21" t="s">
        <v>30</v>
      </c>
      <c r="E610" s="6">
        <v>5.2200000000000003E-2</v>
      </c>
      <c r="F610" s="10">
        <v>5.8000000000000003E-2</v>
      </c>
      <c r="G610" s="5">
        <f t="shared" si="120"/>
        <v>3.289991932059448</v>
      </c>
      <c r="H610" s="21" t="s">
        <v>38</v>
      </c>
      <c r="I610" s="6">
        <f>E611</f>
        <v>0.1043</v>
      </c>
      <c r="J610" s="7">
        <v>2.2800000000000001E-2</v>
      </c>
      <c r="K610" s="5">
        <f t="shared" ref="K610:K619" si="122">+G610/(1-J610)+I610</f>
        <v>3.4710539214689398</v>
      </c>
      <c r="L610" s="21" t="s">
        <v>39</v>
      </c>
      <c r="M610" s="6">
        <v>0</v>
      </c>
      <c r="N610" s="7">
        <v>2.5000000000000001E-3</v>
      </c>
      <c r="O610" s="5">
        <f t="shared" ref="O610:O619" si="123">+K610/(1-N610)+M610</f>
        <v>3.4797533047307665</v>
      </c>
      <c r="P610" s="329">
        <f>Weightings!$C$5</f>
        <v>1309.8829179244465</v>
      </c>
      <c r="Q610" s="5">
        <f t="shared" si="121"/>
        <v>5.7249396826330838E-2</v>
      </c>
      <c r="R610" s="5"/>
      <c r="S610" s="29"/>
    </row>
    <row r="611" spans="1:19">
      <c r="A611" s="1" t="s">
        <v>40</v>
      </c>
      <c r="B611" s="8" t="s">
        <v>257</v>
      </c>
      <c r="C611" s="422">
        <v>3.3450000000000002</v>
      </c>
      <c r="D611" s="21" t="s">
        <v>154</v>
      </c>
      <c r="E611" s="6">
        <f>0.0951+0.0022+0.007</f>
        <v>0.1043</v>
      </c>
      <c r="F611" s="10">
        <v>2.2800000000000001E-2</v>
      </c>
      <c r="G611" s="5">
        <f t="shared" si="120"/>
        <v>3.5273454359394187</v>
      </c>
      <c r="H611" s="21" t="s">
        <v>39</v>
      </c>
      <c r="I611" s="6">
        <v>0</v>
      </c>
      <c r="J611" s="7">
        <v>2.5000000000000001E-3</v>
      </c>
      <c r="K611" s="5">
        <f t="shared" si="122"/>
        <v>3.5361859006911462</v>
      </c>
      <c r="L611" s="21"/>
      <c r="M611" s="6">
        <v>0</v>
      </c>
      <c r="N611" s="7">
        <v>0</v>
      </c>
      <c r="O611" s="5">
        <f t="shared" si="123"/>
        <v>3.5361859006911462</v>
      </c>
      <c r="P611" s="329">
        <f>Weightings!$C$6</f>
        <v>19813.452023725906</v>
      </c>
      <c r="Q611" s="5">
        <f t="shared" si="121"/>
        <v>0.88000515591487316</v>
      </c>
      <c r="R611" s="5"/>
      <c r="S611" s="29"/>
    </row>
    <row r="612" spans="1:19">
      <c r="A612" s="1" t="s">
        <v>41</v>
      </c>
      <c r="B612" s="8" t="s">
        <v>258</v>
      </c>
      <c r="C612" s="422">
        <v>3.43</v>
      </c>
      <c r="D612" s="21" t="s">
        <v>155</v>
      </c>
      <c r="E612" s="6">
        <f>0.0951+0.0022+0.007</f>
        <v>0.1043</v>
      </c>
      <c r="F612" s="10">
        <v>2.2800000000000001E-2</v>
      </c>
      <c r="G612" s="5">
        <f t="shared" si="120"/>
        <v>3.6143286532951291</v>
      </c>
      <c r="H612" s="21" t="s">
        <v>39</v>
      </c>
      <c r="I612" s="6">
        <v>0</v>
      </c>
      <c r="J612" s="7">
        <v>2.5000000000000001E-3</v>
      </c>
      <c r="K612" s="5">
        <f t="shared" si="122"/>
        <v>3.6233871210978736</v>
      </c>
      <c r="L612" s="21"/>
      <c r="M612" s="6">
        <v>0</v>
      </c>
      <c r="N612" s="7">
        <v>0</v>
      </c>
      <c r="O612" s="5">
        <f t="shared" si="123"/>
        <v>3.6233871210978736</v>
      </c>
      <c r="P612" s="329">
        <f>Weightings!$C$7</f>
        <v>669.60336394048545</v>
      </c>
      <c r="Q612" s="5">
        <f t="shared" si="121"/>
        <v>3.0473500452971543E-2</v>
      </c>
      <c r="R612" s="5"/>
      <c r="S612" s="245"/>
    </row>
    <row r="613" spans="1:19">
      <c r="A613" s="1" t="s">
        <v>26</v>
      </c>
      <c r="B613" s="8" t="s">
        <v>259</v>
      </c>
      <c r="C613" s="423">
        <f>C618</f>
        <v>3.04</v>
      </c>
      <c r="D613" s="21" t="s">
        <v>31</v>
      </c>
      <c r="E613" s="609">
        <f>0.0331+0.0022+0.0097</f>
        <v>4.4999999999999998E-2</v>
      </c>
      <c r="F613" s="608">
        <v>5.04E-2</v>
      </c>
      <c r="G613" s="5">
        <f t="shared" si="120"/>
        <v>3.2463479359730414</v>
      </c>
      <c r="H613" s="21" t="s">
        <v>38</v>
      </c>
      <c r="I613" s="6">
        <f>E611</f>
        <v>0.1043</v>
      </c>
      <c r="J613" s="7">
        <v>2.2800000000000001E-2</v>
      </c>
      <c r="K613" s="5">
        <f t="shared" si="122"/>
        <v>3.4263916250235789</v>
      </c>
      <c r="L613" s="21" t="s">
        <v>39</v>
      </c>
      <c r="M613" s="6">
        <v>0</v>
      </c>
      <c r="N613" s="7">
        <v>2.5000000000000001E-3</v>
      </c>
      <c r="O613" s="5">
        <f t="shared" si="123"/>
        <v>3.434979072705342</v>
      </c>
      <c r="P613" s="329">
        <f>Weightings!$C$8</f>
        <v>273.77460524748824</v>
      </c>
      <c r="Q613" s="5">
        <f t="shared" si="121"/>
        <v>1.1811559383672621E-2</v>
      </c>
      <c r="R613" s="5"/>
      <c r="S613" s="29"/>
    </row>
    <row r="614" spans="1:19">
      <c r="A614" s="1" t="s">
        <v>27</v>
      </c>
      <c r="B614" s="8" t="s">
        <v>103</v>
      </c>
      <c r="C614" s="423">
        <f>C619</f>
        <v>3.1150000000000002</v>
      </c>
      <c r="D614" s="21" t="s">
        <v>32</v>
      </c>
      <c r="E614" s="609">
        <f>0.0305+0.0022+0.0097</f>
        <v>4.24E-2</v>
      </c>
      <c r="F614" s="608">
        <v>4.6199999999999998E-2</v>
      </c>
      <c r="G614" s="5">
        <f t="shared" si="120"/>
        <v>3.3082838330886983</v>
      </c>
      <c r="H614" s="21" t="s">
        <v>38</v>
      </c>
      <c r="I614" s="6">
        <f>E611</f>
        <v>0.1043</v>
      </c>
      <c r="J614" s="7">
        <v>2.2800000000000001E-2</v>
      </c>
      <c r="K614" s="5">
        <f t="shared" si="122"/>
        <v>3.4897726085639564</v>
      </c>
      <c r="L614" s="21" t="s">
        <v>39</v>
      </c>
      <c r="M614" s="6">
        <v>0</v>
      </c>
      <c r="N614" s="7">
        <v>2.5000000000000001E-3</v>
      </c>
      <c r="O614" s="5">
        <f t="shared" si="123"/>
        <v>3.4985189058285275</v>
      </c>
      <c r="P614" s="329">
        <f>Weightings!$C$9</f>
        <v>6.554456479221634</v>
      </c>
      <c r="Q614" s="5">
        <f t="shared" si="121"/>
        <v>2.8801220368643651E-4</v>
      </c>
      <c r="R614" s="5"/>
      <c r="S614" s="29"/>
    </row>
    <row r="615" spans="1:19">
      <c r="A615" s="1" t="s">
        <v>0</v>
      </c>
      <c r="B615" s="8" t="s">
        <v>260</v>
      </c>
      <c r="C615" s="422">
        <v>3.085</v>
      </c>
      <c r="D615" s="21" t="s">
        <v>37</v>
      </c>
      <c r="E615" s="6">
        <f>0.0366+0.0022</f>
        <v>3.8800000000000001E-2</v>
      </c>
      <c r="F615" s="10">
        <v>6.9699999999999996E-3</v>
      </c>
      <c r="G615" s="5">
        <f t="shared" si="120"/>
        <v>3.1454533740168982</v>
      </c>
      <c r="H615" s="21" t="s">
        <v>43</v>
      </c>
      <c r="I615" s="609">
        <f>0.017+0.0022</f>
        <v>1.9200000000000002E-2</v>
      </c>
      <c r="J615" s="608">
        <v>2.9020000000000001E-2</v>
      </c>
      <c r="K615" s="5">
        <f t="shared" si="122"/>
        <v>3.2586625780313687</v>
      </c>
      <c r="L615" s="15" t="s">
        <v>156</v>
      </c>
      <c r="M615" s="6">
        <f>E616</f>
        <v>2.2600000000000002E-2</v>
      </c>
      <c r="N615" s="10">
        <f>F616</f>
        <v>2.776E-2</v>
      </c>
      <c r="O615" s="247">
        <f t="shared" si="123"/>
        <v>3.3743059347808861</v>
      </c>
      <c r="P615" s="329">
        <f>Weightings!$C$13</f>
        <v>31370.607479626047</v>
      </c>
      <c r="Q615" s="5">
        <f t="shared" si="121"/>
        <v>1.3295276242626861</v>
      </c>
      <c r="R615" s="247"/>
      <c r="S615" s="29"/>
    </row>
    <row r="616" spans="1:19">
      <c r="A616" s="1" t="s">
        <v>1</v>
      </c>
      <c r="B616" s="8" t="s">
        <v>261</v>
      </c>
      <c r="C616" s="422">
        <v>3.33</v>
      </c>
      <c r="D616" s="21" t="s">
        <v>48</v>
      </c>
      <c r="E616" s="6">
        <f>0.0134+0.0022+0.007</f>
        <v>2.2600000000000002E-2</v>
      </c>
      <c r="F616" s="10">
        <v>2.776E-2</v>
      </c>
      <c r="G616" s="5">
        <f t="shared" si="120"/>
        <v>3.4476802271044189</v>
      </c>
      <c r="H616" s="21"/>
      <c r="I616" s="6">
        <v>0</v>
      </c>
      <c r="J616" s="7">
        <v>0</v>
      </c>
      <c r="K616" s="5">
        <f t="shared" si="122"/>
        <v>3.4476802271044189</v>
      </c>
      <c r="L616" s="15"/>
      <c r="M616" s="6">
        <v>0</v>
      </c>
      <c r="N616" s="7">
        <v>0</v>
      </c>
      <c r="O616" s="5">
        <f t="shared" si="123"/>
        <v>3.4476802271044189</v>
      </c>
      <c r="P616" s="329">
        <f>Weightings!$C$14</f>
        <v>5614.3227016821775</v>
      </c>
      <c r="Q616" s="5">
        <f t="shared" si="121"/>
        <v>0.2431164415744802</v>
      </c>
      <c r="R616" s="5"/>
      <c r="S616" s="246"/>
    </row>
    <row r="617" spans="1:19">
      <c r="A617" s="1" t="s">
        <v>2</v>
      </c>
      <c r="B617" s="8" t="s">
        <v>262</v>
      </c>
      <c r="C617" s="649">
        <v>3.02</v>
      </c>
      <c r="D617" s="21" t="s">
        <v>33</v>
      </c>
      <c r="E617" s="609">
        <f>0.0299+0.0022+0.0097</f>
        <v>4.1799999999999997E-2</v>
      </c>
      <c r="F617" s="608">
        <v>4.58E-2</v>
      </c>
      <c r="G617" s="5">
        <f t="shared" si="120"/>
        <v>3.2067549360721022</v>
      </c>
      <c r="H617" s="21" t="s">
        <v>42</v>
      </c>
      <c r="I617" s="6">
        <v>0</v>
      </c>
      <c r="J617" s="7">
        <v>0.01</v>
      </c>
      <c r="K617" s="5">
        <f t="shared" si="122"/>
        <v>3.2391464000728303</v>
      </c>
      <c r="L617" s="15"/>
      <c r="M617" s="6">
        <v>0</v>
      </c>
      <c r="N617" s="7">
        <v>0</v>
      </c>
      <c r="O617" s="5">
        <f t="shared" si="123"/>
        <v>3.2391464000728303</v>
      </c>
      <c r="P617" s="329">
        <f>Weightings!$C$15</f>
        <v>3366</v>
      </c>
      <c r="Q617" s="5">
        <f t="shared" si="121"/>
        <v>0.13694137044467636</v>
      </c>
      <c r="R617" s="5"/>
      <c r="S617" s="29"/>
    </row>
    <row r="618" spans="1:19">
      <c r="A618" s="1" t="s">
        <v>3</v>
      </c>
      <c r="B618" s="8" t="s">
        <v>259</v>
      </c>
      <c r="C618" s="422">
        <v>3.04</v>
      </c>
      <c r="D618" s="21" t="s">
        <v>34</v>
      </c>
      <c r="E618" s="609">
        <f>0.0277+0.0022+0.0097</f>
        <v>3.9599999999999996E-2</v>
      </c>
      <c r="F618" s="608">
        <v>4.2299999999999997E-2</v>
      </c>
      <c r="G618" s="5">
        <f t="shared" si="120"/>
        <v>3.2138716925968467</v>
      </c>
      <c r="H618" s="21" t="s">
        <v>42</v>
      </c>
      <c r="I618" s="6">
        <v>0</v>
      </c>
      <c r="J618" s="7">
        <v>0.01</v>
      </c>
      <c r="K618" s="5">
        <f t="shared" si="122"/>
        <v>3.2463350430271181</v>
      </c>
      <c r="M618" s="6">
        <v>0</v>
      </c>
      <c r="N618" s="7">
        <v>0</v>
      </c>
      <c r="O618" s="5">
        <f t="shared" si="123"/>
        <v>3.2463350430271181</v>
      </c>
      <c r="P618" s="329">
        <f>Weightings!$C$16</f>
        <v>4950</v>
      </c>
      <c r="Q618" s="5">
        <f t="shared" si="121"/>
        <v>0.20183130096209886</v>
      </c>
      <c r="R618" s="5"/>
      <c r="S618" s="29"/>
    </row>
    <row r="619" spans="1:19">
      <c r="A619" s="1" t="s">
        <v>4</v>
      </c>
      <c r="B619" s="8" t="s">
        <v>103</v>
      </c>
      <c r="C619" s="422">
        <v>3.1150000000000002</v>
      </c>
      <c r="D619" s="21" t="s">
        <v>35</v>
      </c>
      <c r="E619" s="609">
        <f>0.0251+0.0022+0.0097</f>
        <v>3.7000000000000005E-2</v>
      </c>
      <c r="F619" s="608">
        <v>3.8100000000000002E-2</v>
      </c>
      <c r="G619" s="5">
        <f t="shared" si="120"/>
        <v>3.275382368229546</v>
      </c>
      <c r="H619" s="21" t="s">
        <v>42</v>
      </c>
      <c r="I619" s="6">
        <v>0</v>
      </c>
      <c r="J619" s="7">
        <v>0.01</v>
      </c>
      <c r="K619" s="5">
        <f t="shared" si="122"/>
        <v>3.3084670386157029</v>
      </c>
      <c r="M619" s="6">
        <v>0</v>
      </c>
      <c r="N619" s="7">
        <v>0</v>
      </c>
      <c r="O619" s="5">
        <f t="shared" si="123"/>
        <v>3.3084670386157029</v>
      </c>
      <c r="P619" s="329">
        <f>Weightings!$C$17</f>
        <v>11172.172715894869</v>
      </c>
      <c r="Q619" s="5">
        <f t="shared" si="121"/>
        <v>0.464252695630201</v>
      </c>
      <c r="R619" s="5"/>
      <c r="S619" s="29"/>
    </row>
    <row r="620" spans="1:19">
      <c r="O620" s="35"/>
      <c r="P620" s="67"/>
      <c r="Q620" s="35"/>
      <c r="R620" s="35"/>
      <c r="S620" s="244"/>
    </row>
    <row r="621" spans="1:19" ht="13.5" thickBot="1">
      <c r="O621" s="36"/>
      <c r="P621" s="330"/>
      <c r="Q621" s="36"/>
      <c r="R621" s="36"/>
    </row>
    <row r="622" spans="1:19" ht="13.5" thickBot="1">
      <c r="O622" s="331" t="s">
        <v>198</v>
      </c>
      <c r="P622" s="332"/>
      <c r="Q622" s="333">
        <f>SUM(Q609:Q619)</f>
        <v>3.4022658726276407</v>
      </c>
      <c r="R622" s="424">
        <f>B607</f>
        <v>37195</v>
      </c>
    </row>
    <row r="623" spans="1:19">
      <c r="O623" s="35"/>
      <c r="P623" s="35"/>
      <c r="Q623" s="35"/>
      <c r="R623" s="35"/>
      <c r="S623" s="35"/>
    </row>
    <row r="624" spans="1:19">
      <c r="D624" s="21"/>
      <c r="H624" s="5"/>
      <c r="O624" s="36" t="s">
        <v>263</v>
      </c>
      <c r="P624" s="404">
        <f>Weightings!C623</f>
        <v>0</v>
      </c>
      <c r="Q624" s="35" t="s">
        <v>206</v>
      </c>
      <c r="R624" s="344" t="s">
        <v>208</v>
      </c>
      <c r="S624" s="35"/>
    </row>
    <row r="625" spans="1:19" ht="13.5" thickBot="1">
      <c r="A625" s="675"/>
      <c r="B625" s="676"/>
      <c r="C625" s="675"/>
      <c r="D625" s="677"/>
      <c r="E625" s="675"/>
      <c r="F625" s="675"/>
      <c r="G625" s="675"/>
      <c r="H625" s="678"/>
      <c r="I625" s="675"/>
      <c r="J625" s="675"/>
      <c r="K625" s="675"/>
      <c r="L625" s="675"/>
      <c r="M625" s="675"/>
      <c r="N625" s="675"/>
      <c r="O625" s="675"/>
      <c r="P625" s="679"/>
      <c r="Q625" s="675"/>
      <c r="R625" s="675"/>
      <c r="S625" s="675"/>
    </row>
    <row r="626" spans="1:19" ht="13.5" thickTop="1"/>
  </sheetData>
  <phoneticPr fontId="0" type="noConversion"/>
  <pageMargins left="0.75" right="0.75" top="1" bottom="1" header="0.5" footer="0.5"/>
  <pageSetup paperSize="5" scale="1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workbookViewId="0">
      <pane xSplit="1" ySplit="5" topLeftCell="B18" activePane="bottomRight" state="frozen"/>
      <selection pane="topRight" activeCell="B1" sqref="B1"/>
      <selection pane="bottomLeft" activeCell="A7" sqref="A7"/>
      <selection pane="bottomRight" activeCell="B36" sqref="B36"/>
    </sheetView>
  </sheetViews>
  <sheetFormatPr defaultRowHeight="12.75"/>
  <cols>
    <col min="1" max="1" width="15.5703125" customWidth="1"/>
    <col min="2" max="2" width="21.42578125" customWidth="1"/>
    <col min="3" max="3" width="10.7109375" customWidth="1"/>
    <col min="4" max="4" width="1.85546875" customWidth="1"/>
    <col min="5" max="5" width="11.28515625" customWidth="1"/>
    <col min="6" max="6" width="1.85546875" customWidth="1"/>
    <col min="7" max="7" width="16" customWidth="1"/>
    <col min="8" max="8" width="11.42578125" customWidth="1"/>
    <col min="9" max="9" width="13.140625" bestFit="1" customWidth="1"/>
  </cols>
  <sheetData>
    <row r="1" spans="1:10" ht="15.75">
      <c r="A1" s="26" t="s">
        <v>186</v>
      </c>
      <c r="B1" s="27"/>
      <c r="C1" s="11" t="s">
        <v>271</v>
      </c>
    </row>
    <row r="2" spans="1:10">
      <c r="A2" s="1"/>
      <c r="B2" s="8"/>
    </row>
    <row r="3" spans="1:10" ht="15.75">
      <c r="A3" s="2" t="s">
        <v>47</v>
      </c>
      <c r="B3" s="25">
        <v>37165</v>
      </c>
      <c r="C3" s="305" t="s">
        <v>157</v>
      </c>
      <c r="D3" s="306"/>
      <c r="E3" s="307">
        <f>Weightings!C23</f>
        <v>110554</v>
      </c>
    </row>
    <row r="4" spans="1:10">
      <c r="B4" s="237"/>
      <c r="C4" s="16"/>
    </row>
    <row r="5" spans="1:10" s="240" customFormat="1" ht="36" customHeight="1">
      <c r="B5" s="464" t="s">
        <v>224</v>
      </c>
      <c r="C5" s="379" t="s">
        <v>219</v>
      </c>
      <c r="D5" s="242"/>
      <c r="E5" s="309" t="s">
        <v>187</v>
      </c>
      <c r="F5" s="242"/>
      <c r="G5" s="380" t="s">
        <v>220</v>
      </c>
    </row>
    <row r="6" spans="1:10">
      <c r="A6" s="248">
        <f>B3</f>
        <v>37165</v>
      </c>
      <c r="B6" s="465">
        <f>'VNG Sheet'!AX15</f>
        <v>95617.35</v>
      </c>
      <c r="C6" s="625">
        <f>$E$3-B6-1</f>
        <v>14935.649999999994</v>
      </c>
      <c r="D6" s="16"/>
      <c r="E6" s="695">
        <v>2.0181</v>
      </c>
      <c r="F6" s="16"/>
      <c r="G6" s="308">
        <f>C6*E6</f>
        <v>30141.63526499999</v>
      </c>
      <c r="I6" s="294"/>
      <c r="J6" s="44"/>
    </row>
    <row r="7" spans="1:10">
      <c r="A7" s="248">
        <f>A6+1</f>
        <v>37166</v>
      </c>
      <c r="B7" s="466">
        <f>'VNG Sheet'!AX16</f>
        <v>104909.35</v>
      </c>
      <c r="C7" s="625">
        <f t="shared" ref="C7:C36" si="0">$E$3-B7-1</f>
        <v>5643.6499999999942</v>
      </c>
      <c r="D7" s="16"/>
      <c r="E7" s="695">
        <v>1.9622999999999999</v>
      </c>
      <c r="F7" s="16"/>
      <c r="G7" s="308">
        <f t="shared" ref="G7:G33" si="1">C7*E7</f>
        <v>11074.534394999988</v>
      </c>
      <c r="I7" s="294"/>
      <c r="J7" s="44"/>
    </row>
    <row r="8" spans="1:10">
      <c r="A8" s="248">
        <f t="shared" ref="A8:A33" si="2">A7+1</f>
        <v>37167</v>
      </c>
      <c r="B8" s="466">
        <f>'VNG Sheet'!AX17</f>
        <v>105366.35</v>
      </c>
      <c r="C8" s="625">
        <f t="shared" si="0"/>
        <v>5186.6499999999942</v>
      </c>
      <c r="D8" s="16"/>
      <c r="E8" s="695">
        <v>2.0150000000000001</v>
      </c>
      <c r="F8" s="16"/>
      <c r="G8" s="308">
        <f t="shared" si="1"/>
        <v>10451.099749999988</v>
      </c>
      <c r="I8" s="294"/>
      <c r="J8" s="44"/>
    </row>
    <row r="9" spans="1:10">
      <c r="A9" s="248">
        <f t="shared" si="2"/>
        <v>37168</v>
      </c>
      <c r="B9" s="466">
        <f>'VNG Sheet'!AX18</f>
        <v>103636.35</v>
      </c>
      <c r="C9" s="625">
        <f t="shared" si="0"/>
        <v>6916.6499999999942</v>
      </c>
      <c r="D9" s="16"/>
      <c r="E9" s="695">
        <v>2.2033</v>
      </c>
      <c r="F9" s="16"/>
      <c r="G9" s="308">
        <f t="shared" si="1"/>
        <v>15239.454944999987</v>
      </c>
      <c r="I9" s="294"/>
      <c r="J9" s="44"/>
    </row>
    <row r="10" spans="1:10">
      <c r="A10" s="248">
        <f t="shared" si="2"/>
        <v>37169</v>
      </c>
      <c r="B10" s="466">
        <f>'VNG Sheet'!AX19</f>
        <v>104194.35</v>
      </c>
      <c r="C10" s="625">
        <f t="shared" si="0"/>
        <v>6358.6499999999942</v>
      </c>
      <c r="D10" s="16"/>
      <c r="E10" s="695">
        <v>2.3622999999999998</v>
      </c>
      <c r="F10" s="16"/>
      <c r="G10" s="308">
        <f t="shared" si="1"/>
        <v>15021.038894999985</v>
      </c>
      <c r="I10" s="294"/>
      <c r="J10" s="44"/>
    </row>
    <row r="11" spans="1:10">
      <c r="A11" s="248">
        <f t="shared" si="2"/>
        <v>37170</v>
      </c>
      <c r="B11" s="466">
        <f>'VNG Sheet'!AX20</f>
        <v>95881.35</v>
      </c>
      <c r="C11" s="625">
        <f t="shared" si="0"/>
        <v>14671.649999999994</v>
      </c>
      <c r="D11" s="16"/>
      <c r="E11" s="695">
        <v>2.3763000000000001</v>
      </c>
      <c r="F11" s="16"/>
      <c r="G11" s="308">
        <f t="shared" si="1"/>
        <v>34864.241894999985</v>
      </c>
      <c r="I11" s="294"/>
      <c r="J11" s="44"/>
    </row>
    <row r="12" spans="1:10">
      <c r="A12" s="248">
        <f t="shared" si="2"/>
        <v>37171</v>
      </c>
      <c r="B12" s="466">
        <f>'VNG Sheet'!AX21</f>
        <v>84778.35</v>
      </c>
      <c r="C12" s="625">
        <f t="shared" si="0"/>
        <v>25774.649999999994</v>
      </c>
      <c r="D12" s="16"/>
      <c r="E12" s="695">
        <f>E11</f>
        <v>2.3763000000000001</v>
      </c>
      <c r="F12" s="16"/>
      <c r="G12" s="308">
        <f t="shared" si="1"/>
        <v>61248.300794999988</v>
      </c>
      <c r="I12" s="294"/>
      <c r="J12" s="44"/>
    </row>
    <row r="13" spans="1:10">
      <c r="A13" s="248">
        <f t="shared" si="2"/>
        <v>37172</v>
      </c>
      <c r="B13" s="466">
        <f>'VNG Sheet'!AX22</f>
        <v>59395.350000000006</v>
      </c>
      <c r="C13" s="625">
        <f t="shared" si="0"/>
        <v>51157.649999999994</v>
      </c>
      <c r="D13" s="16"/>
      <c r="E13" s="695">
        <f>E12</f>
        <v>2.3763000000000001</v>
      </c>
      <c r="F13" s="16"/>
      <c r="G13" s="308">
        <f t="shared" si="1"/>
        <v>121565.92369499999</v>
      </c>
      <c r="I13" s="294"/>
      <c r="J13" s="44"/>
    </row>
    <row r="14" spans="1:10">
      <c r="A14" s="248">
        <f t="shared" si="2"/>
        <v>37173</v>
      </c>
      <c r="B14" s="466">
        <f>'VNG Sheet'!AX23</f>
        <v>68094.350000000006</v>
      </c>
      <c r="C14" s="625">
        <f t="shared" si="0"/>
        <v>42458.649999999994</v>
      </c>
      <c r="D14" s="16"/>
      <c r="E14" s="695">
        <v>2.2824</v>
      </c>
      <c r="F14" s="16"/>
      <c r="G14" s="308">
        <f t="shared" si="1"/>
        <v>96907.622759999984</v>
      </c>
      <c r="I14" s="294"/>
      <c r="J14" s="44"/>
    </row>
    <row r="15" spans="1:10">
      <c r="A15" s="248">
        <f t="shared" si="2"/>
        <v>37174</v>
      </c>
      <c r="B15" s="466">
        <f>'VNG Sheet'!AX24</f>
        <v>96561.35</v>
      </c>
      <c r="C15" s="625">
        <f t="shared" si="0"/>
        <v>13991.649999999994</v>
      </c>
      <c r="D15" s="16"/>
      <c r="E15" s="695">
        <v>2.3536999999999999</v>
      </c>
      <c r="F15" s="16"/>
      <c r="G15" s="308">
        <f t="shared" si="1"/>
        <v>32932.146604999987</v>
      </c>
      <c r="I15" s="294"/>
      <c r="J15" s="44"/>
    </row>
    <row r="16" spans="1:10">
      <c r="A16" s="248">
        <f t="shared" si="2"/>
        <v>37175</v>
      </c>
      <c r="B16" s="466">
        <f>'VNG Sheet'!AX25</f>
        <v>97593.35</v>
      </c>
      <c r="C16" s="625">
        <f t="shared" si="0"/>
        <v>12959.649999999994</v>
      </c>
      <c r="D16" s="16"/>
      <c r="E16" s="695">
        <v>2.4483999999999999</v>
      </c>
      <c r="F16" s="16"/>
      <c r="G16" s="308">
        <f t="shared" si="1"/>
        <v>31730.407059999983</v>
      </c>
      <c r="I16" s="294"/>
      <c r="J16" s="44"/>
    </row>
    <row r="17" spans="1:10">
      <c r="A17" s="248">
        <f t="shared" si="2"/>
        <v>37176</v>
      </c>
      <c r="B17" s="466">
        <f>'VNG Sheet'!AX26</f>
        <v>104786.35</v>
      </c>
      <c r="C17" s="625">
        <f t="shared" si="0"/>
        <v>5766.6499999999942</v>
      </c>
      <c r="D17" s="16"/>
      <c r="E17" s="695">
        <v>2.6046999999999998</v>
      </c>
      <c r="F17" s="16"/>
      <c r="G17" s="308">
        <f t="shared" si="1"/>
        <v>15020.393254999984</v>
      </c>
      <c r="I17" s="294"/>
      <c r="J17" s="44"/>
    </row>
    <row r="18" spans="1:10">
      <c r="A18" s="248">
        <f t="shared" si="2"/>
        <v>37177</v>
      </c>
      <c r="B18" s="466">
        <f>'VNG Sheet'!AX27</f>
        <v>104392.35</v>
      </c>
      <c r="C18" s="625">
        <f t="shared" si="0"/>
        <v>6160.6499999999942</v>
      </c>
      <c r="D18" s="16"/>
      <c r="E18" s="695">
        <v>2.5028999999999999</v>
      </c>
      <c r="F18" s="16"/>
      <c r="G18" s="308">
        <f t="shared" si="1"/>
        <v>15419.490884999985</v>
      </c>
      <c r="I18" s="294"/>
      <c r="J18" s="44"/>
    </row>
    <row r="19" spans="1:10">
      <c r="A19" s="248">
        <f t="shared" si="2"/>
        <v>37178</v>
      </c>
      <c r="B19" s="466">
        <f>'VNG Sheet'!AX28</f>
        <v>102811.35</v>
      </c>
      <c r="C19" s="625">
        <f t="shared" si="0"/>
        <v>7741.6499999999942</v>
      </c>
      <c r="D19" s="16"/>
      <c r="E19" s="695">
        <f>E18</f>
        <v>2.5028999999999999</v>
      </c>
      <c r="F19" s="16"/>
      <c r="G19" s="308">
        <f t="shared" si="1"/>
        <v>19376.575784999986</v>
      </c>
      <c r="I19" s="294"/>
      <c r="J19" s="44"/>
    </row>
    <row r="20" spans="1:10">
      <c r="A20" s="248">
        <f t="shared" si="2"/>
        <v>37179</v>
      </c>
      <c r="B20" s="466">
        <f>'VNG Sheet'!AX29</f>
        <v>97832.35</v>
      </c>
      <c r="C20" s="625">
        <f t="shared" si="0"/>
        <v>12720.649999999994</v>
      </c>
      <c r="D20" s="16"/>
      <c r="E20" s="695">
        <f>E19</f>
        <v>2.5028999999999999</v>
      </c>
      <c r="F20" s="16"/>
      <c r="G20" s="308">
        <f t="shared" si="1"/>
        <v>31838.514884999986</v>
      </c>
      <c r="I20" s="294"/>
      <c r="J20" s="44"/>
    </row>
    <row r="21" spans="1:10">
      <c r="A21" s="248">
        <f t="shared" si="2"/>
        <v>37180</v>
      </c>
      <c r="B21" s="466">
        <f>'VNG Sheet'!AX30</f>
        <v>94074.35</v>
      </c>
      <c r="C21" s="625">
        <f t="shared" si="0"/>
        <v>16478.649999999994</v>
      </c>
      <c r="D21" s="16"/>
      <c r="E21" s="695">
        <v>2.4794</v>
      </c>
      <c r="F21" s="16"/>
      <c r="G21" s="308">
        <f t="shared" si="1"/>
        <v>40857.164809999987</v>
      </c>
      <c r="I21" s="294"/>
      <c r="J21" s="44"/>
    </row>
    <row r="22" spans="1:10">
      <c r="A22" s="248">
        <f t="shared" si="2"/>
        <v>37181</v>
      </c>
      <c r="B22" s="466">
        <f>'VNG Sheet'!AX31</f>
        <v>68504.350000000006</v>
      </c>
      <c r="C22" s="625">
        <f t="shared" si="0"/>
        <v>42048.649999999994</v>
      </c>
      <c r="D22" s="16"/>
      <c r="E22" s="695">
        <v>2.7852000000000001</v>
      </c>
      <c r="F22" s="16"/>
      <c r="G22" s="308">
        <f t="shared" si="1"/>
        <v>117113.89997999999</v>
      </c>
      <c r="I22" s="294"/>
      <c r="J22" s="44"/>
    </row>
    <row r="23" spans="1:10">
      <c r="A23" s="248">
        <f t="shared" si="2"/>
        <v>37182</v>
      </c>
      <c r="B23" s="466">
        <f>'VNG Sheet'!AX32</f>
        <v>51168.350000000006</v>
      </c>
      <c r="C23" s="625">
        <f t="shared" si="0"/>
        <v>59384.649999999994</v>
      </c>
      <c r="D23" s="16"/>
      <c r="E23" s="695">
        <v>2.956</v>
      </c>
      <c r="F23" s="16"/>
      <c r="G23" s="308">
        <f t="shared" si="1"/>
        <v>175541.02539999998</v>
      </c>
      <c r="I23" s="294"/>
      <c r="J23" s="44"/>
    </row>
    <row r="24" spans="1:10">
      <c r="A24" s="248">
        <f t="shared" si="2"/>
        <v>37183</v>
      </c>
      <c r="B24" s="466">
        <f>'VNG Sheet'!AX33</f>
        <v>82805.350000000006</v>
      </c>
      <c r="C24" s="625">
        <f t="shared" si="0"/>
        <v>27747.649999999994</v>
      </c>
      <c r="D24" s="16"/>
      <c r="E24" s="695">
        <v>2.6528</v>
      </c>
      <c r="F24" s="16"/>
      <c r="G24" s="308">
        <f t="shared" si="1"/>
        <v>73608.965919999988</v>
      </c>
      <c r="I24" s="294"/>
      <c r="J24" s="44"/>
    </row>
    <row r="25" spans="1:10">
      <c r="A25" s="248">
        <f t="shared" si="2"/>
        <v>37184</v>
      </c>
      <c r="B25" s="466">
        <f>'VNG Sheet'!AX34</f>
        <v>94741.35</v>
      </c>
      <c r="C25" s="625">
        <f t="shared" si="0"/>
        <v>15811.649999999994</v>
      </c>
      <c r="D25" s="16"/>
      <c r="E25" s="695">
        <v>2.5587</v>
      </c>
      <c r="F25" s="16"/>
      <c r="G25" s="308">
        <f t="shared" si="1"/>
        <v>40457.268854999988</v>
      </c>
      <c r="I25" s="294"/>
      <c r="J25" s="44"/>
    </row>
    <row r="26" spans="1:10">
      <c r="A26" s="248">
        <f t="shared" si="2"/>
        <v>37185</v>
      </c>
      <c r="B26" s="466">
        <f>'VNG Sheet'!AX35</f>
        <v>104109.35</v>
      </c>
      <c r="C26" s="625">
        <f t="shared" si="0"/>
        <v>6443.6499999999942</v>
      </c>
      <c r="D26" s="16"/>
      <c r="E26" s="695">
        <f>E25</f>
        <v>2.5587</v>
      </c>
      <c r="F26" s="16"/>
      <c r="G26" s="308">
        <f t="shared" si="1"/>
        <v>16487.367254999986</v>
      </c>
      <c r="I26" s="294"/>
      <c r="J26" s="44"/>
    </row>
    <row r="27" spans="1:10">
      <c r="A27" s="248">
        <f t="shared" si="2"/>
        <v>37186</v>
      </c>
      <c r="B27" s="466">
        <f>'VNG Sheet'!AX36</f>
        <v>100073.35</v>
      </c>
      <c r="C27" s="625">
        <f t="shared" si="0"/>
        <v>10479.649999999994</v>
      </c>
      <c r="D27" s="16"/>
      <c r="E27" s="695">
        <f>E26</f>
        <v>2.5587</v>
      </c>
      <c r="F27" s="16"/>
      <c r="G27" s="308">
        <f t="shared" si="1"/>
        <v>26814.280454999986</v>
      </c>
      <c r="I27" s="294"/>
      <c r="J27" s="44"/>
    </row>
    <row r="28" spans="1:10">
      <c r="A28" s="248">
        <f t="shared" si="2"/>
        <v>37187</v>
      </c>
      <c r="B28" s="466">
        <f>'VNG Sheet'!AX37</f>
        <v>101978.35</v>
      </c>
      <c r="C28" s="625">
        <f t="shared" si="0"/>
        <v>8574.6499999999942</v>
      </c>
      <c r="D28" s="16"/>
      <c r="E28" s="695">
        <v>2.8504999999999998</v>
      </c>
      <c r="F28" s="16"/>
      <c r="G28" s="308">
        <f t="shared" si="1"/>
        <v>24442.039824999982</v>
      </c>
      <c r="I28" s="294"/>
      <c r="J28" s="44"/>
    </row>
    <row r="29" spans="1:10">
      <c r="A29" s="248">
        <f t="shared" si="2"/>
        <v>37188</v>
      </c>
      <c r="B29" s="466">
        <f>'VNG Sheet'!AX38</f>
        <v>103383.35</v>
      </c>
      <c r="C29" s="625">
        <f t="shared" si="0"/>
        <v>7169.6499999999942</v>
      </c>
      <c r="D29" s="16"/>
      <c r="E29" s="695">
        <v>3.1013999999999999</v>
      </c>
      <c r="F29" s="16"/>
      <c r="G29" s="308">
        <f t="shared" si="1"/>
        <v>22235.952509999981</v>
      </c>
      <c r="I29" s="294"/>
      <c r="J29" s="44"/>
    </row>
    <row r="30" spans="1:10">
      <c r="A30" s="248">
        <f t="shared" si="2"/>
        <v>37189</v>
      </c>
      <c r="B30" s="466">
        <f>'VNG Sheet'!AX39</f>
        <v>99915.35</v>
      </c>
      <c r="C30" s="625">
        <f t="shared" si="0"/>
        <v>10637.649999999994</v>
      </c>
      <c r="D30" s="16"/>
      <c r="E30" s="695">
        <v>2.9687999999999999</v>
      </c>
      <c r="F30" s="16"/>
      <c r="G30" s="308">
        <f t="shared" si="1"/>
        <v>31581.055319999981</v>
      </c>
      <c r="I30" s="294"/>
      <c r="J30" s="44"/>
    </row>
    <row r="31" spans="1:10">
      <c r="A31" s="248">
        <f t="shared" si="2"/>
        <v>37190</v>
      </c>
      <c r="B31" s="466">
        <f>'VNG Sheet'!AX40</f>
        <v>60782.350000000006</v>
      </c>
      <c r="C31" s="625">
        <f t="shared" si="0"/>
        <v>49770.649999999994</v>
      </c>
      <c r="D31" s="16"/>
      <c r="E31" s="695">
        <v>3.5017999999999998</v>
      </c>
      <c r="F31" s="16"/>
      <c r="G31" s="308">
        <f t="shared" si="1"/>
        <v>174286.86216999998</v>
      </c>
      <c r="I31" s="294"/>
      <c r="J31" s="44"/>
    </row>
    <row r="32" spans="1:10">
      <c r="A32" s="248">
        <f t="shared" si="2"/>
        <v>37191</v>
      </c>
      <c r="B32" s="466">
        <f>'VNG Sheet'!AX41</f>
        <v>36193.350000000006</v>
      </c>
      <c r="C32" s="625">
        <f t="shared" si="0"/>
        <v>74359.649999999994</v>
      </c>
      <c r="D32" s="16"/>
      <c r="E32" s="695">
        <v>3.3961999999999999</v>
      </c>
      <c r="F32" s="16"/>
      <c r="G32" s="308">
        <f t="shared" si="1"/>
        <v>252540.24332999997</v>
      </c>
      <c r="I32" s="294"/>
      <c r="J32" s="44"/>
    </row>
    <row r="33" spans="1:10">
      <c r="A33" s="248">
        <f t="shared" si="2"/>
        <v>37192</v>
      </c>
      <c r="B33" s="466">
        <f>'VNG Sheet'!AX42</f>
        <v>31072.350000000006</v>
      </c>
      <c r="C33" s="625">
        <f t="shared" si="0"/>
        <v>79480.649999999994</v>
      </c>
      <c r="D33" s="16"/>
      <c r="E33" s="695">
        <f>E32</f>
        <v>3.3961999999999999</v>
      </c>
      <c r="F33" s="16"/>
      <c r="G33" s="308">
        <f t="shared" si="1"/>
        <v>269932.18352999998</v>
      </c>
      <c r="I33" s="294"/>
      <c r="J33" s="44"/>
    </row>
    <row r="34" spans="1:10">
      <c r="A34" s="248">
        <f>A33+1</f>
        <v>37193</v>
      </c>
      <c r="B34" s="466">
        <f>'VNG Sheet'!AX43</f>
        <v>37549.350000000006</v>
      </c>
      <c r="C34" s="625">
        <f t="shared" si="0"/>
        <v>73003.649999999994</v>
      </c>
      <c r="D34" s="16"/>
      <c r="E34" s="695">
        <f>E33</f>
        <v>3.3961999999999999</v>
      </c>
      <c r="F34" s="16"/>
      <c r="G34" s="308">
        <f>C34*E34</f>
        <v>247934.99612999998</v>
      </c>
      <c r="I34" s="294"/>
      <c r="J34" s="44"/>
    </row>
    <row r="35" spans="1:10">
      <c r="A35" s="248">
        <f>A34+1</f>
        <v>37194</v>
      </c>
      <c r="B35" s="466">
        <f>'VNG Sheet'!AX44</f>
        <v>64052.350000000006</v>
      </c>
      <c r="C35" s="625">
        <f t="shared" si="0"/>
        <v>46500.649999999994</v>
      </c>
      <c r="D35" s="16"/>
      <c r="E35" s="695">
        <v>3.5623</v>
      </c>
      <c r="F35" s="16"/>
      <c r="G35" s="308">
        <f>C35*E35</f>
        <v>165649.26549499997</v>
      </c>
      <c r="I35" s="294"/>
      <c r="J35" s="44"/>
    </row>
    <row r="36" spans="1:10">
      <c r="A36" s="248">
        <f>A35+1</f>
        <v>37195</v>
      </c>
      <c r="B36" s="466">
        <f>'VNG Sheet'!AX45</f>
        <v>104676.35</v>
      </c>
      <c r="C36" s="625">
        <f t="shared" si="0"/>
        <v>5876.6499999999942</v>
      </c>
      <c r="D36" s="16"/>
      <c r="E36" s="695">
        <v>3.4022999999999999</v>
      </c>
      <c r="F36" s="16"/>
      <c r="G36" s="308">
        <f>C36*E36</f>
        <v>19994.12629499998</v>
      </c>
      <c r="I36" s="294"/>
      <c r="J36" s="44"/>
    </row>
    <row r="37" spans="1:10">
      <c r="B37" s="463" t="s">
        <v>274</v>
      </c>
    </row>
    <row r="38" spans="1:10">
      <c r="B38" s="467" t="s">
        <v>275</v>
      </c>
      <c r="C38" s="310"/>
      <c r="H38" s="295"/>
      <c r="I38" s="295"/>
      <c r="J38" s="295"/>
    </row>
    <row r="39" spans="1:10">
      <c r="B39" s="16"/>
      <c r="C39" s="335">
        <f>SUM(C6:C36)</f>
        <v>766213.15000000026</v>
      </c>
      <c r="D39" s="336"/>
      <c r="E39" s="367">
        <f>G39/C39</f>
        <v>2.9264808077882751</v>
      </c>
      <c r="F39" s="337"/>
      <c r="G39" s="338">
        <f>SUM(G6:G36)</f>
        <v>2242308.0781499995</v>
      </c>
    </row>
  </sheetData>
  <phoneticPr fontId="0" type="noConversion"/>
  <pageMargins left="0.26" right="0.23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3"/>
  <sheetViews>
    <sheetView zoomScale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8" sqref="B8"/>
    </sheetView>
  </sheetViews>
  <sheetFormatPr defaultColWidth="16.140625" defaultRowHeight="12.75"/>
  <cols>
    <col min="1" max="1" width="24.140625" style="1" customWidth="1"/>
    <col min="2" max="2" width="20.85546875" style="284" customWidth="1"/>
    <col min="3" max="4" width="16.140625" style="1" customWidth="1"/>
    <col min="5" max="6" width="19.42578125" style="1" customWidth="1"/>
    <col min="7" max="8" width="16.140625" style="1" customWidth="1"/>
    <col min="9" max="9" width="18" style="1" customWidth="1"/>
    <col min="10" max="12" width="16.140625" style="1" customWidth="1"/>
    <col min="13" max="15" width="17.7109375" style="1" customWidth="1"/>
    <col min="16" max="16384" width="16.140625" style="1"/>
  </cols>
  <sheetData>
    <row r="2" spans="1:16">
      <c r="A2" s="2"/>
    </row>
    <row r="3" spans="1:16">
      <c r="A3" s="2" t="s">
        <v>166</v>
      </c>
    </row>
    <row r="6" spans="1:16">
      <c r="C6" s="3" t="s">
        <v>167</v>
      </c>
    </row>
    <row r="7" spans="1:16" ht="13.5" thickBot="1">
      <c r="C7" s="3"/>
      <c r="G7" s="3"/>
    </row>
    <row r="8" spans="1:16" ht="14.25" thickTop="1" thickBot="1">
      <c r="A8" s="3"/>
      <c r="B8" s="766">
        <f>P19</f>
        <v>5.6338282368276454E-2</v>
      </c>
      <c r="C8" s="3" t="s">
        <v>23</v>
      </c>
      <c r="F8" s="3" t="s">
        <v>168</v>
      </c>
      <c r="H8" s="3"/>
      <c r="I8" s="3"/>
      <c r="J8" s="3" t="s">
        <v>169</v>
      </c>
      <c r="L8" s="3"/>
      <c r="M8" s="3"/>
      <c r="N8" s="3"/>
      <c r="O8" s="3"/>
    </row>
    <row r="9" spans="1:16" ht="13.5" thickTop="1"/>
    <row r="10" spans="1:16" ht="51">
      <c r="A10" s="2" t="s">
        <v>170</v>
      </c>
      <c r="B10" s="285" t="s">
        <v>171</v>
      </c>
      <c r="C10" s="4" t="s">
        <v>24</v>
      </c>
      <c r="D10" s="4" t="s">
        <v>25</v>
      </c>
      <c r="E10" s="4" t="s">
        <v>45</v>
      </c>
      <c r="F10" s="14" t="s">
        <v>28</v>
      </c>
      <c r="G10" s="4" t="s">
        <v>7</v>
      </c>
      <c r="H10" s="4" t="s">
        <v>8</v>
      </c>
      <c r="I10" s="4" t="s">
        <v>45</v>
      </c>
      <c r="J10" s="14" t="s">
        <v>28</v>
      </c>
      <c r="K10" s="4" t="s">
        <v>7</v>
      </c>
      <c r="L10" s="4" t="s">
        <v>8</v>
      </c>
      <c r="M10" s="4" t="s">
        <v>45</v>
      </c>
      <c r="N10" s="4" t="s">
        <v>172</v>
      </c>
      <c r="O10" s="4" t="s">
        <v>173</v>
      </c>
      <c r="P10" s="4" t="s">
        <v>174</v>
      </c>
    </row>
    <row r="11" spans="1:16">
      <c r="A11" s="1" t="s">
        <v>175</v>
      </c>
      <c r="B11" s="284">
        <v>100000</v>
      </c>
      <c r="C11" s="6">
        <v>0</v>
      </c>
      <c r="D11" s="7">
        <v>0</v>
      </c>
      <c r="E11" s="286">
        <f t="shared" ref="E11:E17" si="0">+C11/(1-D11)</f>
        <v>0</v>
      </c>
      <c r="F11" s="15" t="s">
        <v>38</v>
      </c>
      <c r="G11" s="6">
        <f>0.0434+0.0022+0.0072</f>
        <v>5.28E-2</v>
      </c>
      <c r="H11" s="7">
        <v>2.2800000000000001E-2</v>
      </c>
      <c r="I11" s="286">
        <f t="shared" ref="I11:I17" si="1">+(G11+E11)/(1-H11)</f>
        <v>5.4031927957429393E-2</v>
      </c>
      <c r="J11" s="15" t="s">
        <v>39</v>
      </c>
      <c r="K11" s="6">
        <v>0</v>
      </c>
      <c r="L11" s="7">
        <v>2.5000000000000001E-3</v>
      </c>
      <c r="M11" s="286">
        <f t="shared" ref="M11:M17" si="2">+(K11+I11)/(1-L11)</f>
        <v>5.4167346323237484E-2</v>
      </c>
      <c r="N11" s="287">
        <f t="shared" ref="N11:N17" si="3">+B11*(1-D11)*(1-H11)*(1-L11)</f>
        <v>97475.700000000012</v>
      </c>
      <c r="O11" s="288">
        <f t="shared" ref="O11:O17" si="4">+N11/$N$19</f>
        <v>1.2449168085201322E-2</v>
      </c>
      <c r="P11" s="286">
        <f t="shared" ref="P11:P17" si="5">+O11*M11</f>
        <v>6.7433839910729519E-4</v>
      </c>
    </row>
    <row r="12" spans="1:16">
      <c r="A12" s="1" t="s">
        <v>176</v>
      </c>
      <c r="B12" s="284">
        <v>2791000</v>
      </c>
      <c r="C12" s="6">
        <v>2.7799999999999998E-2</v>
      </c>
      <c r="D12" s="7">
        <v>2.7799999999999998E-2</v>
      </c>
      <c r="E12" s="286">
        <f t="shared" si="0"/>
        <v>2.8594939312898582E-2</v>
      </c>
      <c r="F12" s="15" t="s">
        <v>38</v>
      </c>
      <c r="G12" s="6">
        <f>0.0434+0.0022+0.0072</f>
        <v>5.28E-2</v>
      </c>
      <c r="H12" s="7">
        <v>2.2800000000000001E-2</v>
      </c>
      <c r="I12" s="286">
        <f t="shared" si="1"/>
        <v>8.3294043504808207E-2</v>
      </c>
      <c r="J12" s="15" t="s">
        <v>39</v>
      </c>
      <c r="K12" s="6">
        <v>0</v>
      </c>
      <c r="L12" s="7">
        <v>2.5000000000000001E-3</v>
      </c>
      <c r="M12" s="286">
        <f t="shared" si="2"/>
        <v>8.350280050607338E-2</v>
      </c>
      <c r="N12" s="287">
        <f t="shared" si="3"/>
        <v>2644915.5863214</v>
      </c>
      <c r="O12" s="288">
        <f t="shared" si="4"/>
        <v>0.33779699663899732</v>
      </c>
      <c r="P12" s="286">
        <f t="shared" si="5"/>
        <v>2.8206995221896933E-2</v>
      </c>
    </row>
    <row r="13" spans="1:16">
      <c r="A13" s="1" t="s">
        <v>177</v>
      </c>
      <c r="B13" s="284">
        <v>761250</v>
      </c>
      <c r="C13" s="6">
        <v>2.7799999999999998E-2</v>
      </c>
      <c r="D13" s="7">
        <v>2.7799999999999998E-2</v>
      </c>
      <c r="E13" s="286">
        <f t="shared" si="0"/>
        <v>2.8594939312898582E-2</v>
      </c>
      <c r="F13" s="15" t="s">
        <v>38</v>
      </c>
      <c r="G13" s="6">
        <f>0.0434+0.0022+0.0072</f>
        <v>5.28E-2</v>
      </c>
      <c r="H13" s="7">
        <v>2.2800000000000001E-2</v>
      </c>
      <c r="I13" s="286">
        <f t="shared" si="1"/>
        <v>8.3294043504808207E-2</v>
      </c>
      <c r="J13" s="15" t="s">
        <v>39</v>
      </c>
      <c r="K13" s="6">
        <v>0</v>
      </c>
      <c r="L13" s="7">
        <v>2.5000000000000001E-3</v>
      </c>
      <c r="M13" s="286">
        <f t="shared" si="2"/>
        <v>8.350280050607338E-2</v>
      </c>
      <c r="N13" s="287">
        <f t="shared" si="3"/>
        <v>721405.22754825</v>
      </c>
      <c r="O13" s="288">
        <f t="shared" si="4"/>
        <v>9.2134705729644106E-2</v>
      </c>
      <c r="P13" s="286">
        <f t="shared" si="5"/>
        <v>7.6935059522282474E-3</v>
      </c>
    </row>
    <row r="14" spans="1:16">
      <c r="A14" s="1" t="s">
        <v>178</v>
      </c>
      <c r="B14" s="284">
        <v>2848655</v>
      </c>
      <c r="C14" s="6">
        <v>1.5299999999999999E-2</v>
      </c>
      <c r="D14" s="7">
        <v>0</v>
      </c>
      <c r="E14" s="286">
        <f t="shared" si="0"/>
        <v>1.5299999999999999E-2</v>
      </c>
      <c r="F14" s="15" t="s">
        <v>44</v>
      </c>
      <c r="G14" s="6">
        <f>0.0132+0.0022+0.0072</f>
        <v>2.2600000000000002E-2</v>
      </c>
      <c r="H14" s="10">
        <v>2.1839999999999998E-2</v>
      </c>
      <c r="I14" s="286">
        <f t="shared" si="1"/>
        <v>3.874621738774843E-2</v>
      </c>
      <c r="J14" s="15"/>
      <c r="K14" s="6">
        <v>0</v>
      </c>
      <c r="L14" s="7">
        <v>0</v>
      </c>
      <c r="M14" s="286">
        <f t="shared" si="2"/>
        <v>3.874621738774843E-2</v>
      </c>
      <c r="N14" s="287">
        <f t="shared" si="3"/>
        <v>2786440.3747999999</v>
      </c>
      <c r="O14" s="288">
        <f t="shared" si="4"/>
        <v>0.35587192074821278</v>
      </c>
      <c r="P14" s="286">
        <f t="shared" si="5"/>
        <v>1.3788690803505834E-2</v>
      </c>
    </row>
    <row r="15" spans="1:16">
      <c r="A15" s="1" t="s">
        <v>179</v>
      </c>
      <c r="B15" s="284">
        <v>731250</v>
      </c>
      <c r="C15" s="6">
        <v>1.5299999999999999E-2</v>
      </c>
      <c r="D15" s="7">
        <v>0</v>
      </c>
      <c r="E15" s="286">
        <f t="shared" si="0"/>
        <v>1.5299999999999999E-2</v>
      </c>
      <c r="F15" s="15" t="s">
        <v>180</v>
      </c>
      <c r="G15" s="6">
        <f>0.0132+0.0022</f>
        <v>1.54E-2</v>
      </c>
      <c r="H15" s="10">
        <v>2.1839999999999998E-2</v>
      </c>
      <c r="I15" s="286">
        <f t="shared" si="1"/>
        <v>3.1385458411711781E-2</v>
      </c>
      <c r="J15" s="15" t="s">
        <v>181</v>
      </c>
      <c r="K15" s="6">
        <f>0.0189+0.0022+0.0072</f>
        <v>2.8299999999999999E-2</v>
      </c>
      <c r="L15" s="7">
        <v>1.5299999999999999E-2</v>
      </c>
      <c r="M15" s="286">
        <f t="shared" si="2"/>
        <v>6.0612834783905535E-2</v>
      </c>
      <c r="N15" s="287">
        <f t="shared" si="3"/>
        <v>704335.72365000006</v>
      </c>
      <c r="O15" s="288">
        <f t="shared" si="4"/>
        <v>8.9954663697011231E-2</v>
      </c>
      <c r="P15" s="286">
        <f t="shared" si="5"/>
        <v>5.4524071687087269E-3</v>
      </c>
    </row>
    <row r="16" spans="1:16">
      <c r="A16" s="1" t="s">
        <v>21</v>
      </c>
      <c r="B16" s="284">
        <v>778500</v>
      </c>
      <c r="C16" s="6">
        <v>0</v>
      </c>
      <c r="D16" s="7">
        <v>0</v>
      </c>
      <c r="E16" s="286">
        <f t="shared" si="0"/>
        <v>0</v>
      </c>
      <c r="F16" s="15"/>
      <c r="G16" s="6">
        <v>0</v>
      </c>
      <c r="H16" s="7">
        <v>0</v>
      </c>
      <c r="I16" s="286">
        <f t="shared" si="1"/>
        <v>0</v>
      </c>
      <c r="J16" s="15"/>
      <c r="K16" s="6">
        <v>0</v>
      </c>
      <c r="L16" s="7">
        <v>0</v>
      </c>
      <c r="M16" s="286">
        <f t="shared" si="2"/>
        <v>0</v>
      </c>
      <c r="N16" s="287">
        <f t="shared" si="3"/>
        <v>778500</v>
      </c>
      <c r="O16" s="288">
        <f t="shared" si="4"/>
        <v>9.9426599186558579E-2</v>
      </c>
      <c r="P16" s="286">
        <f t="shared" si="5"/>
        <v>0</v>
      </c>
    </row>
    <row r="17" spans="1:16">
      <c r="A17" s="1" t="s">
        <v>22</v>
      </c>
      <c r="B17" s="284">
        <v>98790</v>
      </c>
      <c r="C17" s="6">
        <v>4.1399999999999999E-2</v>
      </c>
      <c r="D17" s="7">
        <v>0</v>
      </c>
      <c r="E17" s="286">
        <f t="shared" si="0"/>
        <v>4.1399999999999999E-2</v>
      </c>
      <c r="F17" s="15" t="s">
        <v>42</v>
      </c>
      <c r="G17" s="6">
        <v>0</v>
      </c>
      <c r="H17" s="7">
        <v>0.01</v>
      </c>
      <c r="I17" s="286">
        <f t="shared" si="1"/>
        <v>4.1818181818181817E-2</v>
      </c>
      <c r="J17" s="15"/>
      <c r="K17" s="6">
        <v>0</v>
      </c>
      <c r="L17" s="7">
        <v>0.01</v>
      </c>
      <c r="M17" s="286">
        <f t="shared" si="2"/>
        <v>4.2240587695133149E-2</v>
      </c>
      <c r="N17" s="287">
        <f t="shared" si="3"/>
        <v>96824.078999999998</v>
      </c>
      <c r="O17" s="288">
        <f t="shared" si="4"/>
        <v>1.2365945914374673E-2</v>
      </c>
      <c r="P17" s="286">
        <f t="shared" si="5"/>
        <v>5.223448228294168E-4</v>
      </c>
    </row>
    <row r="18" spans="1:16">
      <c r="C18" s="6"/>
      <c r="D18" s="7"/>
      <c r="E18" s="7"/>
      <c r="F18" s="7"/>
      <c r="G18" s="289"/>
      <c r="H18" s="6"/>
      <c r="I18" s="6"/>
      <c r="J18" s="6"/>
      <c r="K18" s="289"/>
      <c r="L18" s="6"/>
      <c r="M18" s="6"/>
      <c r="N18" s="6"/>
      <c r="O18" s="6"/>
    </row>
    <row r="19" spans="1:16">
      <c r="B19" s="284">
        <f>SUM(B11:B17)</f>
        <v>8109445</v>
      </c>
      <c r="C19" s="6"/>
      <c r="D19" s="7"/>
      <c r="E19" s="7"/>
      <c r="F19" s="7"/>
      <c r="G19" s="289"/>
      <c r="H19" s="6"/>
      <c r="I19" s="6"/>
      <c r="J19" s="6"/>
      <c r="K19" s="7"/>
      <c r="L19" s="289"/>
      <c r="M19" s="289"/>
      <c r="N19" s="284">
        <f>SUM(N11:N17)</f>
        <v>7829896.69131965</v>
      </c>
      <c r="O19" s="288">
        <f>+N19/$N$19</f>
        <v>1</v>
      </c>
      <c r="P19" s="342">
        <f>SUM(P11:P17)</f>
        <v>5.6338282368276454E-2</v>
      </c>
    </row>
    <row r="20" spans="1:16">
      <c r="C20" s="6"/>
      <c r="D20" s="7"/>
      <c r="E20" s="7"/>
      <c r="F20" s="7"/>
      <c r="G20" s="289"/>
      <c r="H20" s="6"/>
      <c r="I20" s="6"/>
      <c r="J20" s="6"/>
      <c r="K20" s="7"/>
      <c r="L20" s="289"/>
      <c r="M20" s="289"/>
      <c r="N20" s="289"/>
      <c r="O20" s="289"/>
    </row>
    <row r="22" spans="1:16">
      <c r="B22" s="290" t="s">
        <v>182</v>
      </c>
      <c r="N22" s="303">
        <f>'VNG Sheet'!AR47</f>
        <v>0</v>
      </c>
      <c r="O22" s="304"/>
      <c r="P22" s="334">
        <f>P19*N22</f>
        <v>0</v>
      </c>
    </row>
    <row r="23" spans="1:16">
      <c r="B23" s="1"/>
    </row>
  </sheetData>
  <phoneticPr fontId="0" type="noConversion"/>
  <pageMargins left="0.75" right="0.75" top="1" bottom="1" header="0.5" footer="0.5"/>
  <pageSetup paperSize="5" scale="57" orientation="landscape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zoomScale="70" workbookViewId="0">
      <selection activeCell="D24" sqref="D24"/>
    </sheetView>
  </sheetViews>
  <sheetFormatPr defaultRowHeight="12.75"/>
  <cols>
    <col min="1" max="1" width="2.42578125" customWidth="1"/>
    <col min="2" max="2" width="21" customWidth="1"/>
    <col min="3" max="3" width="14" customWidth="1"/>
    <col min="4" max="4" width="17.5703125" customWidth="1"/>
    <col min="5" max="5" width="19.140625" customWidth="1"/>
    <col min="6" max="6" width="18" customWidth="1"/>
    <col min="7" max="7" width="14.5703125" bestFit="1" customWidth="1"/>
    <col min="8" max="8" width="13.28515625" customWidth="1"/>
    <col min="9" max="9" width="8.5703125" customWidth="1"/>
    <col min="10" max="10" width="13.28515625" customWidth="1"/>
    <col min="11" max="11" width="18.42578125" customWidth="1"/>
    <col min="12" max="12" width="16.140625" customWidth="1"/>
    <col min="13" max="13" width="17.42578125" bestFit="1" customWidth="1"/>
    <col min="14" max="14" width="11.5703125" customWidth="1"/>
    <col min="15" max="15" width="10.7109375" customWidth="1"/>
    <col min="16" max="16" width="13.5703125" customWidth="1"/>
  </cols>
  <sheetData>
    <row r="1" spans="1:17" ht="15">
      <c r="A1" s="325" t="s">
        <v>59</v>
      </c>
      <c r="B1" s="324"/>
      <c r="C1" s="812" t="s">
        <v>334</v>
      </c>
      <c r="D1" s="813"/>
      <c r="E1" s="813"/>
      <c r="F1" s="813"/>
      <c r="G1" s="813"/>
      <c r="H1" s="814"/>
      <c r="K1" s="812" t="s">
        <v>335</v>
      </c>
      <c r="L1" s="813"/>
      <c r="M1" s="813"/>
      <c r="N1" s="813"/>
      <c r="O1" s="813"/>
      <c r="P1" s="814"/>
    </row>
    <row r="2" spans="1:17">
      <c r="A2" s="11"/>
    </row>
    <row r="3" spans="1:17">
      <c r="A3" s="11" t="s">
        <v>188</v>
      </c>
      <c r="C3" s="322">
        <v>92379</v>
      </c>
      <c r="D3" s="323">
        <v>3096287</v>
      </c>
      <c r="E3" s="323">
        <v>3041466</v>
      </c>
      <c r="F3" s="323">
        <v>716976</v>
      </c>
      <c r="G3" s="597">
        <v>52732</v>
      </c>
      <c r="H3" s="696">
        <f>SUM(C3:G3)</f>
        <v>6999840</v>
      </c>
      <c r="I3" s="626"/>
      <c r="K3" s="322">
        <f>C3</f>
        <v>92379</v>
      </c>
      <c r="L3" s="322">
        <f>D3</f>
        <v>3096287</v>
      </c>
      <c r="M3" s="322">
        <f>E3</f>
        <v>3041466</v>
      </c>
      <c r="N3" s="322">
        <f>F3</f>
        <v>716976</v>
      </c>
      <c r="O3" s="322">
        <f>G3</f>
        <v>52732</v>
      </c>
      <c r="P3" s="696">
        <f>SUM(K3:O3)</f>
        <v>6999840</v>
      </c>
    </row>
    <row r="4" spans="1:17">
      <c r="A4" s="11"/>
      <c r="B4" s="516">
        <v>37164</v>
      </c>
      <c r="C4" s="33"/>
      <c r="D4" s="33"/>
      <c r="E4" s="33"/>
      <c r="F4" s="33"/>
      <c r="G4" s="33"/>
      <c r="H4" s="33"/>
      <c r="I4" s="674"/>
      <c r="J4" s="516"/>
      <c r="Q4" s="16"/>
    </row>
    <row r="5" spans="1:17">
      <c r="A5" s="11"/>
      <c r="Q5" s="16"/>
    </row>
    <row r="6" spans="1:17">
      <c r="B6" s="13" t="s">
        <v>173</v>
      </c>
      <c r="C6" s="326">
        <f>'Strg WD - Tier 3'!O11</f>
        <v>1.2449168085201322E-2</v>
      </c>
      <c r="D6" s="327">
        <f>'Strg WD - Tier 3'!O12+'Strg WD - Tier 3'!O13</f>
        <v>0.42993170236864142</v>
      </c>
      <c r="E6" s="327">
        <f>'Strg WD - Tier 3'!O14+'Strg WD - Tier 3'!O15</f>
        <v>0.44582658444522399</v>
      </c>
      <c r="F6" s="327">
        <f>'Strg WD - Tier 3'!O16</f>
        <v>9.9426599186558579E-2</v>
      </c>
      <c r="G6" s="327">
        <f>'Strg WD - Tier 3'!O17</f>
        <v>1.2365945914374673E-2</v>
      </c>
      <c r="H6" s="328">
        <f>SUM(C6:G6)</f>
        <v>1</v>
      </c>
      <c r="I6" s="627"/>
      <c r="J6" s="13" t="s">
        <v>173</v>
      </c>
      <c r="K6" s="326">
        <f>C6</f>
        <v>1.2449168085201322E-2</v>
      </c>
      <c r="L6" s="326">
        <f>D6</f>
        <v>0.42993170236864142</v>
      </c>
      <c r="M6" s="326">
        <f>E6</f>
        <v>0.44582658444522399</v>
      </c>
      <c r="N6" s="326">
        <f>F6</f>
        <v>9.9426599186558579E-2</v>
      </c>
      <c r="O6" s="326">
        <f>G6</f>
        <v>1.2365945914374673E-2</v>
      </c>
      <c r="P6" s="328">
        <f>SUM(K6:O6)</f>
        <v>1</v>
      </c>
      <c r="Q6" s="16"/>
    </row>
    <row r="7" spans="1:17" ht="27" customHeight="1">
      <c r="A7" s="11"/>
      <c r="C7" s="319" t="s">
        <v>175</v>
      </c>
      <c r="D7" s="319" t="s">
        <v>189</v>
      </c>
      <c r="E7" s="320" t="s">
        <v>190</v>
      </c>
      <c r="F7" s="319" t="s">
        <v>21</v>
      </c>
      <c r="G7" s="319" t="s">
        <v>22</v>
      </c>
      <c r="H7" s="319" t="s">
        <v>332</v>
      </c>
      <c r="I7" s="628"/>
      <c r="K7" s="319" t="s">
        <v>175</v>
      </c>
      <c r="L7" s="319" t="s">
        <v>189</v>
      </c>
      <c r="M7" s="320" t="s">
        <v>190</v>
      </c>
      <c r="N7" s="319" t="s">
        <v>21</v>
      </c>
      <c r="O7" s="319" t="s">
        <v>22</v>
      </c>
      <c r="P7" s="319" t="s">
        <v>342</v>
      </c>
      <c r="Q7" s="16"/>
    </row>
    <row r="8" spans="1:17">
      <c r="A8" s="221"/>
      <c r="B8" s="17">
        <v>37165</v>
      </c>
      <c r="C8" s="316">
        <f>'Strg Refill Quantity'!$I$34/30</f>
        <v>272.31666666666666</v>
      </c>
      <c r="D8" s="316">
        <f>'Strg Refill Quantity'!$I$36/30</f>
        <v>9941.4694444444431</v>
      </c>
      <c r="E8" s="656">
        <f>'Strg Refill Quantity'!$I$38/30</f>
        <v>12837.709722222224</v>
      </c>
      <c r="F8" s="654">
        <f>'Strg Refill Quantity'!$I$40/30</f>
        <v>2196.8000000000002</v>
      </c>
      <c r="G8" s="652">
        <f>'Strg Refill Quantity'!$I$42/30</f>
        <v>58.416666666666664</v>
      </c>
      <c r="H8" s="650">
        <f>SUM(C8:G8)</f>
        <v>25306.712500000001</v>
      </c>
      <c r="I8" s="603"/>
      <c r="J8" s="17">
        <f>B8</f>
        <v>37165</v>
      </c>
      <c r="K8" s="316"/>
      <c r="L8" s="316"/>
      <c r="M8" s="599"/>
      <c r="N8" s="598"/>
      <c r="O8" s="601"/>
      <c r="P8" s="604">
        <f>'VNG Sheet'!AR15</f>
        <v>0</v>
      </c>
      <c r="Q8" s="16"/>
    </row>
    <row r="9" spans="1:17">
      <c r="A9" s="221"/>
      <c r="B9" s="17">
        <f t="shared" ref="B9:B35" si="0">B8+1</f>
        <v>37166</v>
      </c>
      <c r="C9" s="221">
        <f>'Strg Refill Quantity'!$I$34/30</f>
        <v>272.31666666666666</v>
      </c>
      <c r="D9" s="221">
        <f>'Strg Refill Quantity'!$I$36/30</f>
        <v>9941.4694444444431</v>
      </c>
      <c r="E9" s="657">
        <f>'Strg Refill Quantity'!$I$38/30</f>
        <v>12837.709722222224</v>
      </c>
      <c r="F9" s="655">
        <f>'Strg Refill Quantity'!$I$40/30</f>
        <v>2196.8000000000002</v>
      </c>
      <c r="G9" s="653">
        <f>'Strg Refill Quantity'!$I$42/30</f>
        <v>58.416666666666664</v>
      </c>
      <c r="H9" s="651">
        <f t="shared" ref="H9:H37" si="1">SUM(C9:G9)</f>
        <v>25306.712500000001</v>
      </c>
      <c r="I9" s="603"/>
      <c r="J9" s="17">
        <f t="shared" ref="J9:J35" si="2">J8+1</f>
        <v>37166</v>
      </c>
      <c r="K9" s="221"/>
      <c r="L9" s="221"/>
      <c r="M9" s="600"/>
      <c r="N9" s="317"/>
      <c r="O9" s="602"/>
      <c r="P9" s="604">
        <f>'VNG Sheet'!AR16</f>
        <v>0</v>
      </c>
      <c r="Q9" s="16"/>
    </row>
    <row r="10" spans="1:17">
      <c r="A10" s="221"/>
      <c r="B10" s="17">
        <f t="shared" si="0"/>
        <v>37167</v>
      </c>
      <c r="C10" s="221">
        <f>'Strg Refill Quantity'!$I$34/30</f>
        <v>272.31666666666666</v>
      </c>
      <c r="D10" s="221">
        <f>'Strg Refill Quantity'!$I$36/30</f>
        <v>9941.4694444444431</v>
      </c>
      <c r="E10" s="657">
        <f>'Strg Refill Quantity'!$I$38/30</f>
        <v>12837.709722222224</v>
      </c>
      <c r="F10" s="655">
        <f>'Strg Refill Quantity'!$I$40/30</f>
        <v>2196.8000000000002</v>
      </c>
      <c r="G10" s="653">
        <f>'Strg Refill Quantity'!$I$42/30</f>
        <v>58.416666666666664</v>
      </c>
      <c r="H10" s="651">
        <f t="shared" si="1"/>
        <v>25306.712500000001</v>
      </c>
      <c r="I10" s="603"/>
      <c r="J10" s="17">
        <f t="shared" si="2"/>
        <v>37167</v>
      </c>
      <c r="K10" s="221"/>
      <c r="L10" s="221"/>
      <c r="M10" s="600"/>
      <c r="N10" s="317"/>
      <c r="O10" s="602"/>
      <c r="P10" s="604">
        <f>'VNG Sheet'!AR17</f>
        <v>0</v>
      </c>
      <c r="Q10" s="16"/>
    </row>
    <row r="11" spans="1:17">
      <c r="A11" s="221"/>
      <c r="B11" s="17">
        <f t="shared" si="0"/>
        <v>37168</v>
      </c>
      <c r="C11" s="221">
        <f>'Strg Refill Quantity'!$I$34/30</f>
        <v>272.31666666666666</v>
      </c>
      <c r="D11" s="221">
        <f>'Strg Refill Quantity'!$I$36/30</f>
        <v>9941.4694444444431</v>
      </c>
      <c r="E11" s="657">
        <f>'Strg Refill Quantity'!$I$38/30</f>
        <v>12837.709722222224</v>
      </c>
      <c r="F11" s="655">
        <f>'Strg Refill Quantity'!$I$40/30</f>
        <v>2196.8000000000002</v>
      </c>
      <c r="G11" s="653">
        <f>'Strg Refill Quantity'!$I$42/30</f>
        <v>58.416666666666664</v>
      </c>
      <c r="H11" s="651">
        <f t="shared" si="1"/>
        <v>25306.712500000001</v>
      </c>
      <c r="I11" s="603"/>
      <c r="J11" s="17">
        <f t="shared" si="2"/>
        <v>37168</v>
      </c>
      <c r="K11" s="221"/>
      <c r="L11" s="221"/>
      <c r="M11" s="600"/>
      <c r="N11" s="317"/>
      <c r="O11" s="602"/>
      <c r="P11" s="604">
        <f>'VNG Sheet'!AR18</f>
        <v>0</v>
      </c>
      <c r="Q11" s="16"/>
    </row>
    <row r="12" spans="1:17">
      <c r="A12" s="221"/>
      <c r="B12" s="17">
        <f t="shared" si="0"/>
        <v>37169</v>
      </c>
      <c r="C12" s="221">
        <f>'Strg Refill Quantity'!$I$34/30</f>
        <v>272.31666666666666</v>
      </c>
      <c r="D12" s="221">
        <f>'Strg Refill Quantity'!$I$36/30</f>
        <v>9941.4694444444431</v>
      </c>
      <c r="E12" s="657">
        <f>'Strg Refill Quantity'!$I$38/30</f>
        <v>12837.709722222224</v>
      </c>
      <c r="F12" s="655">
        <f>'Strg Refill Quantity'!$I$40/30</f>
        <v>2196.8000000000002</v>
      </c>
      <c r="G12" s="653">
        <f>'Strg Refill Quantity'!$I$42/30</f>
        <v>58.416666666666664</v>
      </c>
      <c r="H12" s="651">
        <f t="shared" si="1"/>
        <v>25306.712500000001</v>
      </c>
      <c r="I12" s="603"/>
      <c r="J12" s="17">
        <f t="shared" si="2"/>
        <v>37169</v>
      </c>
      <c r="K12" s="221"/>
      <c r="L12" s="221"/>
      <c r="M12" s="600"/>
      <c r="N12" s="317"/>
      <c r="O12" s="602"/>
      <c r="P12" s="604">
        <f>'VNG Sheet'!AR19</f>
        <v>0</v>
      </c>
      <c r="Q12" s="16"/>
    </row>
    <row r="13" spans="1:17">
      <c r="A13" s="221"/>
      <c r="B13" s="17">
        <f t="shared" si="0"/>
        <v>37170</v>
      </c>
      <c r="C13" s="221">
        <f>'Strg Refill Quantity'!$I$34/30</f>
        <v>272.31666666666666</v>
      </c>
      <c r="D13" s="221">
        <f>'Strg Refill Quantity'!$I$36/30</f>
        <v>9941.4694444444431</v>
      </c>
      <c r="E13" s="657">
        <f>'Strg Refill Quantity'!$I$38/30</f>
        <v>12837.709722222224</v>
      </c>
      <c r="F13" s="655">
        <f>'Strg Refill Quantity'!$I$40/30</f>
        <v>2196.8000000000002</v>
      </c>
      <c r="G13" s="653">
        <f>'Strg Refill Quantity'!$I$42/30</f>
        <v>58.416666666666664</v>
      </c>
      <c r="H13" s="651">
        <f t="shared" si="1"/>
        <v>25306.712500000001</v>
      </c>
      <c r="I13" s="603"/>
      <c r="J13" s="17">
        <f t="shared" si="2"/>
        <v>37170</v>
      </c>
      <c r="K13" s="221"/>
      <c r="L13" s="221"/>
      <c r="M13" s="600"/>
      <c r="N13" s="317"/>
      <c r="O13" s="602"/>
      <c r="P13" s="604">
        <f>'VNG Sheet'!AR20</f>
        <v>0</v>
      </c>
      <c r="Q13" s="16"/>
    </row>
    <row r="14" spans="1:17">
      <c r="A14" s="221"/>
      <c r="B14" s="17">
        <f t="shared" si="0"/>
        <v>37171</v>
      </c>
      <c r="C14" s="221">
        <f>'Strg Refill Quantity'!$I$34/30</f>
        <v>272.31666666666666</v>
      </c>
      <c r="D14" s="221">
        <f>'Strg Refill Quantity'!$I$36/30</f>
        <v>9941.4694444444431</v>
      </c>
      <c r="E14" s="657">
        <f>'Strg Refill Quantity'!$I$38/30</f>
        <v>12837.709722222224</v>
      </c>
      <c r="F14" s="655">
        <f>'Strg Refill Quantity'!$I$40/30</f>
        <v>2196.8000000000002</v>
      </c>
      <c r="G14" s="653">
        <f>'Strg Refill Quantity'!$I$42/30</f>
        <v>58.416666666666664</v>
      </c>
      <c r="H14" s="651">
        <f t="shared" si="1"/>
        <v>25306.712500000001</v>
      </c>
      <c r="I14" s="603"/>
      <c r="J14" s="17">
        <f t="shared" si="2"/>
        <v>37171</v>
      </c>
      <c r="K14" s="221"/>
      <c r="L14" s="221"/>
      <c r="M14" s="600"/>
      <c r="N14" s="317"/>
      <c r="O14" s="602"/>
      <c r="P14" s="604">
        <f>'VNG Sheet'!AR21</f>
        <v>0</v>
      </c>
      <c r="Q14" s="16"/>
    </row>
    <row r="15" spans="1:17">
      <c r="A15" s="221"/>
      <c r="B15" s="17">
        <f t="shared" si="0"/>
        <v>37172</v>
      </c>
      <c r="C15" s="221">
        <f>'Strg Refill Quantity'!$I$34/30</f>
        <v>272.31666666666666</v>
      </c>
      <c r="D15" s="221">
        <f>'Strg Refill Quantity'!$I$36/30</f>
        <v>9941.4694444444431</v>
      </c>
      <c r="E15" s="657">
        <f>'Strg Refill Quantity'!$I$38/30</f>
        <v>12837.709722222224</v>
      </c>
      <c r="F15" s="655">
        <f>'Strg Refill Quantity'!$I$40/30</f>
        <v>2196.8000000000002</v>
      </c>
      <c r="G15" s="653">
        <f>'Strg Refill Quantity'!$I$42/30</f>
        <v>58.416666666666664</v>
      </c>
      <c r="H15" s="651">
        <f t="shared" si="1"/>
        <v>25306.712500000001</v>
      </c>
      <c r="I15" s="603"/>
      <c r="J15" s="17">
        <f t="shared" si="2"/>
        <v>37172</v>
      </c>
      <c r="K15" s="221"/>
      <c r="L15" s="221"/>
      <c r="M15" s="600"/>
      <c r="N15" s="317"/>
      <c r="O15" s="602"/>
      <c r="P15" s="604">
        <f>'VNG Sheet'!AR22</f>
        <v>0</v>
      </c>
      <c r="Q15" s="16"/>
    </row>
    <row r="16" spans="1:17">
      <c r="A16" s="221"/>
      <c r="B16" s="17">
        <f t="shared" si="0"/>
        <v>37173</v>
      </c>
      <c r="C16" s="221">
        <f>'Strg Refill Quantity'!$I$34/30</f>
        <v>272.31666666666666</v>
      </c>
      <c r="D16" s="221">
        <f>'Strg Refill Quantity'!$I$36/30</f>
        <v>9941.4694444444431</v>
      </c>
      <c r="E16" s="657">
        <f>'Strg Refill Quantity'!$I$38/30</f>
        <v>12837.709722222224</v>
      </c>
      <c r="F16" s="655">
        <f>'Strg Refill Quantity'!$I$40/30</f>
        <v>2196.8000000000002</v>
      </c>
      <c r="G16" s="653">
        <f>'Strg Refill Quantity'!$I$42/30</f>
        <v>58.416666666666664</v>
      </c>
      <c r="H16" s="651">
        <f t="shared" si="1"/>
        <v>25306.712500000001</v>
      </c>
      <c r="I16" s="603"/>
      <c r="J16" s="17">
        <f t="shared" si="2"/>
        <v>37173</v>
      </c>
      <c r="K16" s="221"/>
      <c r="L16" s="221"/>
      <c r="M16" s="600"/>
      <c r="N16" s="317"/>
      <c r="O16" s="602"/>
      <c r="P16" s="604">
        <f>'VNG Sheet'!AR23</f>
        <v>0</v>
      </c>
      <c r="Q16" s="16"/>
    </row>
    <row r="17" spans="1:17">
      <c r="A17" s="221"/>
      <c r="B17" s="17">
        <f t="shared" si="0"/>
        <v>37174</v>
      </c>
      <c r="C17" s="221">
        <f>'Strg Refill Quantity'!$I$34/30</f>
        <v>272.31666666666666</v>
      </c>
      <c r="D17" s="221">
        <f>'Strg Refill Quantity'!$I$36/30</f>
        <v>9941.4694444444431</v>
      </c>
      <c r="E17" s="657">
        <f>'Strg Refill Quantity'!$I$38/30</f>
        <v>12837.709722222224</v>
      </c>
      <c r="F17" s="655">
        <f>'Strg Refill Quantity'!$I$40/30</f>
        <v>2196.8000000000002</v>
      </c>
      <c r="G17" s="653">
        <f>'Strg Refill Quantity'!$I$42/30</f>
        <v>58.416666666666664</v>
      </c>
      <c r="H17" s="651">
        <f t="shared" si="1"/>
        <v>25306.712500000001</v>
      </c>
      <c r="I17" s="603"/>
      <c r="J17" s="17">
        <f t="shared" si="2"/>
        <v>37174</v>
      </c>
      <c r="K17" s="221"/>
      <c r="L17" s="221"/>
      <c r="M17" s="600"/>
      <c r="N17" s="317"/>
      <c r="O17" s="602"/>
      <c r="P17" s="604">
        <f>'VNG Sheet'!AR24</f>
        <v>0</v>
      </c>
      <c r="Q17" s="16"/>
    </row>
    <row r="18" spans="1:17">
      <c r="A18" s="221"/>
      <c r="B18" s="17">
        <f t="shared" si="0"/>
        <v>37175</v>
      </c>
      <c r="C18" s="221">
        <f>'Strg Refill Quantity'!$I$34/30</f>
        <v>272.31666666666666</v>
      </c>
      <c r="D18" s="221">
        <f>'Strg Refill Quantity'!$I$36/30</f>
        <v>9941.4694444444431</v>
      </c>
      <c r="E18" s="657">
        <f>'Strg Refill Quantity'!$I$38/30</f>
        <v>12837.709722222224</v>
      </c>
      <c r="F18" s="655">
        <f>'Strg Refill Quantity'!$I$40/30</f>
        <v>2196.8000000000002</v>
      </c>
      <c r="G18" s="653">
        <f>'Strg Refill Quantity'!$I$42/30</f>
        <v>58.416666666666664</v>
      </c>
      <c r="H18" s="651">
        <f t="shared" si="1"/>
        <v>25306.712500000001</v>
      </c>
      <c r="I18" s="603"/>
      <c r="J18" s="17">
        <f t="shared" si="2"/>
        <v>37175</v>
      </c>
      <c r="K18" s="221"/>
      <c r="L18" s="221"/>
      <c r="M18" s="600"/>
      <c r="N18" s="317"/>
      <c r="O18" s="602"/>
      <c r="P18" s="604">
        <f>'VNG Sheet'!AR25</f>
        <v>0</v>
      </c>
      <c r="Q18" s="16"/>
    </row>
    <row r="19" spans="1:17">
      <c r="A19" s="221"/>
      <c r="B19" s="17">
        <f t="shared" si="0"/>
        <v>37176</v>
      </c>
      <c r="C19" s="221">
        <f>'Strg Refill Quantity'!$I$34/30</f>
        <v>272.31666666666666</v>
      </c>
      <c r="D19" s="221">
        <f>'Strg Refill Quantity'!$I$36/30</f>
        <v>9941.4694444444431</v>
      </c>
      <c r="E19" s="657">
        <f>'Strg Refill Quantity'!$I$38/30</f>
        <v>12837.709722222224</v>
      </c>
      <c r="F19" s="655">
        <f>'Strg Refill Quantity'!$I$40/30</f>
        <v>2196.8000000000002</v>
      </c>
      <c r="G19" s="653">
        <f>'Strg Refill Quantity'!$I$42/30</f>
        <v>58.416666666666664</v>
      </c>
      <c r="H19" s="651">
        <f t="shared" si="1"/>
        <v>25306.712500000001</v>
      </c>
      <c r="I19" s="603"/>
      <c r="J19" s="17">
        <f t="shared" si="2"/>
        <v>37176</v>
      </c>
      <c r="K19" s="221"/>
      <c r="L19" s="221"/>
      <c r="M19" s="600"/>
      <c r="N19" s="317"/>
      <c r="O19" s="602"/>
      <c r="P19" s="604">
        <f>'VNG Sheet'!AR26</f>
        <v>0</v>
      </c>
      <c r="Q19" s="16"/>
    </row>
    <row r="20" spans="1:17">
      <c r="A20" s="221"/>
      <c r="B20" s="17">
        <f t="shared" si="0"/>
        <v>37177</v>
      </c>
      <c r="C20" s="221">
        <f>'Strg Refill Quantity'!$I$34/30</f>
        <v>272.31666666666666</v>
      </c>
      <c r="D20" s="221">
        <f>'Strg Refill Quantity'!$I$36/30</f>
        <v>9941.4694444444431</v>
      </c>
      <c r="E20" s="657">
        <f>'Strg Refill Quantity'!$I$38/30</f>
        <v>12837.709722222224</v>
      </c>
      <c r="F20" s="655">
        <f>'Strg Refill Quantity'!$I$40/30</f>
        <v>2196.8000000000002</v>
      </c>
      <c r="G20" s="653">
        <f>'Strg Refill Quantity'!$I$42/30</f>
        <v>58.416666666666664</v>
      </c>
      <c r="H20" s="651">
        <f t="shared" si="1"/>
        <v>25306.712500000001</v>
      </c>
      <c r="I20" s="603"/>
      <c r="J20" s="17">
        <f t="shared" si="2"/>
        <v>37177</v>
      </c>
      <c r="K20" s="221">
        <f>$P$20*K6</f>
        <v>0</v>
      </c>
      <c r="L20" s="221">
        <f>$P$20*L6</f>
        <v>0</v>
      </c>
      <c r="M20" s="221">
        <f>$P$20*M6</f>
        <v>0</v>
      </c>
      <c r="N20" s="221">
        <f>$P$20*N6</f>
        <v>0</v>
      </c>
      <c r="O20" s="221">
        <f>$P$20*O6</f>
        <v>0</v>
      </c>
      <c r="P20" s="604">
        <f>'VNG Sheet'!AR27</f>
        <v>0</v>
      </c>
      <c r="Q20" s="16"/>
    </row>
    <row r="21" spans="1:17">
      <c r="A21" s="221"/>
      <c r="B21" s="17">
        <f t="shared" si="0"/>
        <v>37178</v>
      </c>
      <c r="C21" s="221">
        <f>'Strg Refill Quantity'!$I$34/30</f>
        <v>272.31666666666666</v>
      </c>
      <c r="D21" s="221">
        <f>'Strg Refill Quantity'!$I$36/30</f>
        <v>9941.4694444444431</v>
      </c>
      <c r="E21" s="657">
        <f>'Strg Refill Quantity'!$I$38/30</f>
        <v>12837.709722222224</v>
      </c>
      <c r="F21" s="655">
        <f>'Strg Refill Quantity'!$I$40/30</f>
        <v>2196.8000000000002</v>
      </c>
      <c r="G21" s="653">
        <f>'Strg Refill Quantity'!$I$42/30</f>
        <v>58.416666666666664</v>
      </c>
      <c r="H21" s="651">
        <f t="shared" si="1"/>
        <v>25306.712500000001</v>
      </c>
      <c r="I21" s="603"/>
      <c r="J21" s="17">
        <f t="shared" si="2"/>
        <v>37178</v>
      </c>
      <c r="K21" s="221"/>
      <c r="L21" s="221"/>
      <c r="M21" s="600"/>
      <c r="N21" s="317"/>
      <c r="O21" s="602"/>
      <c r="P21" s="604">
        <f>'VNG Sheet'!AR28</f>
        <v>0</v>
      </c>
      <c r="Q21" s="16"/>
    </row>
    <row r="22" spans="1:17">
      <c r="A22" s="221"/>
      <c r="B22" s="17">
        <f t="shared" si="0"/>
        <v>37179</v>
      </c>
      <c r="C22" s="221">
        <f>'Strg Refill Quantity'!$I$34/30</f>
        <v>272.31666666666666</v>
      </c>
      <c r="D22" s="221">
        <f>'Strg Refill Quantity'!$I$36/30</f>
        <v>9941.4694444444431</v>
      </c>
      <c r="E22" s="657">
        <f>'Strg Refill Quantity'!$I$38/30</f>
        <v>12837.709722222224</v>
      </c>
      <c r="F22" s="655">
        <f>'Strg Refill Quantity'!$I$40/30</f>
        <v>2196.8000000000002</v>
      </c>
      <c r="G22" s="653">
        <f>'Strg Refill Quantity'!$I$42/30</f>
        <v>58.416666666666664</v>
      </c>
      <c r="H22" s="651">
        <f t="shared" si="1"/>
        <v>25306.712500000001</v>
      </c>
      <c r="I22" s="603"/>
      <c r="J22" s="17">
        <f t="shared" si="2"/>
        <v>37179</v>
      </c>
      <c r="K22" s="221"/>
      <c r="L22" s="221"/>
      <c r="M22" s="600"/>
      <c r="N22" s="317"/>
      <c r="O22" s="602"/>
      <c r="P22" s="604">
        <f>'VNG Sheet'!AR29</f>
        <v>0</v>
      </c>
      <c r="Q22" s="16"/>
    </row>
    <row r="23" spans="1:17">
      <c r="A23" s="221"/>
      <c r="B23" s="17">
        <f t="shared" si="0"/>
        <v>37180</v>
      </c>
      <c r="C23" s="221">
        <f>'Strg Refill Quantity'!$I$34/30</f>
        <v>272.31666666666666</v>
      </c>
      <c r="D23" s="221">
        <f>'Strg Refill Quantity'!$I$36/30</f>
        <v>9941.4694444444431</v>
      </c>
      <c r="E23" s="657">
        <f>'Strg Refill Quantity'!$I$38/30</f>
        <v>12837.709722222224</v>
      </c>
      <c r="F23" s="655">
        <f>'Strg Refill Quantity'!$I$40/30</f>
        <v>2196.8000000000002</v>
      </c>
      <c r="G23" s="653">
        <f>'Strg Refill Quantity'!$I$42/30</f>
        <v>58.416666666666664</v>
      </c>
      <c r="H23" s="651">
        <f t="shared" si="1"/>
        <v>25306.712500000001</v>
      </c>
      <c r="I23" s="603"/>
      <c r="J23" s="17">
        <f t="shared" si="2"/>
        <v>37180</v>
      </c>
      <c r="K23" s="221"/>
      <c r="L23" s="221"/>
      <c r="M23" s="600"/>
      <c r="N23" s="317"/>
      <c r="O23" s="602"/>
      <c r="P23" s="604">
        <f>'VNG Sheet'!AR30</f>
        <v>0</v>
      </c>
      <c r="Q23" s="16"/>
    </row>
    <row r="24" spans="1:17">
      <c r="A24" s="221"/>
      <c r="B24" s="17">
        <f t="shared" si="0"/>
        <v>37181</v>
      </c>
      <c r="C24" s="221">
        <f>'Strg Refill Quantity'!$I$34/30</f>
        <v>272.31666666666666</v>
      </c>
      <c r="D24" s="221">
        <f>'Strg Refill Quantity'!$I$36/30</f>
        <v>9941.4694444444431</v>
      </c>
      <c r="E24" s="657">
        <f>'Strg Refill Quantity'!$I$38/30</f>
        <v>12837.709722222224</v>
      </c>
      <c r="F24" s="655">
        <f>'Strg Refill Quantity'!$I$40/30</f>
        <v>2196.8000000000002</v>
      </c>
      <c r="G24" s="653">
        <f>'Strg Refill Quantity'!$I$42/30</f>
        <v>58.416666666666664</v>
      </c>
      <c r="H24" s="651">
        <f t="shared" si="1"/>
        <v>25306.712500000001</v>
      </c>
      <c r="I24" s="603"/>
      <c r="J24" s="17">
        <f t="shared" si="2"/>
        <v>37181</v>
      </c>
      <c r="K24" s="221"/>
      <c r="L24" s="221"/>
      <c r="M24" s="221"/>
      <c r="N24" s="221"/>
      <c r="O24" s="221"/>
      <c r="P24" s="604">
        <f>'VNG Sheet'!AR31</f>
        <v>0</v>
      </c>
      <c r="Q24" s="16"/>
    </row>
    <row r="25" spans="1:17">
      <c r="A25" s="221"/>
      <c r="B25" s="17">
        <f t="shared" si="0"/>
        <v>37182</v>
      </c>
      <c r="C25" s="221">
        <f>'Strg Refill Quantity'!$I$34/30</f>
        <v>272.31666666666666</v>
      </c>
      <c r="D25" s="221">
        <f>'Strg Refill Quantity'!$I$36/30</f>
        <v>9941.4694444444431</v>
      </c>
      <c r="E25" s="657">
        <f>'Strg Refill Quantity'!$I$38/30</f>
        <v>12837.709722222224</v>
      </c>
      <c r="F25" s="655">
        <f>'Strg Refill Quantity'!$I$40/30</f>
        <v>2196.8000000000002</v>
      </c>
      <c r="G25" s="653">
        <f>'Strg Refill Quantity'!$I$42/30</f>
        <v>58.416666666666664</v>
      </c>
      <c r="H25" s="651">
        <f t="shared" si="1"/>
        <v>25306.712500000001</v>
      </c>
      <c r="I25" s="603"/>
      <c r="J25" s="17">
        <f t="shared" si="2"/>
        <v>37182</v>
      </c>
      <c r="K25" s="221"/>
      <c r="L25" s="221"/>
      <c r="M25" s="221"/>
      <c r="N25" s="221"/>
      <c r="O25" s="221"/>
      <c r="P25" s="604">
        <f>'VNG Sheet'!AR32</f>
        <v>0</v>
      </c>
      <c r="Q25" s="16"/>
    </row>
    <row r="26" spans="1:17">
      <c r="A26" s="221"/>
      <c r="B26" s="17">
        <f t="shared" si="0"/>
        <v>37183</v>
      </c>
      <c r="C26" s="221">
        <f>'Strg Refill Quantity'!$I$34/30</f>
        <v>272.31666666666666</v>
      </c>
      <c r="D26" s="221">
        <f>'Strg Refill Quantity'!$I$36/30</f>
        <v>9941.4694444444431</v>
      </c>
      <c r="E26" s="657">
        <f>'Strg Refill Quantity'!$I$38/30</f>
        <v>12837.709722222224</v>
      </c>
      <c r="F26" s="655">
        <f>'Strg Refill Quantity'!$I$40/30</f>
        <v>2196.8000000000002</v>
      </c>
      <c r="G26" s="653">
        <f>'Strg Refill Quantity'!$I$42/30</f>
        <v>58.416666666666664</v>
      </c>
      <c r="H26" s="651">
        <f t="shared" si="1"/>
        <v>25306.712500000001</v>
      </c>
      <c r="I26" s="603"/>
      <c r="J26" s="17">
        <f t="shared" si="2"/>
        <v>37183</v>
      </c>
      <c r="K26" s="221">
        <f>$P$26*K$6</f>
        <v>0</v>
      </c>
      <c r="L26" s="221">
        <f>$P$26*L$6</f>
        <v>0</v>
      </c>
      <c r="M26" s="221">
        <f>$P$26*M$6</f>
        <v>0</v>
      </c>
      <c r="N26" s="221">
        <f>$P$26*N$6</f>
        <v>0</v>
      </c>
      <c r="O26" s="221">
        <f>$P$26*O$6</f>
        <v>0</v>
      </c>
      <c r="P26" s="604">
        <f>'VNG Sheet'!AR33</f>
        <v>0</v>
      </c>
      <c r="Q26" s="16"/>
    </row>
    <row r="27" spans="1:17">
      <c r="A27" s="221"/>
      <c r="B27" s="17">
        <f t="shared" si="0"/>
        <v>37184</v>
      </c>
      <c r="C27" s="221">
        <f>'Strg Refill Quantity'!$I$34/30</f>
        <v>272.31666666666666</v>
      </c>
      <c r="D27" s="221">
        <f>'Strg Refill Quantity'!$I$36/30</f>
        <v>9941.4694444444431</v>
      </c>
      <c r="E27" s="657">
        <f>'Strg Refill Quantity'!$I$38/30</f>
        <v>12837.709722222224</v>
      </c>
      <c r="F27" s="655">
        <f>'Strg Refill Quantity'!$I$40/30</f>
        <v>2196.8000000000002</v>
      </c>
      <c r="G27" s="653">
        <f>'Strg Refill Quantity'!$I$42/30</f>
        <v>58.416666666666664</v>
      </c>
      <c r="H27" s="651">
        <f t="shared" si="1"/>
        <v>25306.712500000001</v>
      </c>
      <c r="I27" s="603"/>
      <c r="J27" s="17">
        <f t="shared" si="2"/>
        <v>37184</v>
      </c>
      <c r="K27" s="221"/>
      <c r="L27" s="221"/>
      <c r="M27" s="600"/>
      <c r="N27" s="317"/>
      <c r="O27" s="602"/>
      <c r="P27" s="604">
        <f>'VNG Sheet'!AR34</f>
        <v>0</v>
      </c>
      <c r="Q27" s="16"/>
    </row>
    <row r="28" spans="1:17">
      <c r="A28" s="221"/>
      <c r="B28" s="17">
        <f t="shared" si="0"/>
        <v>37185</v>
      </c>
      <c r="C28" s="221">
        <f>'Strg Refill Quantity'!$I$34/30</f>
        <v>272.31666666666666</v>
      </c>
      <c r="D28" s="221">
        <f>'Strg Refill Quantity'!$I$36/30</f>
        <v>9941.4694444444431</v>
      </c>
      <c r="E28" s="657">
        <f>'Strg Refill Quantity'!$I$38/30</f>
        <v>12837.709722222224</v>
      </c>
      <c r="F28" s="655">
        <f>'Strg Refill Quantity'!$I$40/30</f>
        <v>2196.8000000000002</v>
      </c>
      <c r="G28" s="653">
        <f>'Strg Refill Quantity'!$I$42/30</f>
        <v>58.416666666666664</v>
      </c>
      <c r="H28" s="651">
        <f t="shared" si="1"/>
        <v>25306.712500000001</v>
      </c>
      <c r="I28" s="603"/>
      <c r="J28" s="17">
        <f t="shared" si="2"/>
        <v>37185</v>
      </c>
      <c r="K28" s="221"/>
      <c r="L28" s="221"/>
      <c r="M28" s="600"/>
      <c r="N28" s="317"/>
      <c r="O28" s="602"/>
      <c r="P28" s="604">
        <f>'VNG Sheet'!AR35</f>
        <v>0</v>
      </c>
      <c r="Q28" s="16"/>
    </row>
    <row r="29" spans="1:17">
      <c r="A29" s="221"/>
      <c r="B29" s="17">
        <f t="shared" si="0"/>
        <v>37186</v>
      </c>
      <c r="C29" s="221">
        <f>'Strg Refill Quantity'!$I$34/30</f>
        <v>272.31666666666666</v>
      </c>
      <c r="D29" s="221">
        <f>'Strg Refill Quantity'!$I$36/30</f>
        <v>9941.4694444444431</v>
      </c>
      <c r="E29" s="657">
        <f>'Strg Refill Quantity'!$I$38/30</f>
        <v>12837.709722222224</v>
      </c>
      <c r="F29" s="655">
        <f>'Strg Refill Quantity'!$I$40/30</f>
        <v>2196.8000000000002</v>
      </c>
      <c r="G29" s="653">
        <f>'Strg Refill Quantity'!$I$42/30</f>
        <v>58.416666666666664</v>
      </c>
      <c r="H29" s="651">
        <f t="shared" si="1"/>
        <v>25306.712500000001</v>
      </c>
      <c r="I29" s="603"/>
      <c r="J29" s="17">
        <f t="shared" si="2"/>
        <v>37186</v>
      </c>
      <c r="K29" s="221"/>
      <c r="L29" s="221"/>
      <c r="M29" s="600"/>
      <c r="N29" s="317"/>
      <c r="O29" s="602"/>
      <c r="P29" s="604">
        <f>'VNG Sheet'!AR36</f>
        <v>0</v>
      </c>
      <c r="Q29" s="16"/>
    </row>
    <row r="30" spans="1:17">
      <c r="A30" s="221"/>
      <c r="B30" s="17">
        <f t="shared" si="0"/>
        <v>37187</v>
      </c>
      <c r="C30" s="221">
        <f>'Strg Refill Quantity'!$I$34/30</f>
        <v>272.31666666666666</v>
      </c>
      <c r="D30" s="221">
        <f>'Strg Refill Quantity'!$I$36/30</f>
        <v>9941.4694444444431</v>
      </c>
      <c r="E30" s="657">
        <f>'Strg Refill Quantity'!$I$38/30</f>
        <v>12837.709722222224</v>
      </c>
      <c r="F30" s="655">
        <f>'Strg Refill Quantity'!$I$40/30</f>
        <v>2196.8000000000002</v>
      </c>
      <c r="G30" s="653">
        <f>'Strg Refill Quantity'!$I$42/30</f>
        <v>58.416666666666664</v>
      </c>
      <c r="H30" s="651">
        <f t="shared" si="1"/>
        <v>25306.712500000001</v>
      </c>
      <c r="I30" s="603"/>
      <c r="J30" s="17">
        <f t="shared" si="2"/>
        <v>37187</v>
      </c>
      <c r="K30" s="221"/>
      <c r="L30" s="221"/>
      <c r="M30" s="600"/>
      <c r="N30" s="317"/>
      <c r="O30" s="602"/>
      <c r="P30" s="604">
        <f>'VNG Sheet'!AR37</f>
        <v>0</v>
      </c>
      <c r="Q30" s="16"/>
    </row>
    <row r="31" spans="1:17">
      <c r="A31" s="221"/>
      <c r="B31" s="17">
        <f t="shared" si="0"/>
        <v>37188</v>
      </c>
      <c r="C31" s="221">
        <f>'Strg Refill Quantity'!$I$34/30</f>
        <v>272.31666666666666</v>
      </c>
      <c r="D31" s="221">
        <f>'Strg Refill Quantity'!$I$36/30</f>
        <v>9941.4694444444431</v>
      </c>
      <c r="E31" s="657">
        <f>'Strg Refill Quantity'!$I$38/30</f>
        <v>12837.709722222224</v>
      </c>
      <c r="F31" s="655">
        <f>'Strg Refill Quantity'!$I$40/30</f>
        <v>2196.8000000000002</v>
      </c>
      <c r="G31" s="653">
        <f>'Strg Refill Quantity'!$I$42/30</f>
        <v>58.416666666666664</v>
      </c>
      <c r="H31" s="651">
        <f t="shared" si="1"/>
        <v>25306.712500000001</v>
      </c>
      <c r="I31" s="603"/>
      <c r="J31" s="17">
        <f t="shared" si="2"/>
        <v>37188</v>
      </c>
      <c r="K31" s="221"/>
      <c r="L31" s="221"/>
      <c r="M31" s="600"/>
      <c r="N31" s="317"/>
      <c r="O31" s="602"/>
      <c r="P31" s="604">
        <f>'VNG Sheet'!AR38</f>
        <v>0</v>
      </c>
      <c r="Q31" s="16"/>
    </row>
    <row r="32" spans="1:17">
      <c r="A32" s="221"/>
      <c r="B32" s="17">
        <f t="shared" si="0"/>
        <v>37189</v>
      </c>
      <c r="C32" s="221">
        <f>'Strg Refill Quantity'!$I$34/30</f>
        <v>272.31666666666666</v>
      </c>
      <c r="D32" s="221">
        <f>'Strg Refill Quantity'!$I$36/30</f>
        <v>9941.4694444444431</v>
      </c>
      <c r="E32" s="657">
        <f>'Strg Refill Quantity'!$I$38/30</f>
        <v>12837.709722222224</v>
      </c>
      <c r="F32" s="655">
        <f>'Strg Refill Quantity'!$I$40/30</f>
        <v>2196.8000000000002</v>
      </c>
      <c r="G32" s="653">
        <f>'Strg Refill Quantity'!$I$42/30</f>
        <v>58.416666666666664</v>
      </c>
      <c r="H32" s="651">
        <f t="shared" si="1"/>
        <v>25306.712500000001</v>
      </c>
      <c r="I32" s="603"/>
      <c r="J32" s="17">
        <f t="shared" si="2"/>
        <v>37189</v>
      </c>
      <c r="K32" s="221"/>
      <c r="L32" s="221"/>
      <c r="M32" s="600"/>
      <c r="N32" s="317"/>
      <c r="O32" s="602"/>
      <c r="P32" s="604">
        <f>'VNG Sheet'!AR39</f>
        <v>0</v>
      </c>
      <c r="Q32" s="16"/>
    </row>
    <row r="33" spans="1:256">
      <c r="A33" s="221"/>
      <c r="B33" s="17">
        <f t="shared" si="0"/>
        <v>37190</v>
      </c>
      <c r="C33" s="221">
        <f>'Strg Refill Quantity'!$I$34/30</f>
        <v>272.31666666666666</v>
      </c>
      <c r="D33" s="221">
        <f>'Strg Refill Quantity'!$I$36/30</f>
        <v>9941.4694444444431</v>
      </c>
      <c r="E33" s="657">
        <f>'Strg Refill Quantity'!$I$38/30</f>
        <v>12837.709722222224</v>
      </c>
      <c r="F33" s="655">
        <f>'Strg Refill Quantity'!$I$40/30</f>
        <v>2196.8000000000002</v>
      </c>
      <c r="G33" s="653">
        <f>'Strg Refill Quantity'!$I$42/30</f>
        <v>58.416666666666664</v>
      </c>
      <c r="H33" s="651">
        <f t="shared" si="1"/>
        <v>25306.712500000001</v>
      </c>
      <c r="I33" s="630"/>
      <c r="J33" s="17">
        <f t="shared" si="2"/>
        <v>37190</v>
      </c>
      <c r="K33" s="221"/>
      <c r="L33" s="221"/>
      <c r="M33" s="600"/>
      <c r="N33" s="317"/>
      <c r="O33" s="602"/>
      <c r="P33" s="604">
        <f>'VNG Sheet'!AR40</f>
        <v>0</v>
      </c>
      <c r="Q33" s="16"/>
    </row>
    <row r="34" spans="1:256">
      <c r="A34" s="221"/>
      <c r="B34" s="17">
        <f t="shared" si="0"/>
        <v>37191</v>
      </c>
      <c r="C34" s="221">
        <f>'Strg Refill Quantity'!$I$34/30</f>
        <v>272.31666666666666</v>
      </c>
      <c r="D34" s="221">
        <f>'Strg Refill Quantity'!$I$36/30</f>
        <v>9941.4694444444431</v>
      </c>
      <c r="E34" s="657">
        <f>'Strg Refill Quantity'!$I$38/30</f>
        <v>12837.709722222224</v>
      </c>
      <c r="F34" s="655">
        <f>'Strg Refill Quantity'!$I$40/30</f>
        <v>2196.8000000000002</v>
      </c>
      <c r="G34" s="653">
        <f>'Strg Refill Quantity'!$I$42/30</f>
        <v>58.416666666666664</v>
      </c>
      <c r="H34" s="651">
        <f t="shared" si="1"/>
        <v>25306.712500000001</v>
      </c>
      <c r="I34" s="630"/>
      <c r="J34" s="17">
        <f t="shared" si="2"/>
        <v>37191</v>
      </c>
      <c r="K34" s="221"/>
      <c r="L34" s="221"/>
      <c r="M34" s="600"/>
      <c r="N34" s="317"/>
      <c r="O34" s="602"/>
      <c r="P34" s="604">
        <f>'VNG Sheet'!AR41</f>
        <v>0</v>
      </c>
      <c r="Q34" s="16"/>
    </row>
    <row r="35" spans="1:256">
      <c r="A35" s="221"/>
      <c r="B35" s="17">
        <f t="shared" si="0"/>
        <v>37192</v>
      </c>
      <c r="C35" s="221">
        <f>'Strg Refill Quantity'!$I$34/30</f>
        <v>272.31666666666666</v>
      </c>
      <c r="D35" s="221">
        <f>'Strg Refill Quantity'!$I$36/30</f>
        <v>9941.4694444444431</v>
      </c>
      <c r="E35" s="657">
        <f>'Strg Refill Quantity'!$I$38/30</f>
        <v>12837.709722222224</v>
      </c>
      <c r="F35" s="655">
        <f>'Strg Refill Quantity'!$I$40/30</f>
        <v>2196.8000000000002</v>
      </c>
      <c r="G35" s="653">
        <f>'Strg Refill Quantity'!$I$42/30</f>
        <v>58.416666666666664</v>
      </c>
      <c r="H35" s="651">
        <f t="shared" si="1"/>
        <v>25306.712500000001</v>
      </c>
      <c r="I35" s="630"/>
      <c r="J35" s="17">
        <f t="shared" si="2"/>
        <v>37192</v>
      </c>
      <c r="K35" s="221"/>
      <c r="L35" s="221"/>
      <c r="M35" s="600"/>
      <c r="N35" s="317"/>
      <c r="O35" s="602"/>
      <c r="P35" s="604">
        <f>'VNG Sheet'!AR42</f>
        <v>0</v>
      </c>
      <c r="Q35" s="16"/>
    </row>
    <row r="36" spans="1:256">
      <c r="A36" s="221"/>
      <c r="B36" s="17">
        <f>B35+1</f>
        <v>37193</v>
      </c>
      <c r="C36" s="221">
        <f>'Strg Refill Quantity'!$I$34/30</f>
        <v>272.31666666666666</v>
      </c>
      <c r="D36" s="221">
        <f>'Strg Refill Quantity'!$I$36/30</f>
        <v>9941.4694444444431</v>
      </c>
      <c r="E36" s="657">
        <f>'Strg Refill Quantity'!$I$38/30</f>
        <v>12837.709722222224</v>
      </c>
      <c r="F36" s="655">
        <f>'Strg Refill Quantity'!$I$40/30</f>
        <v>2196.8000000000002</v>
      </c>
      <c r="G36" s="653">
        <f>'Strg Refill Quantity'!$I$42/30</f>
        <v>58.416666666666664</v>
      </c>
      <c r="H36" s="651">
        <f t="shared" si="1"/>
        <v>25306.712500000001</v>
      </c>
      <c r="I36" s="630"/>
      <c r="J36" s="17">
        <f>J35+1</f>
        <v>37193</v>
      </c>
      <c r="K36" s="221"/>
      <c r="L36" s="221"/>
      <c r="M36" s="600"/>
      <c r="N36" s="317"/>
      <c r="O36" s="602"/>
      <c r="P36" s="604">
        <f>'VNG Sheet'!AR43</f>
        <v>0</v>
      </c>
      <c r="Q36" s="16"/>
    </row>
    <row r="37" spans="1:256">
      <c r="A37" s="221"/>
      <c r="B37" s="17">
        <f>B36+1</f>
        <v>37194</v>
      </c>
      <c r="C37" s="221">
        <f>'Strg Refill Quantity'!$I$34/30</f>
        <v>272.31666666666666</v>
      </c>
      <c r="D37" s="221">
        <f>'Strg Refill Quantity'!$I$36/30</f>
        <v>9941.4694444444431</v>
      </c>
      <c r="E37" s="657">
        <f>'Strg Refill Quantity'!$I$38/30</f>
        <v>12837.709722222224</v>
      </c>
      <c r="F37" s="655">
        <f>'Strg Refill Quantity'!$I$40/30</f>
        <v>2196.8000000000002</v>
      </c>
      <c r="G37" s="653">
        <f>'Strg Refill Quantity'!$I$42/30</f>
        <v>58.416666666666664</v>
      </c>
      <c r="H37" s="651">
        <f t="shared" si="1"/>
        <v>25306.712500000001</v>
      </c>
      <c r="I37" s="630"/>
      <c r="J37" s="17">
        <f>J36+1</f>
        <v>37194</v>
      </c>
      <c r="K37" s="221"/>
      <c r="L37" s="221"/>
      <c r="M37" s="600"/>
      <c r="N37" s="317"/>
      <c r="O37" s="602"/>
      <c r="P37" s="604">
        <f>'VNG Sheet'!AR44</f>
        <v>0</v>
      </c>
      <c r="Q37" s="16"/>
    </row>
    <row r="38" spans="1:256">
      <c r="A38" s="221"/>
      <c r="B38" s="17">
        <f>B37+1</f>
        <v>37195</v>
      </c>
      <c r="C38" s="221">
        <f>'Strg Refill Quantity'!$I$34/30</f>
        <v>272.31666666666666</v>
      </c>
      <c r="D38" s="221">
        <f>'Strg Refill Quantity'!$I$36/30</f>
        <v>9941.4694444444431</v>
      </c>
      <c r="E38" s="657">
        <f>'Strg Refill Quantity'!$I$38/30</f>
        <v>12837.709722222224</v>
      </c>
      <c r="F38" s="655">
        <f>'Strg Refill Quantity'!$I$40/30</f>
        <v>2196.8000000000002</v>
      </c>
      <c r="G38" s="653">
        <f>'Strg Refill Quantity'!$I$42/30</f>
        <v>58.416666666666664</v>
      </c>
      <c r="H38" s="651">
        <f>SUM(C38:G38)</f>
        <v>25306.712500000001</v>
      </c>
      <c r="I38" s="630"/>
      <c r="J38" s="17">
        <f>J37+1</f>
        <v>37195</v>
      </c>
      <c r="K38" s="221"/>
      <c r="L38" s="221"/>
      <c r="M38" s="600"/>
      <c r="N38" s="317"/>
      <c r="O38" s="602"/>
      <c r="P38" s="604">
        <f>'VNG Sheet'!AR45</f>
        <v>0</v>
      </c>
      <c r="Q38" s="16"/>
    </row>
    <row r="39" spans="1:256">
      <c r="A39" s="221"/>
      <c r="B39" s="12"/>
      <c r="C39" s="697">
        <f t="shared" ref="C39:H39" si="3">SUM(C8:C38)</f>
        <v>8441.8166666666657</v>
      </c>
      <c r="D39" s="697">
        <f t="shared" si="3"/>
        <v>308185.55277777772</v>
      </c>
      <c r="E39" s="697">
        <f t="shared" si="3"/>
        <v>397969.00138888916</v>
      </c>
      <c r="F39" s="606">
        <f t="shared" si="3"/>
        <v>68100.800000000032</v>
      </c>
      <c r="G39" s="697">
        <f>SUM(G8:G38)</f>
        <v>1810.9166666666674</v>
      </c>
      <c r="H39" s="606">
        <f t="shared" si="3"/>
        <v>784508.08750000037</v>
      </c>
      <c r="I39" s="631"/>
      <c r="J39" s="12"/>
      <c r="K39" s="605">
        <f t="shared" ref="K39:P39" si="4">SUM(K8:K38)</f>
        <v>0</v>
      </c>
      <c r="L39" s="605">
        <f t="shared" si="4"/>
        <v>0</v>
      </c>
      <c r="M39" s="605">
        <f t="shared" si="4"/>
        <v>0</v>
      </c>
      <c r="N39" s="605">
        <f t="shared" si="4"/>
        <v>0</v>
      </c>
      <c r="O39" s="605">
        <f t="shared" si="4"/>
        <v>0</v>
      </c>
      <c r="P39" s="606">
        <f t="shared" si="4"/>
        <v>0</v>
      </c>
      <c r="Q39" s="16"/>
    </row>
    <row r="40" spans="1:256" ht="25.5">
      <c r="A40" s="11"/>
      <c r="C40" s="321" t="str">
        <f t="shared" ref="C40:H40" si="5">C7</f>
        <v>Cove Point LNG</v>
      </c>
      <c r="D40" s="321" t="str">
        <f t="shared" si="5"/>
        <v>CNG GSS 1 &amp; 2</v>
      </c>
      <c r="E40" s="321" t="str">
        <f t="shared" si="5"/>
        <v>TCO FSS 1 &amp; 2</v>
      </c>
      <c r="F40" s="321" t="str">
        <f t="shared" si="5"/>
        <v>TCO LNG</v>
      </c>
      <c r="G40" s="321" t="str">
        <f t="shared" si="5"/>
        <v>Transco GSS</v>
      </c>
      <c r="H40" s="321" t="str">
        <f t="shared" si="5"/>
        <v>Total Strg Injected</v>
      </c>
      <c r="I40" s="632"/>
      <c r="K40" s="321" t="str">
        <f t="shared" ref="K40:P40" si="6">K7</f>
        <v>Cove Point LNG</v>
      </c>
      <c r="L40" s="321" t="str">
        <f t="shared" si="6"/>
        <v>CNG GSS 1 &amp; 2</v>
      </c>
      <c r="M40" s="321" t="str">
        <f t="shared" si="6"/>
        <v>TCO FSS 1 &amp; 2</v>
      </c>
      <c r="N40" s="321" t="str">
        <f t="shared" si="6"/>
        <v>TCO LNG</v>
      </c>
      <c r="O40" s="321" t="str">
        <f t="shared" si="6"/>
        <v>Transco GSS</v>
      </c>
      <c r="P40" s="321" t="str">
        <f t="shared" si="6"/>
        <v>Total Strg W/D</v>
      </c>
      <c r="Q40" s="16"/>
    </row>
    <row r="41" spans="1:256" ht="13.5" thickBot="1">
      <c r="H41" s="16"/>
      <c r="I41" s="35"/>
      <c r="J41" s="16"/>
      <c r="K41" s="16"/>
      <c r="L41" s="45"/>
      <c r="M41" s="16"/>
      <c r="N41" s="16"/>
      <c r="O41" s="16"/>
      <c r="P41" s="16"/>
      <c r="Q41" s="16"/>
    </row>
    <row r="42" spans="1:256" ht="13.5" thickTop="1">
      <c r="A42" s="11"/>
      <c r="B42" s="356" t="s">
        <v>191</v>
      </c>
      <c r="C42" s="357"/>
      <c r="D42" s="358"/>
      <c r="E42" s="357"/>
      <c r="F42" s="358"/>
      <c r="G42" s="357"/>
      <c r="H42" s="359"/>
      <c r="I42" s="35"/>
      <c r="J42" s="11"/>
      <c r="L42" s="11"/>
      <c r="N42" s="11"/>
      <c r="P42" s="11"/>
      <c r="R42" s="11"/>
      <c r="T42" s="11"/>
      <c r="V42" s="11"/>
      <c r="X42" s="11"/>
      <c r="Z42" s="11"/>
      <c r="AB42" s="11"/>
      <c r="AD42" s="11"/>
      <c r="AF42" s="11"/>
      <c r="AH42" s="11"/>
      <c r="AJ42" s="11"/>
      <c r="AL42" s="11"/>
      <c r="AN42" s="11"/>
      <c r="AP42" s="11"/>
      <c r="AR42" s="11"/>
      <c r="AT42" s="11"/>
      <c r="AV42" s="11"/>
      <c r="AX42" s="11"/>
      <c r="AZ42" s="11"/>
      <c r="BB42" s="11"/>
      <c r="BD42" s="11"/>
      <c r="BF42" s="11"/>
      <c r="BH42" s="11"/>
      <c r="BJ42" s="11"/>
      <c r="BL42" s="11"/>
      <c r="BN42" s="11"/>
      <c r="BP42" s="11"/>
      <c r="BR42" s="11"/>
      <c r="BT42" s="11"/>
      <c r="BV42" s="11"/>
      <c r="BX42" s="11"/>
      <c r="BZ42" s="11"/>
      <c r="CB42" s="11"/>
      <c r="CD42" s="11"/>
      <c r="CF42" s="11"/>
      <c r="CH42" s="11"/>
      <c r="CJ42" s="11"/>
      <c r="CL42" s="11"/>
      <c r="CN42" s="11"/>
      <c r="CP42" s="11"/>
      <c r="CR42" s="11"/>
      <c r="CT42" s="11"/>
      <c r="CV42" s="11"/>
      <c r="CX42" s="11"/>
      <c r="CZ42" s="11"/>
      <c r="DB42" s="11"/>
      <c r="DD42" s="11"/>
      <c r="DF42" s="11"/>
      <c r="DH42" s="11"/>
      <c r="DJ42" s="11"/>
      <c r="DL42" s="11"/>
      <c r="DN42" s="11"/>
      <c r="DP42" s="11"/>
      <c r="DR42" s="11"/>
      <c r="DT42" s="11"/>
      <c r="DV42" s="11"/>
      <c r="DX42" s="11"/>
      <c r="DZ42" s="11"/>
      <c r="EB42" s="11"/>
      <c r="ED42" s="11"/>
      <c r="EF42" s="11"/>
      <c r="EH42" s="11"/>
      <c r="EJ42" s="11"/>
      <c r="EL42" s="11"/>
      <c r="EN42" s="11"/>
      <c r="EP42" s="11"/>
      <c r="ER42" s="11"/>
      <c r="ET42" s="11"/>
      <c r="EV42" s="11"/>
      <c r="EX42" s="11"/>
      <c r="EZ42" s="11"/>
      <c r="FB42" s="11"/>
      <c r="FD42" s="11"/>
      <c r="FF42" s="11"/>
      <c r="FH42" s="11"/>
      <c r="FJ42" s="11"/>
      <c r="FL42" s="11"/>
      <c r="FN42" s="11"/>
      <c r="FP42" s="11"/>
      <c r="FR42" s="11"/>
      <c r="FT42" s="11"/>
      <c r="FV42" s="11"/>
      <c r="FX42" s="11"/>
      <c r="FZ42" s="11"/>
      <c r="GB42" s="11"/>
      <c r="GD42" s="11"/>
      <c r="GF42" s="11"/>
      <c r="GH42" s="11"/>
      <c r="GJ42" s="11"/>
      <c r="GL42" s="11"/>
      <c r="GN42" s="11"/>
      <c r="GP42" s="11"/>
      <c r="GR42" s="11"/>
      <c r="GT42" s="11"/>
      <c r="GV42" s="11"/>
      <c r="GX42" s="11"/>
      <c r="GZ42" s="11"/>
      <c r="HB42" s="11"/>
      <c r="HD42" s="11"/>
      <c r="HF42" s="11"/>
      <c r="HH42" s="11"/>
      <c r="HJ42" s="11"/>
      <c r="HL42" s="11"/>
      <c r="HN42" s="11"/>
      <c r="HP42" s="11"/>
      <c r="HR42" s="11"/>
      <c r="HT42" s="11"/>
      <c r="HV42" s="11"/>
      <c r="HX42" s="11"/>
      <c r="HZ42" s="11"/>
      <c r="IB42" s="11"/>
      <c r="ID42" s="11"/>
      <c r="IF42" s="11"/>
      <c r="IH42" s="11"/>
      <c r="IJ42" s="11"/>
      <c r="IL42" s="11"/>
      <c r="IN42" s="11"/>
      <c r="IP42" s="11"/>
      <c r="IR42" s="11"/>
      <c r="IT42" s="11"/>
      <c r="IV42" s="11"/>
    </row>
    <row r="43" spans="1:256">
      <c r="A43" s="11"/>
      <c r="B43" s="360">
        <v>37164</v>
      </c>
      <c r="C43" s="365">
        <f t="shared" ref="C43:H43" si="7">C3+C39-K39</f>
        <v>100820.81666666667</v>
      </c>
      <c r="D43" s="365">
        <f t="shared" si="7"/>
        <v>3404472.5527777779</v>
      </c>
      <c r="E43" s="365">
        <f t="shared" si="7"/>
        <v>3439435.0013888893</v>
      </c>
      <c r="F43" s="365">
        <f t="shared" si="7"/>
        <v>785076.8</v>
      </c>
      <c r="G43" s="365">
        <f t="shared" si="7"/>
        <v>54542.916666666664</v>
      </c>
      <c r="H43" s="366">
        <f t="shared" si="7"/>
        <v>7784348.0875000004</v>
      </c>
      <c r="I43" s="629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</row>
    <row r="44" spans="1:256" ht="13.5" thickBot="1">
      <c r="B44" s="361"/>
      <c r="C44" s="362"/>
      <c r="D44" s="362"/>
      <c r="E44" s="363"/>
      <c r="F44" s="363"/>
      <c r="G44" s="363"/>
      <c r="H44" s="364"/>
      <c r="I44" s="633"/>
      <c r="J44" s="318"/>
      <c r="K44" s="16"/>
      <c r="L44" s="16"/>
      <c r="M44" s="16"/>
      <c r="N44" s="16"/>
      <c r="O44" s="16"/>
      <c r="P44" s="16"/>
      <c r="Q44" s="16"/>
    </row>
    <row r="45" spans="1:256" ht="13.5" thickTop="1">
      <c r="B45" s="783" t="s">
        <v>385</v>
      </c>
      <c r="C45" s="786">
        <f>C43/C46</f>
        <v>1.0082081666666667</v>
      </c>
      <c r="D45" s="786">
        <f>D43/D46</f>
        <v>0.95839891696186297</v>
      </c>
      <c r="E45" s="786">
        <f>E43/E46</f>
        <v>0.9607615289760173</v>
      </c>
      <c r="F45" s="786">
        <f>F43/F46</f>
        <v>1.0084480411046886</v>
      </c>
      <c r="G45" s="786">
        <f>G43/G46</f>
        <v>1.0032910872391043</v>
      </c>
      <c r="H45" s="784"/>
      <c r="I45" s="19"/>
      <c r="J45" s="16"/>
      <c r="K45" s="16"/>
      <c r="L45" s="16"/>
      <c r="M45" s="16"/>
      <c r="N45" s="16"/>
      <c r="O45" s="16"/>
      <c r="P45" s="16"/>
      <c r="Q45" s="16"/>
    </row>
    <row r="46" spans="1:256">
      <c r="B46" s="785" t="s">
        <v>386</v>
      </c>
      <c r="C46" s="401">
        <v>100000</v>
      </c>
      <c r="D46" s="401">
        <v>3552250</v>
      </c>
      <c r="E46" s="401">
        <v>3579905</v>
      </c>
      <c r="F46" s="401">
        <v>778500</v>
      </c>
      <c r="G46" s="401">
        <v>54364</v>
      </c>
      <c r="H46" s="401">
        <f>SUM(C46:G46)</f>
        <v>8065019</v>
      </c>
      <c r="I46" s="19"/>
      <c r="J46" s="16"/>
      <c r="K46" s="16"/>
      <c r="L46" s="16"/>
      <c r="M46" s="16"/>
      <c r="N46" s="16"/>
      <c r="O46" s="16"/>
      <c r="P46" s="16"/>
      <c r="Q46" s="16"/>
    </row>
    <row r="47" spans="1:256">
      <c r="I47" s="19"/>
    </row>
    <row r="48" spans="1:256">
      <c r="I48" s="19"/>
    </row>
    <row r="49" spans="9:9">
      <c r="I49" s="19"/>
    </row>
    <row r="50" spans="9:9">
      <c r="I50" s="19"/>
    </row>
    <row r="51" spans="9:9">
      <c r="I51" s="19"/>
    </row>
    <row r="52" spans="9:9">
      <c r="I52" s="19"/>
    </row>
    <row r="53" spans="9:9">
      <c r="I53" s="19"/>
    </row>
    <row r="54" spans="9:9">
      <c r="I54" s="19"/>
    </row>
    <row r="55" spans="9:9">
      <c r="I55" s="19"/>
    </row>
    <row r="56" spans="9:9">
      <c r="I56" s="19"/>
    </row>
    <row r="57" spans="9:9">
      <c r="I57" s="19"/>
    </row>
    <row r="58" spans="9:9">
      <c r="I58" s="19"/>
    </row>
    <row r="59" spans="9:9">
      <c r="I59" s="19"/>
    </row>
    <row r="60" spans="9:9">
      <c r="I60" s="19"/>
    </row>
    <row r="61" spans="9:9">
      <c r="I61" s="19"/>
    </row>
    <row r="62" spans="9:9">
      <c r="I62" s="19"/>
    </row>
    <row r="63" spans="9:9">
      <c r="I63" s="19"/>
    </row>
    <row r="64" spans="9:9">
      <c r="I64" s="19"/>
    </row>
    <row r="65" spans="9:9">
      <c r="I65" s="19"/>
    </row>
    <row r="66" spans="9:9">
      <c r="I66" s="19"/>
    </row>
    <row r="67" spans="9:9">
      <c r="I67" s="19"/>
    </row>
    <row r="68" spans="9:9">
      <c r="I68" s="19"/>
    </row>
    <row r="69" spans="9:9">
      <c r="I69" s="19"/>
    </row>
    <row r="70" spans="9:9">
      <c r="I70" s="19"/>
    </row>
    <row r="71" spans="9:9">
      <c r="I71" s="19"/>
    </row>
    <row r="72" spans="9:9">
      <c r="I72" s="19"/>
    </row>
    <row r="73" spans="9:9">
      <c r="I73" s="19"/>
    </row>
  </sheetData>
  <mergeCells count="2">
    <mergeCell ref="C1:H1"/>
    <mergeCell ref="K1:P1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70"/>
  <sheetViews>
    <sheetView showGridLines="0" zoomScale="65" workbookViewId="0">
      <selection activeCell="I46" sqref="I46"/>
    </sheetView>
  </sheetViews>
  <sheetFormatPr defaultColWidth="11.42578125" defaultRowHeight="12.75"/>
  <cols>
    <col min="1" max="1" width="16.85546875" style="1" customWidth="1"/>
    <col min="2" max="2" width="20.28515625" style="1" customWidth="1"/>
    <col min="3" max="4" width="11.42578125" style="1" customWidth="1"/>
    <col min="5" max="5" width="16.140625" style="1" customWidth="1"/>
    <col min="6" max="6" width="16.85546875" style="1" customWidth="1"/>
    <col min="7" max="8" width="17.5703125" style="1" customWidth="1"/>
    <col min="9" max="9" width="17.28515625" style="1" customWidth="1"/>
    <col min="10" max="16384" width="11.42578125" style="1"/>
  </cols>
  <sheetData>
    <row r="4" spans="1:9">
      <c r="A4" s="2"/>
    </row>
    <row r="5" spans="1:9">
      <c r="A5" s="2" t="s">
        <v>319</v>
      </c>
    </row>
    <row r="6" spans="1:9">
      <c r="A6" s="2"/>
    </row>
    <row r="7" spans="1:9">
      <c r="A7" s="646" t="s">
        <v>339</v>
      </c>
    </row>
    <row r="8" spans="1:9">
      <c r="B8" s="2"/>
      <c r="E8" s="414"/>
    </row>
    <row r="9" spans="1:9">
      <c r="B9" s="2"/>
      <c r="E9" s="414"/>
    </row>
    <row r="10" spans="1:9">
      <c r="B10" s="541"/>
      <c r="C10" s="542"/>
      <c r="D10" s="542"/>
      <c r="E10" s="543"/>
      <c r="F10" s="544"/>
      <c r="G10" s="545"/>
      <c r="H10" s="546"/>
      <c r="I10" s="546"/>
    </row>
    <row r="11" spans="1:9">
      <c r="B11" s="547"/>
      <c r="C11" s="42"/>
      <c r="D11" s="42"/>
      <c r="E11" s="547"/>
      <c r="F11" s="548"/>
      <c r="G11" s="549"/>
      <c r="H11" s="550"/>
      <c r="I11" s="550"/>
    </row>
    <row r="12" spans="1:9" ht="38.25">
      <c r="B12" s="551" t="s">
        <v>137</v>
      </c>
      <c r="C12" s="552" t="s">
        <v>171</v>
      </c>
      <c r="D12" s="553" t="s">
        <v>312</v>
      </c>
      <c r="E12" s="554" t="s">
        <v>313</v>
      </c>
      <c r="F12" s="555" t="s">
        <v>314</v>
      </c>
      <c r="G12" s="556" t="s">
        <v>320</v>
      </c>
      <c r="H12" s="557" t="s">
        <v>315</v>
      </c>
      <c r="I12" s="557" t="s">
        <v>316</v>
      </c>
    </row>
    <row r="13" spans="1:9">
      <c r="B13" s="558"/>
      <c r="C13" s="559"/>
      <c r="D13" s="542"/>
      <c r="E13" s="558"/>
      <c r="F13" s="560"/>
      <c r="G13" s="561"/>
      <c r="H13" s="562"/>
      <c r="I13" s="562"/>
    </row>
    <row r="14" spans="1:9">
      <c r="B14" s="547" t="s">
        <v>175</v>
      </c>
      <c r="C14" s="563">
        <v>100000</v>
      </c>
      <c r="D14" s="564">
        <v>97475.7</v>
      </c>
      <c r="E14" s="565">
        <f>+C14</f>
        <v>100000</v>
      </c>
      <c r="F14" s="566">
        <f>+E14/C14</f>
        <v>1</v>
      </c>
      <c r="G14" s="567">
        <f>'Strg Activity'!C3</f>
        <v>92379</v>
      </c>
      <c r="H14" s="568">
        <f>+E14-G14</f>
        <v>7621</v>
      </c>
      <c r="I14" s="568">
        <f>+H14/7</f>
        <v>1088.7142857142858</v>
      </c>
    </row>
    <row r="15" spans="1:9">
      <c r="B15" s="547"/>
      <c r="C15" s="42"/>
      <c r="D15" s="42"/>
      <c r="E15" s="569"/>
      <c r="F15" s="548"/>
      <c r="G15" s="570"/>
      <c r="H15" s="571"/>
      <c r="I15" s="571"/>
    </row>
    <row r="16" spans="1:9">
      <c r="B16" s="547" t="s">
        <v>317</v>
      </c>
      <c r="C16" s="563">
        <f>2791000+761250</f>
        <v>3552250</v>
      </c>
      <c r="D16" s="564">
        <f>2644915.5863214+721405</f>
        <v>3366320.5863214</v>
      </c>
      <c r="E16" s="565">
        <f>+C16*0.95</f>
        <v>3374637.5</v>
      </c>
      <c r="F16" s="566">
        <f>+E16/C16</f>
        <v>0.95</v>
      </c>
      <c r="G16" s="567">
        <f>'Strg Activity'!D3</f>
        <v>3096287</v>
      </c>
      <c r="H16" s="568">
        <f>+E16-G16</f>
        <v>278350.5</v>
      </c>
      <c r="I16" s="568">
        <f>+H16/7</f>
        <v>39764.357142857145</v>
      </c>
    </row>
    <row r="17" spans="1:10">
      <c r="B17" s="547"/>
      <c r="C17" s="42"/>
      <c r="D17" s="42"/>
      <c r="E17" s="569"/>
      <c r="F17" s="548"/>
      <c r="G17" s="570"/>
      <c r="H17" s="571"/>
      <c r="I17" s="571"/>
    </row>
    <row r="18" spans="1:10">
      <c r="B18" s="547" t="s">
        <v>178</v>
      </c>
      <c r="C18" s="563">
        <f>2848655+731250</f>
        <v>3579905</v>
      </c>
      <c r="D18" s="564">
        <f>2786440.3748+704336</f>
        <v>3490776.3747999999</v>
      </c>
      <c r="E18" s="565">
        <f>+C18*0.95</f>
        <v>3400909.75</v>
      </c>
      <c r="F18" s="566">
        <f>+E18/C18</f>
        <v>0.95</v>
      </c>
      <c r="G18" s="567">
        <f>'Strg Activity'!E3</f>
        <v>3041466</v>
      </c>
      <c r="H18" s="568">
        <f>+E18-G18</f>
        <v>359443.75</v>
      </c>
      <c r="I18" s="568">
        <f>+H18/7</f>
        <v>51349.107142857145</v>
      </c>
    </row>
    <row r="19" spans="1:10">
      <c r="B19" s="547"/>
      <c r="C19" s="42"/>
      <c r="D19" s="42"/>
      <c r="E19" s="569"/>
      <c r="F19" s="548"/>
      <c r="G19" s="570"/>
      <c r="H19" s="571"/>
      <c r="I19" s="571"/>
    </row>
    <row r="20" spans="1:10">
      <c r="B20" s="547" t="s">
        <v>21</v>
      </c>
      <c r="C20" s="563">
        <v>778500</v>
      </c>
      <c r="D20" s="564">
        <v>778500</v>
      </c>
      <c r="E20" s="565">
        <f>+C20</f>
        <v>778500</v>
      </c>
      <c r="F20" s="566">
        <f>+E20/C20</f>
        <v>1</v>
      </c>
      <c r="G20" s="567">
        <f>'Strg Activity'!F3</f>
        <v>716976</v>
      </c>
      <c r="H20" s="568">
        <f>+E20-G20</f>
        <v>61524</v>
      </c>
      <c r="I20" s="568">
        <f>+H20/7</f>
        <v>8789.1428571428569</v>
      </c>
    </row>
    <row r="21" spans="1:10">
      <c r="B21" s="547"/>
      <c r="C21" s="42"/>
      <c r="D21" s="42"/>
      <c r="E21" s="569"/>
      <c r="F21" s="548"/>
      <c r="G21" s="570"/>
      <c r="H21" s="571"/>
      <c r="I21" s="571"/>
    </row>
    <row r="22" spans="1:10">
      <c r="B22" s="572" t="s">
        <v>318</v>
      </c>
      <c r="C22" s="573">
        <v>98790</v>
      </c>
      <c r="D22" s="574">
        <v>96824.078999999998</v>
      </c>
      <c r="E22" s="575">
        <v>54364</v>
      </c>
      <c r="F22" s="576">
        <f>+E22/54364</f>
        <v>1</v>
      </c>
      <c r="G22" s="577">
        <f>'Strg Activity'!G3</f>
        <v>52732</v>
      </c>
      <c r="H22" s="568">
        <f>+E22-G22</f>
        <v>1632</v>
      </c>
      <c r="I22" s="568">
        <f>+H22/7</f>
        <v>233.14285714285714</v>
      </c>
    </row>
    <row r="23" spans="1:10">
      <c r="B23" s="578"/>
      <c r="C23" s="579"/>
      <c r="D23" s="580"/>
      <c r="E23" s="581"/>
      <c r="F23" s="582"/>
      <c r="G23" s="583"/>
      <c r="H23" s="584"/>
      <c r="I23" s="584"/>
    </row>
    <row r="24" spans="1:10">
      <c r="B24" s="572"/>
      <c r="C24" s="585">
        <f>SUM(C14:C22)</f>
        <v>8109445</v>
      </c>
      <c r="D24" s="585">
        <f>SUM(D14:D22)</f>
        <v>7829896.7401214</v>
      </c>
      <c r="E24" s="586">
        <f>SUM(E14:E22)</f>
        <v>7708411.25</v>
      </c>
      <c r="F24" s="587"/>
      <c r="G24" s="588">
        <f>SUM(G14:G22)</f>
        <v>6999840</v>
      </c>
      <c r="H24" s="589">
        <f>SUM(H14:H22)</f>
        <v>708571.25</v>
      </c>
      <c r="I24" s="589">
        <f>SUM(I14:I22)</f>
        <v>101224.46428571429</v>
      </c>
    </row>
    <row r="25" spans="1:10">
      <c r="C25" s="287"/>
    </row>
    <row r="27" spans="1:10">
      <c r="J27" s="42"/>
    </row>
    <row r="28" spans="1:10">
      <c r="A28" s="698" t="s">
        <v>336</v>
      </c>
      <c r="B28" s="2" t="s">
        <v>337</v>
      </c>
      <c r="J28" s="42"/>
    </row>
    <row r="29" spans="1:10">
      <c r="A29" s="9" t="s">
        <v>347</v>
      </c>
      <c r="J29" s="42"/>
    </row>
    <row r="30" spans="1:10">
      <c r="A30" s="698" t="s">
        <v>346</v>
      </c>
      <c r="B30" s="541"/>
      <c r="C30" s="542"/>
      <c r="D30" s="542"/>
      <c r="E30" s="543"/>
      <c r="F30" s="544"/>
      <c r="G30" s="545"/>
      <c r="H30" s="546"/>
      <c r="I30" s="543"/>
      <c r="J30" s="644"/>
    </row>
    <row r="31" spans="1:10">
      <c r="B31" s="547"/>
      <c r="C31" s="42"/>
      <c r="D31" s="42"/>
      <c r="E31" s="547"/>
      <c r="F31" s="548"/>
      <c r="G31" s="549"/>
      <c r="H31" s="550"/>
      <c r="I31" s="547"/>
      <c r="J31" s="644"/>
    </row>
    <row r="32" spans="1:10" ht="38.25">
      <c r="B32" s="551" t="s">
        <v>137</v>
      </c>
      <c r="C32" s="552" t="s">
        <v>171</v>
      </c>
      <c r="D32" s="553" t="s">
        <v>312</v>
      </c>
      <c r="E32" s="554" t="s">
        <v>313</v>
      </c>
      <c r="F32" s="555" t="s">
        <v>314</v>
      </c>
      <c r="G32" s="556" t="s">
        <v>338</v>
      </c>
      <c r="H32" s="557" t="s">
        <v>315</v>
      </c>
      <c r="I32" s="554" t="s">
        <v>316</v>
      </c>
      <c r="J32" s="644"/>
    </row>
    <row r="33" spans="2:10">
      <c r="B33" s="558"/>
      <c r="C33" s="559"/>
      <c r="D33" s="542"/>
      <c r="E33" s="558"/>
      <c r="F33" s="560"/>
      <c r="G33" s="561"/>
      <c r="H33" s="562"/>
      <c r="I33" s="558"/>
      <c r="J33" s="645"/>
    </row>
    <row r="34" spans="2:10">
      <c r="B34" s="547" t="s">
        <v>175</v>
      </c>
      <c r="C34" s="563">
        <v>100000</v>
      </c>
      <c r="D34" s="636">
        <v>97475.7</v>
      </c>
      <c r="E34" s="565">
        <f>+C34</f>
        <v>100000</v>
      </c>
      <c r="F34" s="566">
        <f>+E34/C34</f>
        <v>1</v>
      </c>
      <c r="G34" s="567">
        <v>50983</v>
      </c>
      <c r="H34" s="568">
        <f>+E34-G34</f>
        <v>49017</v>
      </c>
      <c r="I34" s="643">
        <f>+H34/6</f>
        <v>8169.5</v>
      </c>
      <c r="J34" s="645"/>
    </row>
    <row r="35" spans="2:10">
      <c r="B35" s="547"/>
      <c r="C35" s="42"/>
      <c r="D35" s="42"/>
      <c r="E35" s="637"/>
      <c r="F35" s="548"/>
      <c r="G35" s="638"/>
      <c r="H35" s="639"/>
      <c r="I35" s="637"/>
      <c r="J35" s="645"/>
    </row>
    <row r="36" spans="2:10">
      <c r="B36" s="547" t="s">
        <v>317</v>
      </c>
      <c r="C36" s="563">
        <f>2791000+761250</f>
        <v>3552250</v>
      </c>
      <c r="D36" s="636">
        <f>2644915.5863214+721405</f>
        <v>3366320.5863214</v>
      </c>
      <c r="E36" s="565">
        <f>+C36*0.95</f>
        <v>3374637.5</v>
      </c>
      <c r="F36" s="566">
        <f>+E36/C36</f>
        <v>0.95</v>
      </c>
      <c r="G36" s="567">
        <v>1585173</v>
      </c>
      <c r="H36" s="568">
        <f>+E36-G36</f>
        <v>1789464.5</v>
      </c>
      <c r="I36" s="643">
        <f>+H36/6</f>
        <v>298244.08333333331</v>
      </c>
      <c r="J36" s="645"/>
    </row>
    <row r="37" spans="2:10">
      <c r="B37" s="547"/>
      <c r="C37" s="42"/>
      <c r="D37" s="42"/>
      <c r="E37" s="637"/>
      <c r="F37" s="548"/>
      <c r="G37" s="638"/>
      <c r="H37" s="639"/>
      <c r="I37" s="637"/>
      <c r="J37" s="645"/>
    </row>
    <row r="38" spans="2:10">
      <c r="B38" s="547" t="s">
        <v>178</v>
      </c>
      <c r="C38" s="563">
        <f>2848655+731250</f>
        <v>3579905</v>
      </c>
      <c r="D38" s="636">
        <f>2786440.3748+704336</f>
        <v>3490776.3747999999</v>
      </c>
      <c r="E38" s="565">
        <f>+C38*0.95</f>
        <v>3400909.75</v>
      </c>
      <c r="F38" s="566">
        <f>+E38/C38</f>
        <v>0.95</v>
      </c>
      <c r="G38" s="567">
        <v>1090122</v>
      </c>
      <c r="H38" s="568">
        <f>+E38-G38</f>
        <v>2310787.75</v>
      </c>
      <c r="I38" s="643">
        <f>+H38/6</f>
        <v>385131.29166666669</v>
      </c>
      <c r="J38" s="645"/>
    </row>
    <row r="39" spans="2:10">
      <c r="B39" s="547"/>
      <c r="C39" s="42"/>
      <c r="D39" s="42"/>
      <c r="E39" s="637"/>
      <c r="F39" s="548"/>
      <c r="G39" s="638"/>
      <c r="H39" s="639"/>
      <c r="I39" s="637"/>
      <c r="J39" s="645"/>
    </row>
    <row r="40" spans="2:10">
      <c r="B40" s="547" t="s">
        <v>21</v>
      </c>
      <c r="C40" s="563">
        <v>778500</v>
      </c>
      <c r="D40" s="636">
        <v>778500</v>
      </c>
      <c r="E40" s="565">
        <f>+C40</f>
        <v>778500</v>
      </c>
      <c r="F40" s="566">
        <f>+E40/C40</f>
        <v>1</v>
      </c>
      <c r="G40" s="567">
        <v>383076</v>
      </c>
      <c r="H40" s="568">
        <f>+E40-G40</f>
        <v>395424</v>
      </c>
      <c r="I40" s="643">
        <f>+H40/6</f>
        <v>65904</v>
      </c>
      <c r="J40" s="645"/>
    </row>
    <row r="41" spans="2:10">
      <c r="B41" s="547"/>
      <c r="C41" s="42"/>
      <c r="D41" s="42"/>
      <c r="E41" s="637"/>
      <c r="F41" s="548"/>
      <c r="G41" s="638"/>
      <c r="H41" s="639"/>
      <c r="I41" s="637"/>
      <c r="J41" s="645"/>
    </row>
    <row r="42" spans="2:10" ht="13.5" thickBot="1">
      <c r="B42" s="572" t="s">
        <v>22</v>
      </c>
      <c r="C42" s="573">
        <v>98790</v>
      </c>
      <c r="D42" s="640">
        <v>96824.078999999998</v>
      </c>
      <c r="E42" s="575">
        <v>54364</v>
      </c>
      <c r="F42" s="576">
        <f>+E42/54364</f>
        <v>1</v>
      </c>
      <c r="G42" s="577">
        <v>43849</v>
      </c>
      <c r="H42" s="568">
        <f>+E42-G42</f>
        <v>10515</v>
      </c>
      <c r="I42" s="643">
        <f>+H42/6</f>
        <v>1752.5</v>
      </c>
      <c r="J42" s="645"/>
    </row>
    <row r="43" spans="2:10" ht="13.5" thickTop="1">
      <c r="B43" s="578"/>
      <c r="C43" s="579"/>
      <c r="D43" s="641"/>
      <c r="E43" s="581"/>
      <c r="F43" s="582"/>
      <c r="G43" s="583"/>
      <c r="H43" s="581"/>
      <c r="I43" s="699"/>
      <c r="J43" s="42"/>
    </row>
    <row r="44" spans="2:10" ht="15.75" thickBot="1">
      <c r="B44" s="572"/>
      <c r="C44" s="585">
        <f>SUM(C34:C42)</f>
        <v>8109445</v>
      </c>
      <c r="D44" s="585">
        <f>SUM(D34:D42)</f>
        <v>7829896.7401214</v>
      </c>
      <c r="E44" s="586">
        <f>SUM(E34:E42)</f>
        <v>7708411.25</v>
      </c>
      <c r="F44" s="587"/>
      <c r="G44" s="588">
        <f>SUM(G34:G42)</f>
        <v>3153203</v>
      </c>
      <c r="H44" s="586">
        <f>SUM(H34:H42)</f>
        <v>4555208.25</v>
      </c>
      <c r="I44" s="700">
        <f>SUM(I34:I42)</f>
        <v>759201.375</v>
      </c>
      <c r="J44" s="42"/>
    </row>
    <row r="45" spans="2:10" ht="13.5" thickTop="1">
      <c r="J45" s="42"/>
    </row>
    <row r="46" spans="2:10">
      <c r="I46" s="642">
        <f>(I24-I44)*6</f>
        <v>-3947861.4642857141</v>
      </c>
      <c r="J46" s="42"/>
    </row>
    <row r="47" spans="2:10">
      <c r="J47" s="42"/>
    </row>
    <row r="48" spans="2:10">
      <c r="J48" s="42"/>
    </row>
    <row r="49" spans="1:10">
      <c r="J49" s="42"/>
    </row>
    <row r="50" spans="1:10">
      <c r="J50" s="42"/>
    </row>
    <row r="51" spans="1:10">
      <c r="A51" s="681"/>
      <c r="B51" s="36"/>
      <c r="C51" s="35"/>
      <c r="D51" s="35"/>
      <c r="E51" s="35"/>
      <c r="F51" s="35"/>
      <c r="G51" s="35"/>
      <c r="H51" s="35"/>
      <c r="I51" s="35"/>
      <c r="J51" s="35"/>
    </row>
    <row r="52" spans="1:10">
      <c r="A52" s="35"/>
      <c r="B52" s="35"/>
      <c r="C52" s="35"/>
      <c r="D52" s="35"/>
      <c r="E52" s="35"/>
      <c r="F52" s="35"/>
      <c r="G52" s="35"/>
      <c r="H52" s="35"/>
      <c r="I52" s="35"/>
      <c r="J52" s="35"/>
    </row>
    <row r="53" spans="1:10">
      <c r="A53" s="35"/>
      <c r="B53" s="36"/>
      <c r="C53" s="35"/>
      <c r="D53" s="35"/>
      <c r="E53" s="682"/>
      <c r="F53" s="35"/>
      <c r="G53" s="682"/>
      <c r="H53" s="682"/>
      <c r="I53" s="682"/>
      <c r="J53" s="35"/>
    </row>
    <row r="54" spans="1:10">
      <c r="A54" s="35"/>
      <c r="B54" s="35"/>
      <c r="C54" s="35"/>
      <c r="D54" s="35"/>
      <c r="E54" s="35"/>
      <c r="F54" s="35"/>
      <c r="G54" s="35"/>
      <c r="H54" s="35"/>
      <c r="I54" s="35"/>
      <c r="J54" s="35"/>
    </row>
    <row r="55" spans="1:10">
      <c r="A55" s="35"/>
      <c r="B55" s="683"/>
      <c r="C55" s="684"/>
      <c r="D55" s="685"/>
      <c r="E55" s="685"/>
      <c r="F55" s="685"/>
      <c r="G55" s="685"/>
      <c r="H55" s="685"/>
      <c r="I55" s="685"/>
      <c r="J55" s="35"/>
    </row>
    <row r="56" spans="1:10">
      <c r="A56" s="35"/>
      <c r="B56" s="686"/>
      <c r="C56" s="686"/>
      <c r="D56" s="35"/>
      <c r="E56" s="686"/>
      <c r="F56" s="686"/>
      <c r="G56" s="686"/>
      <c r="H56" s="686"/>
      <c r="I56" s="686"/>
      <c r="J56" s="35"/>
    </row>
    <row r="57" spans="1:10">
      <c r="A57" s="35"/>
      <c r="B57" s="35"/>
      <c r="C57" s="687"/>
      <c r="D57" s="688"/>
      <c r="E57" s="687"/>
      <c r="F57" s="689"/>
      <c r="G57" s="687"/>
      <c r="H57" s="690"/>
      <c r="I57" s="690"/>
      <c r="J57" s="35"/>
    </row>
    <row r="58" spans="1:10">
      <c r="A58" s="35"/>
      <c r="B58" s="35"/>
      <c r="C58" s="35"/>
      <c r="D58" s="35"/>
      <c r="E58" s="691"/>
      <c r="F58" s="35"/>
      <c r="G58" s="691"/>
      <c r="H58" s="691"/>
      <c r="I58" s="691"/>
      <c r="J58" s="35"/>
    </row>
    <row r="59" spans="1:10">
      <c r="A59" s="35"/>
      <c r="B59" s="35"/>
      <c r="C59" s="687"/>
      <c r="D59" s="688"/>
      <c r="E59" s="687"/>
      <c r="F59" s="689"/>
      <c r="G59" s="687"/>
      <c r="H59" s="690"/>
      <c r="I59" s="690"/>
      <c r="J59" s="35"/>
    </row>
    <row r="60" spans="1:10">
      <c r="A60" s="35"/>
      <c r="B60" s="35"/>
      <c r="C60" s="35"/>
      <c r="D60" s="35"/>
      <c r="E60" s="691"/>
      <c r="F60" s="35"/>
      <c r="G60" s="691"/>
      <c r="H60" s="691"/>
      <c r="I60" s="691"/>
      <c r="J60" s="35"/>
    </row>
    <row r="61" spans="1:10">
      <c r="A61" s="35"/>
      <c r="B61" s="35"/>
      <c r="C61" s="687"/>
      <c r="D61" s="688"/>
      <c r="E61" s="687"/>
      <c r="F61" s="689"/>
      <c r="G61" s="687"/>
      <c r="H61" s="690"/>
      <c r="I61" s="690"/>
      <c r="J61" s="35"/>
    </row>
    <row r="62" spans="1:10">
      <c r="A62" s="35"/>
      <c r="B62" s="35"/>
      <c r="C62" s="35"/>
      <c r="D62" s="35"/>
      <c r="E62" s="691"/>
      <c r="F62" s="35"/>
      <c r="G62" s="691"/>
      <c r="H62" s="691"/>
      <c r="I62" s="691"/>
      <c r="J62" s="35"/>
    </row>
    <row r="63" spans="1:10">
      <c r="A63" s="35"/>
      <c r="B63" s="35"/>
      <c r="C63" s="687"/>
      <c r="D63" s="688"/>
      <c r="E63" s="687"/>
      <c r="F63" s="689"/>
      <c r="G63" s="687"/>
      <c r="H63" s="690"/>
      <c r="I63" s="690"/>
      <c r="J63" s="35"/>
    </row>
    <row r="64" spans="1:10">
      <c r="A64" s="35"/>
      <c r="B64" s="35"/>
      <c r="C64" s="35"/>
      <c r="D64" s="35"/>
      <c r="E64" s="691"/>
      <c r="F64" s="35"/>
      <c r="G64" s="691"/>
      <c r="H64" s="691"/>
      <c r="I64" s="691"/>
      <c r="J64" s="35"/>
    </row>
    <row r="65" spans="1:10">
      <c r="A65" s="35"/>
      <c r="B65" s="35"/>
      <c r="C65" s="687"/>
      <c r="D65" s="688"/>
      <c r="E65" s="687"/>
      <c r="F65" s="689"/>
      <c r="G65" s="687"/>
      <c r="H65" s="690"/>
      <c r="I65" s="690"/>
      <c r="J65" s="35"/>
    </row>
    <row r="66" spans="1:10">
      <c r="A66" s="35"/>
      <c r="B66" s="692"/>
      <c r="C66" s="690"/>
      <c r="D66" s="693"/>
      <c r="E66" s="690"/>
      <c r="F66" s="690"/>
      <c r="G66" s="690"/>
      <c r="H66" s="690"/>
      <c r="I66" s="690"/>
      <c r="J66" s="35"/>
    </row>
    <row r="67" spans="1:10">
      <c r="A67" s="35"/>
      <c r="B67" s="35"/>
      <c r="C67" s="694"/>
      <c r="D67" s="694"/>
      <c r="E67" s="694"/>
      <c r="F67" s="694"/>
      <c r="G67" s="694"/>
      <c r="H67" s="694"/>
      <c r="I67" s="694"/>
      <c r="J67" s="35"/>
    </row>
    <row r="68" spans="1:10">
      <c r="A68" s="35"/>
      <c r="B68" s="35"/>
      <c r="C68" s="35"/>
      <c r="D68" s="35"/>
      <c r="E68" s="35"/>
      <c r="F68" s="35"/>
      <c r="G68" s="35"/>
      <c r="H68" s="35"/>
      <c r="I68" s="35"/>
      <c r="J68" s="35"/>
    </row>
    <row r="69" spans="1:10">
      <c r="A69" s="35"/>
      <c r="B69" s="35"/>
      <c r="C69" s="35"/>
      <c r="D69" s="35"/>
      <c r="E69" s="35"/>
      <c r="F69" s="35"/>
      <c r="G69" s="35"/>
      <c r="H69" s="35"/>
      <c r="I69" s="694"/>
      <c r="J69" s="35"/>
    </row>
    <row r="70" spans="1:10">
      <c r="A70" s="35"/>
      <c r="B70" s="35"/>
      <c r="C70" s="35"/>
      <c r="D70" s="35"/>
      <c r="E70" s="35"/>
      <c r="F70" s="35"/>
      <c r="G70" s="35"/>
      <c r="H70" s="35"/>
      <c r="I70" s="35"/>
      <c r="J70" s="35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78"/>
  <sheetViews>
    <sheetView tabSelected="1" zoomScale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6" sqref="C6"/>
    </sheetView>
  </sheetViews>
  <sheetFormatPr defaultColWidth="16.140625" defaultRowHeight="12.75"/>
  <cols>
    <col min="1" max="1" width="16.42578125" style="1" customWidth="1"/>
    <col min="2" max="2" width="18.28515625" style="1" customWidth="1"/>
    <col min="3" max="3" width="19.42578125" style="8" customWidth="1"/>
    <col min="4" max="4" width="12.85546875" style="1" customWidth="1"/>
    <col min="5" max="5" width="19.42578125" style="1" customWidth="1"/>
    <col min="6" max="6" width="13.85546875" style="1" customWidth="1"/>
    <col min="7" max="7" width="10.140625" style="1" customWidth="1"/>
    <col min="8" max="8" width="16.140625" style="1" customWidth="1"/>
    <col min="9" max="9" width="20.5703125" style="1" customWidth="1"/>
    <col min="10" max="10" width="14.42578125" style="1" customWidth="1"/>
    <col min="11" max="11" width="10.140625" style="1" customWidth="1"/>
    <col min="12" max="12" width="16.140625" style="1" customWidth="1"/>
    <col min="13" max="13" width="19.5703125" style="1" customWidth="1"/>
    <col min="14" max="14" width="15" style="1" customWidth="1"/>
    <col min="15" max="15" width="11.42578125" style="1" customWidth="1"/>
    <col min="16" max="17" width="15.5703125" style="1" customWidth="1"/>
    <col min="18" max="18" width="14" style="1" customWidth="1"/>
    <col min="19" max="19" width="14.28515625" style="1" customWidth="1"/>
    <col min="20" max="20" width="15.7109375" style="1" customWidth="1"/>
    <col min="21" max="21" width="14.42578125" style="1" customWidth="1"/>
    <col min="22" max="22" width="15.140625" style="1" customWidth="1"/>
    <col min="23" max="23" width="17.28515625" style="1" customWidth="1"/>
    <col min="24" max="24" width="14.28515625" style="1" customWidth="1"/>
    <col min="25" max="25" width="16" style="1" customWidth="1"/>
    <col min="26" max="16384" width="16.140625" style="1"/>
  </cols>
  <sheetData>
    <row r="2" spans="1:25">
      <c r="A2" s="2"/>
      <c r="B2" s="2"/>
    </row>
    <row r="3" spans="1:25">
      <c r="A3" s="2" t="s">
        <v>331</v>
      </c>
      <c r="B3" s="2"/>
    </row>
    <row r="5" spans="1:25" ht="13.5" thickBot="1"/>
    <row r="6" spans="1:25" ht="15.75" thickBot="1">
      <c r="A6" s="594">
        <v>37165</v>
      </c>
      <c r="B6" s="3"/>
      <c r="C6" s="595">
        <f>Y46</f>
        <v>2.0682504091566822</v>
      </c>
      <c r="E6" s="3" t="s">
        <v>10</v>
      </c>
      <c r="I6" s="3" t="s">
        <v>11</v>
      </c>
      <c r="M6" s="3" t="s">
        <v>12</v>
      </c>
      <c r="Q6" s="3" t="s">
        <v>294</v>
      </c>
    </row>
    <row r="8" spans="1:25" ht="38.25">
      <c r="A8" s="2" t="s">
        <v>137</v>
      </c>
      <c r="B8" s="2" t="s">
        <v>5</v>
      </c>
      <c r="C8" s="9" t="s">
        <v>6</v>
      </c>
      <c r="D8" s="4" t="s">
        <v>321</v>
      </c>
      <c r="E8" s="14" t="s">
        <v>28</v>
      </c>
      <c r="F8" s="4" t="s">
        <v>7</v>
      </c>
      <c r="G8" s="4" t="s">
        <v>8</v>
      </c>
      <c r="H8" s="4" t="s">
        <v>9</v>
      </c>
      <c r="I8" s="14" t="s">
        <v>28</v>
      </c>
      <c r="J8" s="4" t="s">
        <v>7</v>
      </c>
      <c r="K8" s="4" t="s">
        <v>8</v>
      </c>
      <c r="L8" s="4" t="s">
        <v>9</v>
      </c>
      <c r="M8" s="14" t="s">
        <v>28</v>
      </c>
      <c r="N8" s="4" t="s">
        <v>7</v>
      </c>
      <c r="O8" s="4" t="s">
        <v>8</v>
      </c>
      <c r="P8" s="4" t="s">
        <v>9</v>
      </c>
      <c r="Q8" s="4" t="s">
        <v>298</v>
      </c>
      <c r="R8" s="4" t="s">
        <v>299</v>
      </c>
      <c r="S8" s="4" t="s">
        <v>322</v>
      </c>
      <c r="T8" s="4" t="s">
        <v>323</v>
      </c>
      <c r="U8" s="4" t="s">
        <v>297</v>
      </c>
      <c r="V8" s="4" t="s">
        <v>324</v>
      </c>
      <c r="W8" s="18" t="s">
        <v>295</v>
      </c>
      <c r="X8" s="4" t="s">
        <v>296</v>
      </c>
      <c r="Y8" s="4" t="s">
        <v>325</v>
      </c>
    </row>
    <row r="9" spans="1:25">
      <c r="A9" s="1" t="s">
        <v>22</v>
      </c>
      <c r="B9" s="1" t="s">
        <v>300</v>
      </c>
      <c r="C9" s="8" t="s">
        <v>20</v>
      </c>
      <c r="D9" s="6">
        <f>'Input Gas Prices'!B10</f>
        <v>1.86</v>
      </c>
      <c r="E9" s="15" t="s">
        <v>35</v>
      </c>
      <c r="F9" s="609">
        <f>0.0278+0.0022+0.007</f>
        <v>3.6999999999999998E-2</v>
      </c>
      <c r="G9" s="608">
        <v>3.8100000000000002E-2</v>
      </c>
      <c r="H9" s="289">
        <f>+D9/(1-G9)+F9</f>
        <v>1.9706729389749456</v>
      </c>
      <c r="I9" s="15"/>
      <c r="J9" s="6">
        <v>0</v>
      </c>
      <c r="K9" s="7">
        <v>0</v>
      </c>
      <c r="L9" s="289">
        <f>+H9/(1-K9)+J9</f>
        <v>1.9706729389749456</v>
      </c>
      <c r="M9" s="15"/>
      <c r="N9" s="6">
        <v>0</v>
      </c>
      <c r="O9" s="7">
        <v>0</v>
      </c>
      <c r="P9" s="289">
        <f>+L9/(1-O9)+N9</f>
        <v>1.9706729389749456</v>
      </c>
      <c r="Q9" s="6">
        <v>4.2000000000000003E-2</v>
      </c>
      <c r="R9" s="7">
        <v>4.1200000000000001E-2</v>
      </c>
      <c r="S9" s="289">
        <f>+P9/(1-R9)+Q9</f>
        <v>2.0973535033113739</v>
      </c>
      <c r="T9" s="532">
        <f>+'[1]Tier 1 &amp; 2 Weightings'!L44</f>
        <v>311.82728410513141</v>
      </c>
      <c r="U9" s="533">
        <f>+T9/T11</f>
        <v>1</v>
      </c>
      <c r="V9" s="289">
        <f>+U9*S9</f>
        <v>2.0973535033113739</v>
      </c>
    </row>
    <row r="10" spans="1:25">
      <c r="D10" s="6"/>
      <c r="E10" s="15"/>
      <c r="F10" s="6"/>
      <c r="G10" s="10"/>
      <c r="H10" s="289"/>
      <c r="I10" s="15"/>
      <c r="J10" s="6"/>
      <c r="K10" s="7"/>
      <c r="L10" s="289"/>
      <c r="M10" s="15"/>
      <c r="N10" s="6"/>
      <c r="O10" s="7"/>
      <c r="P10" s="289"/>
      <c r="Q10" s="6"/>
      <c r="R10" s="7"/>
      <c r="S10" s="289"/>
      <c r="T10" s="532"/>
      <c r="U10" s="289"/>
    </row>
    <row r="11" spans="1:25">
      <c r="D11" s="6"/>
      <c r="E11" s="15"/>
      <c r="F11" s="6"/>
      <c r="G11" s="10"/>
      <c r="H11" s="289"/>
      <c r="I11" s="15"/>
      <c r="J11" s="6"/>
      <c r="K11" s="7"/>
      <c r="L11" s="289"/>
      <c r="M11" s="15"/>
      <c r="N11" s="6"/>
      <c r="O11" s="7"/>
      <c r="P11" s="289"/>
      <c r="Q11" s="6"/>
      <c r="R11" s="7"/>
      <c r="S11" s="590" t="s">
        <v>326</v>
      </c>
      <c r="T11" s="532">
        <f>+T9</f>
        <v>311.82728410513141</v>
      </c>
      <c r="U11" s="289"/>
      <c r="V11" s="289">
        <f>+V9</f>
        <v>2.0973535033113739</v>
      </c>
      <c r="W11" s="414">
        <f>'Strg Refill Quantity'!I42</f>
        <v>1752.5</v>
      </c>
      <c r="X11" s="533">
        <f>+W11/$W$46</f>
        <v>2.3083467149937658E-3</v>
      </c>
      <c r="Y11" s="289">
        <f>+X11*V11</f>
        <v>4.841419069549476E-3</v>
      </c>
    </row>
    <row r="12" spans="1:25">
      <c r="D12" s="6"/>
      <c r="E12" s="15"/>
      <c r="F12" s="6"/>
      <c r="G12" s="10"/>
      <c r="H12" s="289"/>
      <c r="I12" s="15"/>
      <c r="J12" s="6"/>
      <c r="K12" s="7"/>
      <c r="L12" s="289"/>
      <c r="M12" s="15"/>
      <c r="N12" s="6"/>
      <c r="O12" s="7"/>
      <c r="P12" s="289"/>
      <c r="Q12" s="6"/>
      <c r="R12" s="7"/>
      <c r="S12" s="590"/>
      <c r="T12" s="532"/>
      <c r="U12" s="289"/>
      <c r="W12" s="534"/>
    </row>
    <row r="13" spans="1:25">
      <c r="A13" s="2"/>
      <c r="B13" s="2"/>
      <c r="C13" s="9"/>
      <c r="D13" s="4"/>
      <c r="E13" s="14"/>
      <c r="F13" s="4"/>
      <c r="G13" s="4"/>
      <c r="H13" s="535"/>
      <c r="I13" s="14"/>
      <c r="J13" s="4"/>
      <c r="K13" s="4"/>
      <c r="L13" s="4"/>
      <c r="M13" s="14"/>
      <c r="N13" s="4"/>
      <c r="O13" s="4"/>
      <c r="P13" s="4"/>
      <c r="Q13" s="4"/>
      <c r="R13" s="4"/>
      <c r="S13" s="4"/>
      <c r="T13" s="4"/>
      <c r="U13" s="4"/>
      <c r="W13" s="534"/>
    </row>
    <row r="14" spans="1:25">
      <c r="A14" s="1" t="s">
        <v>301</v>
      </c>
      <c r="B14" s="1" t="s">
        <v>0</v>
      </c>
      <c r="C14" s="8" t="s">
        <v>327</v>
      </c>
      <c r="D14" s="6">
        <f>'Input Gas Prices'!B11</f>
        <v>1.81</v>
      </c>
      <c r="E14" s="15" t="s">
        <v>37</v>
      </c>
      <c r="F14" s="609">
        <f>0.0366+0.0022</f>
        <v>3.8800000000000001E-2</v>
      </c>
      <c r="G14" s="608">
        <v>6.9699999999999996E-3</v>
      </c>
      <c r="H14" s="289">
        <f>+D14/(1-G14)+F14</f>
        <v>1.8615042486128315</v>
      </c>
      <c r="I14" s="15" t="s">
        <v>43</v>
      </c>
      <c r="J14" s="6">
        <f>0.017+0.0022</f>
        <v>1.9200000000000002E-2</v>
      </c>
      <c r="K14" s="608">
        <v>2.9020000000000001E-2</v>
      </c>
      <c r="L14" s="289">
        <f>+H14/(1-K14)+J14</f>
        <v>1.9363396409944917</v>
      </c>
      <c r="M14" s="15" t="s">
        <v>302</v>
      </c>
      <c r="N14" s="6">
        <f>0.0132+0.0022</f>
        <v>1.54E-2</v>
      </c>
      <c r="O14" s="608">
        <v>2.776E-2</v>
      </c>
      <c r="P14" s="289">
        <f>+L14/(1-O14)+N14</f>
        <v>2.0070272124110216</v>
      </c>
      <c r="Q14" s="6">
        <v>1.5299999999999999E-2</v>
      </c>
      <c r="R14" s="7">
        <v>1.6999999999999999E-3</v>
      </c>
      <c r="S14" s="289">
        <f>+P14/(1-R14)+Q14</f>
        <v>2.0257449688580804</v>
      </c>
      <c r="T14" s="532">
        <f>+'[1]Tier 1 &amp; 2 Weightings'!L40</f>
        <v>27084.517749057424</v>
      </c>
      <c r="U14" s="533">
        <f>+T14/$T$17</f>
        <v>0.84819972150387901</v>
      </c>
      <c r="V14" s="289">
        <f>+U14*S14</f>
        <v>1.7182363184233078</v>
      </c>
      <c r="W14" s="534"/>
    </row>
    <row r="15" spans="1:25">
      <c r="A15" s="2"/>
      <c r="B15" s="1" t="s">
        <v>1</v>
      </c>
      <c r="C15" s="8" t="s">
        <v>17</v>
      </c>
      <c r="D15" s="6">
        <f>'Input Gas Prices'!B12</f>
        <v>2.0499999999999998</v>
      </c>
      <c r="E15" s="15" t="s">
        <v>303</v>
      </c>
      <c r="F15" s="609">
        <f>0.0134+0.0022+0.007</f>
        <v>2.2600000000000002E-2</v>
      </c>
      <c r="G15" s="608">
        <v>2.776E-2</v>
      </c>
      <c r="H15" s="289">
        <f>+D15/(1-G15)+F15</f>
        <v>2.1311328725417593</v>
      </c>
      <c r="I15" s="15"/>
      <c r="J15" s="6">
        <v>0</v>
      </c>
      <c r="K15" s="7">
        <v>0</v>
      </c>
      <c r="L15" s="289">
        <f>+H15/(1-K15)+J15</f>
        <v>2.1311328725417593</v>
      </c>
      <c r="M15" s="15"/>
      <c r="N15" s="6">
        <v>0</v>
      </c>
      <c r="O15" s="7">
        <v>0</v>
      </c>
      <c r="P15" s="289">
        <f>+L15/(1-O15)+N15</f>
        <v>2.1311328725417593</v>
      </c>
      <c r="Q15" s="6">
        <v>1.5299999999999999E-2</v>
      </c>
      <c r="R15" s="7">
        <v>1.6999999999999999E-3</v>
      </c>
      <c r="S15" s="289">
        <f>+P15/(1-R15)+Q15</f>
        <v>2.1500619678871673</v>
      </c>
      <c r="T15" s="532">
        <f>+'[1]Tier 1 &amp; 2 Weightings'!L41</f>
        <v>4847.2514585955869</v>
      </c>
      <c r="U15" s="533">
        <f>+T15/$T$17</f>
        <v>0.15180027849612096</v>
      </c>
      <c r="V15" s="289">
        <f>+U15*S15</f>
        <v>0.32638000550918989</v>
      </c>
      <c r="W15" s="534"/>
    </row>
    <row r="16" spans="1:25">
      <c r="A16" s="2"/>
      <c r="D16" s="6"/>
      <c r="E16" s="15"/>
      <c r="F16" s="6"/>
      <c r="G16" s="10"/>
      <c r="H16" s="289"/>
      <c r="I16" s="15"/>
      <c r="J16" s="6"/>
      <c r="K16" s="7"/>
      <c r="L16" s="289"/>
      <c r="M16" s="15"/>
      <c r="N16" s="6"/>
      <c r="O16" s="7"/>
      <c r="P16" s="289"/>
      <c r="Q16" s="6"/>
      <c r="R16" s="7"/>
      <c r="S16" s="289"/>
      <c r="T16" s="532"/>
      <c r="U16" s="289"/>
      <c r="W16" s="534"/>
    </row>
    <row r="17" spans="1:25">
      <c r="A17" s="2"/>
      <c r="D17" s="6"/>
      <c r="E17" s="15"/>
      <c r="F17" s="6"/>
      <c r="G17" s="10"/>
      <c r="H17" s="289"/>
      <c r="I17" s="15"/>
      <c r="J17" s="6"/>
      <c r="K17" s="7"/>
      <c r="L17" s="289"/>
      <c r="M17" s="15"/>
      <c r="N17" s="6"/>
      <c r="O17" s="7"/>
      <c r="P17" s="289"/>
      <c r="Q17" s="6"/>
      <c r="R17" s="7"/>
      <c r="S17" s="590" t="s">
        <v>326</v>
      </c>
      <c r="T17" s="532">
        <f>SUM(T14:T15)</f>
        <v>31931.769207653011</v>
      </c>
      <c r="U17" s="289"/>
      <c r="V17" s="289">
        <f>SUM(V14:V15)</f>
        <v>2.0446163239324977</v>
      </c>
      <c r="W17" s="414">
        <f>'Strg Refill Quantity'!I38</f>
        <v>385131.29166666669</v>
      </c>
      <c r="X17" s="533">
        <f>+W17/$W$46</f>
        <v>0.50728476574040282</v>
      </c>
      <c r="Y17" s="289">
        <f>+X17*V17</f>
        <v>1.0372027129151007</v>
      </c>
    </row>
    <row r="18" spans="1:25">
      <c r="A18" s="2"/>
      <c r="D18" s="6"/>
      <c r="E18" s="15"/>
      <c r="F18" s="6"/>
      <c r="G18" s="10"/>
      <c r="H18" s="289"/>
      <c r="I18" s="15"/>
      <c r="J18" s="6"/>
      <c r="K18" s="7"/>
      <c r="L18" s="289"/>
      <c r="M18" s="15"/>
      <c r="N18" s="6"/>
      <c r="O18" s="7"/>
      <c r="P18" s="289"/>
      <c r="Q18" s="6"/>
      <c r="R18" s="7"/>
      <c r="S18" s="289"/>
      <c r="T18" s="532"/>
      <c r="U18" s="289"/>
      <c r="W18" s="534"/>
    </row>
    <row r="19" spans="1:25">
      <c r="A19" s="2"/>
      <c r="B19" s="2"/>
      <c r="C19" s="9"/>
      <c r="D19" s="4"/>
      <c r="E19" s="14"/>
      <c r="F19" s="4"/>
      <c r="G19" s="4"/>
      <c r="H19" s="4"/>
      <c r="I19" s="14"/>
      <c r="J19" s="4"/>
      <c r="K19" s="4"/>
      <c r="L19" s="4"/>
      <c r="M19" s="14"/>
      <c r="N19" s="4"/>
      <c r="O19" s="4"/>
      <c r="P19" s="4"/>
      <c r="Q19" s="4"/>
      <c r="R19" s="4"/>
      <c r="S19" s="4"/>
      <c r="T19" s="4"/>
      <c r="U19" s="4"/>
      <c r="W19" s="534"/>
    </row>
    <row r="20" spans="1:25">
      <c r="A20" s="1" t="s">
        <v>304</v>
      </c>
      <c r="B20" s="1" t="s">
        <v>0</v>
      </c>
      <c r="C20" s="8" t="s">
        <v>327</v>
      </c>
      <c r="D20" s="6">
        <f>'Input Gas Prices'!B11</f>
        <v>1.81</v>
      </c>
      <c r="E20" s="15" t="s">
        <v>37</v>
      </c>
      <c r="F20" s="609">
        <f>0.0366+0.0022</f>
        <v>3.8800000000000001E-2</v>
      </c>
      <c r="G20" s="608">
        <v>6.9699999999999996E-3</v>
      </c>
      <c r="H20" s="289">
        <f>+D20/(1-G20)+F20</f>
        <v>1.8615042486128315</v>
      </c>
      <c r="I20" s="15" t="s">
        <v>43</v>
      </c>
      <c r="J20" s="6">
        <f>0.017+0.0022</f>
        <v>1.9200000000000002E-2</v>
      </c>
      <c r="K20" s="608">
        <v>2.9020000000000001E-2</v>
      </c>
      <c r="L20" s="289">
        <f>+H20/(1-K20)+J20</f>
        <v>1.9363396409944917</v>
      </c>
      <c r="M20" s="15" t="s">
        <v>302</v>
      </c>
      <c r="N20" s="6">
        <f>0.0132+0.0022</f>
        <v>1.54E-2</v>
      </c>
      <c r="O20" s="608">
        <v>2.776E-2</v>
      </c>
      <c r="P20" s="289">
        <f>+L20/(1-O20)+N20</f>
        <v>2.0070272124110216</v>
      </c>
      <c r="Q20" s="536">
        <v>0</v>
      </c>
      <c r="R20" s="537">
        <v>0</v>
      </c>
      <c r="S20" s="289">
        <f>+P20/(1-R20)+Q20</f>
        <v>2.0070272124110216</v>
      </c>
      <c r="T20" s="532">
        <f>+T14</f>
        <v>27084.517749057424</v>
      </c>
      <c r="U20" s="533">
        <f>+T20/$T$23</f>
        <v>0.84819972150387901</v>
      </c>
      <c r="V20" s="289">
        <f>+U20*S20</f>
        <v>1.7023599226177351</v>
      </c>
      <c r="W20" s="534"/>
    </row>
    <row r="21" spans="1:25">
      <c r="A21" s="2"/>
      <c r="B21" s="1" t="s">
        <v>1</v>
      </c>
      <c r="C21" s="8" t="s">
        <v>17</v>
      </c>
      <c r="D21" s="6">
        <f>'Input Gas Prices'!B12</f>
        <v>2.0499999999999998</v>
      </c>
      <c r="E21" s="15" t="s">
        <v>303</v>
      </c>
      <c r="F21" s="609">
        <f>0.0134+0.0022+0.007</f>
        <v>2.2600000000000002E-2</v>
      </c>
      <c r="G21" s="608">
        <v>2.776E-2</v>
      </c>
      <c r="H21" s="289">
        <f>+D21/(1-G21)+F21</f>
        <v>2.1311328725417593</v>
      </c>
      <c r="I21" s="15"/>
      <c r="J21" s="6">
        <v>0</v>
      </c>
      <c r="K21" s="7">
        <v>0</v>
      </c>
      <c r="L21" s="289">
        <f>+H21/(1-K21)+J21</f>
        <v>2.1311328725417593</v>
      </c>
      <c r="M21" s="15"/>
      <c r="N21" s="6">
        <v>0</v>
      </c>
      <c r="O21" s="7">
        <v>0</v>
      </c>
      <c r="P21" s="289">
        <f>+L21/(1-O21)+N21</f>
        <v>2.1311328725417593</v>
      </c>
      <c r="Q21" s="536">
        <v>0</v>
      </c>
      <c r="R21" s="537">
        <v>0</v>
      </c>
      <c r="S21" s="289">
        <f>+P21/(1-R21)+Q21</f>
        <v>2.1311328725417593</v>
      </c>
      <c r="T21" s="532">
        <f>+T15</f>
        <v>4847.2514585955869</v>
      </c>
      <c r="U21" s="533">
        <f>+T21/$T$23</f>
        <v>0.15180027849612096</v>
      </c>
      <c r="V21" s="289">
        <f>+U21*S21</f>
        <v>0.32350656356407731</v>
      </c>
      <c r="W21" s="534"/>
    </row>
    <row r="22" spans="1:25">
      <c r="A22" s="2"/>
      <c r="D22" s="6"/>
      <c r="E22" s="15"/>
      <c r="F22" s="6"/>
      <c r="G22" s="10"/>
      <c r="H22" s="289"/>
      <c r="I22" s="15"/>
      <c r="J22" s="6"/>
      <c r="K22" s="7"/>
      <c r="L22" s="289"/>
      <c r="M22" s="15"/>
      <c r="N22" s="6"/>
      <c r="O22" s="7"/>
      <c r="P22" s="289"/>
      <c r="Q22" s="536"/>
      <c r="R22" s="537"/>
      <c r="S22" s="289"/>
      <c r="T22" s="532"/>
      <c r="U22" s="4"/>
      <c r="W22" s="534"/>
    </row>
    <row r="23" spans="1:25">
      <c r="A23" s="2"/>
      <c r="D23" s="6"/>
      <c r="E23" s="15"/>
      <c r="F23" s="6"/>
      <c r="G23" s="10"/>
      <c r="H23" s="289"/>
      <c r="I23" s="15"/>
      <c r="J23" s="6"/>
      <c r="K23" s="7"/>
      <c r="L23" s="289"/>
      <c r="M23" s="15"/>
      <c r="N23" s="6"/>
      <c r="O23" s="7"/>
      <c r="P23" s="289"/>
      <c r="Q23" s="536"/>
      <c r="R23" s="537"/>
      <c r="S23" s="590" t="s">
        <v>326</v>
      </c>
      <c r="T23" s="532">
        <f>SUM(T20:T21)</f>
        <v>31931.769207653011</v>
      </c>
      <c r="U23" s="4"/>
      <c r="V23" s="289">
        <f>SUM(V20:V21)</f>
        <v>2.0258664861818123</v>
      </c>
      <c r="W23" s="414">
        <f>'Strg Refill Quantity'!I40</f>
        <v>65904</v>
      </c>
      <c r="X23" s="533">
        <f>+W23/$W$46</f>
        <v>8.6807008219657131E-2</v>
      </c>
      <c r="Y23" s="289">
        <f>+X23*V23</f>
        <v>0.1758594087179125</v>
      </c>
    </row>
    <row r="24" spans="1:25">
      <c r="A24" s="2"/>
      <c r="D24" s="6"/>
      <c r="E24" s="15"/>
      <c r="F24" s="6"/>
      <c r="G24" s="10"/>
      <c r="H24" s="289"/>
      <c r="I24" s="15"/>
      <c r="J24" s="6"/>
      <c r="K24" s="7"/>
      <c r="L24" s="289"/>
      <c r="M24" s="15"/>
      <c r="N24" s="6"/>
      <c r="O24" s="7"/>
      <c r="P24" s="289"/>
      <c r="Q24" s="536"/>
      <c r="R24" s="537"/>
      <c r="S24" s="590"/>
      <c r="T24" s="532"/>
      <c r="U24" s="4"/>
      <c r="W24" s="534"/>
    </row>
    <row r="25" spans="1:25">
      <c r="A25" s="2"/>
      <c r="B25" s="2"/>
      <c r="C25" s="9"/>
      <c r="D25" s="4"/>
      <c r="E25" s="14"/>
      <c r="F25" s="4"/>
      <c r="G25" s="4"/>
      <c r="H25" s="4"/>
      <c r="I25" s="14"/>
      <c r="J25" s="4"/>
      <c r="K25" s="4"/>
      <c r="L25" s="4"/>
      <c r="M25" s="14"/>
      <c r="N25" s="4"/>
      <c r="O25" s="4"/>
      <c r="P25" s="4"/>
      <c r="Q25" s="4"/>
      <c r="R25" s="4"/>
      <c r="S25" s="4"/>
      <c r="T25" s="4"/>
      <c r="U25" s="4"/>
      <c r="W25" s="534"/>
    </row>
    <row r="26" spans="1:25">
      <c r="A26" s="1" t="s">
        <v>305</v>
      </c>
      <c r="B26" s="1" t="s">
        <v>306</v>
      </c>
      <c r="C26" s="8" t="s">
        <v>13</v>
      </c>
      <c r="D26" s="6">
        <f>'Input Gas Prices'!B4</f>
        <v>1.75</v>
      </c>
      <c r="E26" s="15" t="s">
        <v>29</v>
      </c>
      <c r="F26" s="6">
        <v>5.2200000000000003E-2</v>
      </c>
      <c r="G26" s="608">
        <v>5.0599999999999999E-2</v>
      </c>
      <c r="H26" s="289">
        <f t="shared" ref="H26:H31" si="0">+D26/(1-G26)+F26</f>
        <v>1.8954694333263113</v>
      </c>
      <c r="I26" s="15" t="s">
        <v>307</v>
      </c>
      <c r="J26" s="6">
        <v>0</v>
      </c>
      <c r="K26" s="7">
        <v>0</v>
      </c>
      <c r="L26" s="289">
        <f t="shared" ref="L26:L31" si="1">+H26/(1-K26)+J26</f>
        <v>1.8954694333263113</v>
      </c>
      <c r="M26" s="15"/>
      <c r="N26" s="6">
        <v>0</v>
      </c>
      <c r="O26" s="7">
        <v>0</v>
      </c>
      <c r="P26" s="289">
        <f t="shared" ref="P26:P31" si="2">+L26/(1-O26)+N26</f>
        <v>1.8954694333263113</v>
      </c>
      <c r="Q26" s="6">
        <v>2.8899999999999999E-2</v>
      </c>
      <c r="R26" s="7">
        <v>2.7799999999999998E-2</v>
      </c>
      <c r="S26" s="289">
        <f t="shared" ref="S26:S31" si="3">+P26/(1-R26)+Q26</f>
        <v>1.9785702667417315</v>
      </c>
      <c r="T26" s="538">
        <f>+'[1]Tier 1 &amp; 2 Weightings'!L31</f>
        <v>999.95708512723297</v>
      </c>
      <c r="U26" s="533">
        <f t="shared" ref="U26:U31" si="4">+T26/$T$33</f>
        <v>4.6297490338248523E-2</v>
      </c>
      <c r="V26" s="289">
        <f t="shared" ref="V26:V31" si="5">+U26*S26</f>
        <v>9.1602837808021115E-2</v>
      </c>
      <c r="W26" s="534"/>
    </row>
    <row r="27" spans="1:25">
      <c r="A27" s="2"/>
      <c r="B27" s="1" t="s">
        <v>308</v>
      </c>
      <c r="C27" s="8" t="s">
        <v>14</v>
      </c>
      <c r="D27" s="6">
        <f>'Input Gas Prices'!B5</f>
        <v>1.73</v>
      </c>
      <c r="E27" s="15" t="s">
        <v>30</v>
      </c>
      <c r="F27" s="6">
        <v>5.2200000000000003E-2</v>
      </c>
      <c r="G27" s="608">
        <v>5.8000000000000003E-2</v>
      </c>
      <c r="H27" s="289">
        <f t="shared" si="0"/>
        <v>1.8887180467091296</v>
      </c>
      <c r="I27" s="15" t="s">
        <v>307</v>
      </c>
      <c r="J27" s="6">
        <v>0</v>
      </c>
      <c r="K27" s="7">
        <v>0</v>
      </c>
      <c r="L27" s="289">
        <f t="shared" si="1"/>
        <v>1.8887180467091296</v>
      </c>
      <c r="M27" s="15"/>
      <c r="N27" s="6">
        <v>0</v>
      </c>
      <c r="O27" s="7">
        <v>0</v>
      </c>
      <c r="P27" s="289">
        <f t="shared" si="2"/>
        <v>1.8887180467091296</v>
      </c>
      <c r="Q27" s="6">
        <v>2.8899999999999999E-2</v>
      </c>
      <c r="R27" s="7">
        <v>2.7799999999999998E-2</v>
      </c>
      <c r="S27" s="289">
        <f t="shared" si="3"/>
        <v>1.9716258246339535</v>
      </c>
      <c r="T27" s="538">
        <f>+'[1]Tier 1 &amp; 2 Weightings'!L32</f>
        <v>1222.5357680755535</v>
      </c>
      <c r="U27" s="533">
        <f t="shared" si="4"/>
        <v>5.6602767011185724E-2</v>
      </c>
      <c r="V27" s="289">
        <f t="shared" si="5"/>
        <v>0.11159947718499259</v>
      </c>
      <c r="W27" s="534"/>
    </row>
    <row r="28" spans="1:25">
      <c r="A28" s="2"/>
      <c r="B28" s="1" t="s">
        <v>40</v>
      </c>
      <c r="C28" s="8" t="s">
        <v>15</v>
      </c>
      <c r="D28" s="6">
        <f>'Input Gas Prices'!B6</f>
        <v>2.02</v>
      </c>
      <c r="E28" s="15" t="s">
        <v>309</v>
      </c>
      <c r="F28" s="6">
        <v>0</v>
      </c>
      <c r="G28" s="10">
        <v>0</v>
      </c>
      <c r="H28" s="289">
        <f t="shared" si="0"/>
        <v>2.02</v>
      </c>
      <c r="I28" s="15"/>
      <c r="J28" s="6">
        <v>0</v>
      </c>
      <c r="K28" s="7">
        <v>0</v>
      </c>
      <c r="L28" s="289">
        <f t="shared" si="1"/>
        <v>2.02</v>
      </c>
      <c r="M28" s="15"/>
      <c r="N28" s="6">
        <v>0</v>
      </c>
      <c r="O28" s="7">
        <v>0</v>
      </c>
      <c r="P28" s="289">
        <f t="shared" si="2"/>
        <v>2.02</v>
      </c>
      <c r="Q28" s="6">
        <v>2.8899999999999999E-2</v>
      </c>
      <c r="R28" s="7">
        <v>2.7799999999999998E-2</v>
      </c>
      <c r="S28" s="289">
        <f t="shared" si="3"/>
        <v>2.1066617774120555</v>
      </c>
      <c r="T28" s="538">
        <f>+'[1]Tier 1 &amp; 2 Weightings'!L33</f>
        <v>18492.2281652741</v>
      </c>
      <c r="U28" s="533">
        <f t="shared" si="4"/>
        <v>0.85618049769158888</v>
      </c>
      <c r="V28" s="289">
        <f t="shared" si="5"/>
        <v>1.8036827290525008</v>
      </c>
      <c r="W28" s="534"/>
    </row>
    <row r="29" spans="1:25">
      <c r="A29" s="2"/>
      <c r="B29" s="1" t="s">
        <v>41</v>
      </c>
      <c r="C29" s="8" t="s">
        <v>16</v>
      </c>
      <c r="D29" s="6">
        <f>'Input Gas Prices'!B7</f>
        <v>2.02</v>
      </c>
      <c r="E29" s="15" t="s">
        <v>310</v>
      </c>
      <c r="F29" s="6">
        <v>0</v>
      </c>
      <c r="G29" s="10">
        <v>0</v>
      </c>
      <c r="H29" s="289">
        <f t="shared" si="0"/>
        <v>2.02</v>
      </c>
      <c r="I29" s="15"/>
      <c r="J29" s="6">
        <v>0</v>
      </c>
      <c r="K29" s="7">
        <v>0</v>
      </c>
      <c r="L29" s="289">
        <f t="shared" si="1"/>
        <v>2.02</v>
      </c>
      <c r="M29" s="15"/>
      <c r="N29" s="6">
        <v>0</v>
      </c>
      <c r="O29" s="7">
        <v>0</v>
      </c>
      <c r="P29" s="289">
        <f t="shared" si="2"/>
        <v>2.02</v>
      </c>
      <c r="Q29" s="6">
        <v>2.8899999999999999E-2</v>
      </c>
      <c r="R29" s="7">
        <v>2.7799999999999998E-2</v>
      </c>
      <c r="S29" s="289">
        <f t="shared" si="3"/>
        <v>2.1066617774120555</v>
      </c>
      <c r="T29" s="538">
        <f>+'[1]Tier 1 &amp; 2 Weightings'!L34</f>
        <v>622.15913605951459</v>
      </c>
      <c r="U29" s="533">
        <f t="shared" si="4"/>
        <v>2.8805642781063345E-2</v>
      </c>
      <c r="V29" s="289">
        <f t="shared" si="5"/>
        <v>6.0683746620651652E-2</v>
      </c>
      <c r="W29" s="534"/>
    </row>
    <row r="30" spans="1:25">
      <c r="A30" s="2"/>
      <c r="B30" s="1" t="s">
        <v>26</v>
      </c>
      <c r="C30" s="8" t="s">
        <v>19</v>
      </c>
      <c r="D30" s="6">
        <f>'Input Gas Prices'!B9</f>
        <v>1.78</v>
      </c>
      <c r="E30" s="15" t="s">
        <v>31</v>
      </c>
      <c r="F30" s="609">
        <f>0.0367+0.0022</f>
        <v>3.8900000000000004E-2</v>
      </c>
      <c r="G30" s="608">
        <v>5.04E-2</v>
      </c>
      <c r="H30" s="289">
        <f t="shared" si="0"/>
        <v>1.9133734625105308</v>
      </c>
      <c r="I30" s="15" t="s">
        <v>307</v>
      </c>
      <c r="J30" s="6">
        <v>0</v>
      </c>
      <c r="K30" s="7">
        <v>0</v>
      </c>
      <c r="L30" s="289">
        <f t="shared" si="1"/>
        <v>1.9133734625105308</v>
      </c>
      <c r="M30" s="15"/>
      <c r="N30" s="6">
        <v>0</v>
      </c>
      <c r="O30" s="7">
        <v>0</v>
      </c>
      <c r="P30" s="289">
        <f t="shared" si="2"/>
        <v>1.9133734625105308</v>
      </c>
      <c r="Q30" s="6">
        <v>2.8899999999999999E-2</v>
      </c>
      <c r="R30" s="7">
        <v>2.7799999999999998E-2</v>
      </c>
      <c r="S30" s="289">
        <f t="shared" si="3"/>
        <v>1.9969862605539301</v>
      </c>
      <c r="T30" s="538">
        <f>+'[1]Tier 1 &amp; 2 Weightings'!L35</f>
        <v>255.51844575251178</v>
      </c>
      <c r="U30" s="533">
        <f t="shared" si="4"/>
        <v>1.18303704723148E-2</v>
      </c>
      <c r="V30" s="289">
        <f t="shared" si="5"/>
        <v>2.3625087290475563E-2</v>
      </c>
      <c r="W30" s="534"/>
    </row>
    <row r="31" spans="1:25">
      <c r="A31" s="2"/>
      <c r="B31" s="1" t="s">
        <v>27</v>
      </c>
      <c r="C31" s="8" t="s">
        <v>20</v>
      </c>
      <c r="D31" s="6">
        <f>'Input Gas Prices'!B10</f>
        <v>1.86</v>
      </c>
      <c r="E31" s="15" t="s">
        <v>32</v>
      </c>
      <c r="F31" s="609">
        <f>0.0366+0.0022</f>
        <v>3.8800000000000001E-2</v>
      </c>
      <c r="G31" s="608">
        <v>4.6199999999999998E-2</v>
      </c>
      <c r="H31" s="289">
        <f t="shared" si="0"/>
        <v>1.9888943594044874</v>
      </c>
      <c r="I31" s="15" t="s">
        <v>307</v>
      </c>
      <c r="J31" s="6">
        <v>0</v>
      </c>
      <c r="K31" s="7">
        <v>0</v>
      </c>
      <c r="L31" s="289">
        <f t="shared" si="1"/>
        <v>1.9888943594044874</v>
      </c>
      <c r="M31" s="15"/>
      <c r="N31" s="6">
        <v>0</v>
      </c>
      <c r="O31" s="7">
        <v>0</v>
      </c>
      <c r="P31" s="289">
        <f t="shared" si="2"/>
        <v>1.9888943594044874</v>
      </c>
      <c r="Q31" s="6">
        <v>2.8899999999999999E-2</v>
      </c>
      <c r="R31" s="7">
        <v>2.7799999999999998E-2</v>
      </c>
      <c r="S31" s="289">
        <f t="shared" si="3"/>
        <v>2.0746666729114254</v>
      </c>
      <c r="T31" s="538">
        <f>+'[1]Tier 1 &amp; 2 Weightings'!L36</f>
        <v>6.1173845207783666</v>
      </c>
      <c r="U31" s="533">
        <f t="shared" si="4"/>
        <v>2.8323170559869687E-4</v>
      </c>
      <c r="V31" s="289">
        <f t="shared" si="5"/>
        <v>5.8761138031747677E-4</v>
      </c>
      <c r="W31" s="534"/>
    </row>
    <row r="32" spans="1:25">
      <c r="A32" s="2"/>
      <c r="D32" s="6"/>
      <c r="E32" s="15"/>
      <c r="F32" s="6"/>
      <c r="G32" s="10"/>
      <c r="H32" s="289"/>
      <c r="I32" s="15"/>
      <c r="J32" s="6"/>
      <c r="K32" s="7"/>
      <c r="L32" s="289"/>
      <c r="M32" s="15"/>
      <c r="N32" s="6"/>
      <c r="O32" s="7"/>
      <c r="P32" s="289"/>
      <c r="Q32" s="6"/>
      <c r="R32" s="7"/>
      <c r="S32" s="289"/>
      <c r="T32" s="538"/>
      <c r="U32" s="4"/>
      <c r="W32" s="534"/>
    </row>
    <row r="33" spans="1:25">
      <c r="A33" s="2"/>
      <c r="D33" s="6"/>
      <c r="E33" s="15"/>
      <c r="F33" s="6"/>
      <c r="G33" s="10"/>
      <c r="H33" s="289"/>
      <c r="I33" s="15"/>
      <c r="J33" s="6"/>
      <c r="K33" s="7"/>
      <c r="L33" s="289"/>
      <c r="M33" s="15"/>
      <c r="N33" s="6"/>
      <c r="O33" s="7"/>
      <c r="P33" s="289"/>
      <c r="Q33" s="6"/>
      <c r="R33" s="7"/>
      <c r="S33" s="590" t="s">
        <v>326</v>
      </c>
      <c r="T33" s="532">
        <f>SUM(T26:T31)</f>
        <v>21598.515984809692</v>
      </c>
      <c r="U33" s="4"/>
      <c r="V33" s="289">
        <f>SUM(V26:V31)</f>
        <v>2.0917814893369591</v>
      </c>
      <c r="W33" s="414">
        <f>'Strg Refill Quantity'!I36</f>
        <v>298244.08333333331</v>
      </c>
      <c r="X33" s="533">
        <f>+W33/$W$46</f>
        <v>0.39283922968834628</v>
      </c>
      <c r="Y33" s="289">
        <f>+X33*V33</f>
        <v>0.82173382894747271</v>
      </c>
    </row>
    <row r="34" spans="1:25">
      <c r="A34" s="2"/>
      <c r="D34" s="6"/>
      <c r="E34" s="15"/>
      <c r="F34" s="6"/>
      <c r="G34" s="10"/>
      <c r="H34" s="289"/>
      <c r="I34" s="15"/>
      <c r="J34" s="6"/>
      <c r="K34" s="7"/>
      <c r="L34" s="289"/>
      <c r="M34" s="15"/>
      <c r="N34" s="6"/>
      <c r="O34" s="7"/>
      <c r="P34" s="289"/>
      <c r="Q34" s="6"/>
      <c r="R34" s="7"/>
      <c r="S34" s="590"/>
      <c r="T34" s="532"/>
      <c r="U34" s="4"/>
      <c r="W34" s="534"/>
    </row>
    <row r="35" spans="1:25">
      <c r="A35" s="2"/>
      <c r="B35" s="2"/>
      <c r="C35" s="9"/>
      <c r="D35" s="4"/>
      <c r="E35" s="14"/>
      <c r="F35" s="4"/>
      <c r="G35" s="4"/>
      <c r="H35" s="4"/>
      <c r="I35" s="14"/>
      <c r="J35" s="4"/>
      <c r="K35" s="4"/>
      <c r="L35" s="4"/>
      <c r="M35" s="14"/>
      <c r="N35" s="4"/>
      <c r="O35" s="4"/>
      <c r="P35" s="4"/>
      <c r="Q35" s="4"/>
      <c r="R35" s="4"/>
      <c r="S35" s="4"/>
      <c r="T35" s="4"/>
      <c r="U35" s="4"/>
      <c r="W35" s="534"/>
    </row>
    <row r="36" spans="1:25">
      <c r="A36" s="1" t="s">
        <v>311</v>
      </c>
      <c r="B36" s="1" t="s">
        <v>306</v>
      </c>
      <c r="C36" s="8" t="s">
        <v>13</v>
      </c>
      <c r="D36" s="6">
        <f>'Input Gas Prices'!B4</f>
        <v>1.75</v>
      </c>
      <c r="E36" s="15" t="s">
        <v>29</v>
      </c>
      <c r="F36" s="6">
        <v>5.2200000000000003E-2</v>
      </c>
      <c r="G36" s="10">
        <v>5.0599999999999999E-2</v>
      </c>
      <c r="H36" s="289">
        <f t="shared" ref="H36:H41" si="6">+D36/(1-G36)+F36</f>
        <v>1.8954694333263113</v>
      </c>
      <c r="I36" s="15" t="s">
        <v>307</v>
      </c>
      <c r="J36" s="609">
        <f>0.0951+0.0022+0.007</f>
        <v>0.1043</v>
      </c>
      <c r="K36" s="7">
        <v>2.2800000000000001E-2</v>
      </c>
      <c r="L36" s="289">
        <f t="shared" ref="L36:L41" si="7">+H36/(1-K36)+J36</f>
        <v>2.0439944671779693</v>
      </c>
      <c r="M36" s="15"/>
      <c r="N36" s="6">
        <v>0</v>
      </c>
      <c r="O36" s="7">
        <v>0</v>
      </c>
      <c r="P36" s="289">
        <f t="shared" ref="P36:P41" si="8">+L36/(1-O36)+N36</f>
        <v>2.0439944671779693</v>
      </c>
      <c r="Q36" s="6">
        <f t="shared" ref="Q36:Q41" si="9">0.0009+0.0022</f>
        <v>3.1000000000000003E-3</v>
      </c>
      <c r="R36" s="7">
        <v>0.188</v>
      </c>
      <c r="S36" s="289">
        <f t="shared" ref="S36:S41" si="10">+P36/(1-R36)+Q36</f>
        <v>2.5203345654901095</v>
      </c>
      <c r="T36" s="287">
        <f t="shared" ref="T36:T41" si="11">+T26</f>
        <v>999.95708512723297</v>
      </c>
      <c r="U36" s="533">
        <f t="shared" ref="U36:U41" si="12">+T36/$T$43</f>
        <v>4.6297490338248523E-2</v>
      </c>
      <c r="V36" s="289">
        <f t="shared" ref="V36:V41" si="13">+U36*S36</f>
        <v>0.11668516519493213</v>
      </c>
      <c r="W36" s="539"/>
    </row>
    <row r="37" spans="1:25">
      <c r="A37" s="2"/>
      <c r="B37" s="1" t="s">
        <v>308</v>
      </c>
      <c r="C37" s="8" t="s">
        <v>14</v>
      </c>
      <c r="D37" s="6">
        <f>'Input Gas Prices'!B5</f>
        <v>1.73</v>
      </c>
      <c r="E37" s="15" t="s">
        <v>30</v>
      </c>
      <c r="F37" s="6">
        <v>5.2200000000000003E-2</v>
      </c>
      <c r="G37" s="10">
        <v>5.8000000000000003E-2</v>
      </c>
      <c r="H37" s="289">
        <f t="shared" si="6"/>
        <v>1.8887180467091296</v>
      </c>
      <c r="I37" s="15" t="s">
        <v>307</v>
      </c>
      <c r="J37" s="609">
        <f>0.0951+0.0022+0.007</f>
        <v>0.1043</v>
      </c>
      <c r="K37" s="7">
        <v>2.2800000000000001E-2</v>
      </c>
      <c r="L37" s="289">
        <f t="shared" si="7"/>
        <v>2.037085557418266</v>
      </c>
      <c r="M37" s="15"/>
      <c r="N37" s="6">
        <v>0</v>
      </c>
      <c r="O37" s="7">
        <v>0</v>
      </c>
      <c r="P37" s="289">
        <f t="shared" si="8"/>
        <v>2.037085557418266</v>
      </c>
      <c r="Q37" s="6">
        <f t="shared" si="9"/>
        <v>3.1000000000000003E-3</v>
      </c>
      <c r="R37" s="7">
        <v>0.188</v>
      </c>
      <c r="S37" s="289">
        <f t="shared" si="10"/>
        <v>2.5118260559338248</v>
      </c>
      <c r="T37" s="287">
        <f t="shared" si="11"/>
        <v>1222.5357680755535</v>
      </c>
      <c r="U37" s="533">
        <f t="shared" si="12"/>
        <v>5.6602767011185724E-2</v>
      </c>
      <c r="V37" s="289">
        <f t="shared" si="13"/>
        <v>0.14217630501664785</v>
      </c>
      <c r="W37" s="539"/>
    </row>
    <row r="38" spans="1:25">
      <c r="A38" s="2"/>
      <c r="B38" s="1" t="s">
        <v>40</v>
      </c>
      <c r="C38" s="8" t="s">
        <v>15</v>
      </c>
      <c r="D38" s="6">
        <f>'Input Gas Prices'!B6</f>
        <v>2.02</v>
      </c>
      <c r="E38" s="15" t="s">
        <v>309</v>
      </c>
      <c r="F38" s="609">
        <f>0.0951+0.0022+0.007</f>
        <v>0.1043</v>
      </c>
      <c r="G38" s="7">
        <v>2.2800000000000001E-2</v>
      </c>
      <c r="H38" s="289">
        <f t="shared" si="6"/>
        <v>2.1714305771592306</v>
      </c>
      <c r="I38" s="15"/>
      <c r="J38" s="6">
        <v>0</v>
      </c>
      <c r="K38" s="7">
        <v>0</v>
      </c>
      <c r="L38" s="289">
        <f t="shared" si="7"/>
        <v>2.1714305771592306</v>
      </c>
      <c r="M38" s="15"/>
      <c r="N38" s="6">
        <v>0</v>
      </c>
      <c r="O38" s="7">
        <v>0</v>
      </c>
      <c r="P38" s="289">
        <f t="shared" si="8"/>
        <v>2.1714305771592306</v>
      </c>
      <c r="Q38" s="6">
        <f t="shared" si="9"/>
        <v>3.1000000000000003E-3</v>
      </c>
      <c r="R38" s="7">
        <v>0.188</v>
      </c>
      <c r="S38" s="289">
        <f t="shared" si="10"/>
        <v>2.67727558763452</v>
      </c>
      <c r="T38" s="287">
        <f t="shared" si="11"/>
        <v>18492.2281652741</v>
      </c>
      <c r="U38" s="533">
        <f t="shared" si="12"/>
        <v>0.85618049769158888</v>
      </c>
      <c r="V38" s="289">
        <f t="shared" si="13"/>
        <v>2.2922311450784645</v>
      </c>
      <c r="W38" s="539"/>
    </row>
    <row r="39" spans="1:25">
      <c r="A39" s="2"/>
      <c r="B39" s="1" t="s">
        <v>41</v>
      </c>
      <c r="C39" s="8" t="s">
        <v>16</v>
      </c>
      <c r="D39" s="6">
        <f>'Input Gas Prices'!B7</f>
        <v>2.02</v>
      </c>
      <c r="E39" s="15" t="s">
        <v>310</v>
      </c>
      <c r="F39" s="609">
        <f>0.0951+0.0022+0.007</f>
        <v>0.1043</v>
      </c>
      <c r="G39" s="7">
        <v>2.2800000000000001E-2</v>
      </c>
      <c r="H39" s="289">
        <f t="shared" si="6"/>
        <v>2.1714305771592306</v>
      </c>
      <c r="I39" s="15"/>
      <c r="J39" s="6">
        <v>0</v>
      </c>
      <c r="K39" s="7">
        <v>0</v>
      </c>
      <c r="L39" s="289">
        <f t="shared" si="7"/>
        <v>2.1714305771592306</v>
      </c>
      <c r="M39" s="15"/>
      <c r="N39" s="6">
        <v>0</v>
      </c>
      <c r="O39" s="7">
        <v>0</v>
      </c>
      <c r="P39" s="289">
        <f t="shared" si="8"/>
        <v>2.1714305771592306</v>
      </c>
      <c r="Q39" s="6">
        <f t="shared" si="9"/>
        <v>3.1000000000000003E-3</v>
      </c>
      <c r="R39" s="7">
        <v>0.188</v>
      </c>
      <c r="S39" s="289">
        <f t="shared" si="10"/>
        <v>2.67727558763452</v>
      </c>
      <c r="T39" s="287">
        <f t="shared" si="11"/>
        <v>622.15913605951459</v>
      </c>
      <c r="U39" s="533">
        <f t="shared" si="12"/>
        <v>2.8805642781063345E-2</v>
      </c>
      <c r="V39" s="289">
        <f t="shared" si="13"/>
        <v>7.7120644203861444E-2</v>
      </c>
      <c r="W39" s="539"/>
    </row>
    <row r="40" spans="1:25">
      <c r="A40" s="2"/>
      <c r="B40" s="1" t="s">
        <v>26</v>
      </c>
      <c r="C40" s="8" t="s">
        <v>19</v>
      </c>
      <c r="D40" s="6">
        <f>'Input Gas Prices'!B9</f>
        <v>1.78</v>
      </c>
      <c r="E40" s="15" t="s">
        <v>31</v>
      </c>
      <c r="F40" s="609">
        <f>0.0367+0.0022</f>
        <v>3.8900000000000004E-2</v>
      </c>
      <c r="G40" s="608">
        <v>5.04E-2</v>
      </c>
      <c r="H40" s="289">
        <f t="shared" si="6"/>
        <v>1.9133734625105308</v>
      </c>
      <c r="I40" s="15" t="s">
        <v>307</v>
      </c>
      <c r="J40" s="609">
        <f>0.0951+0.0022+0.007</f>
        <v>0.1043</v>
      </c>
      <c r="K40" s="7">
        <v>2.2800000000000001E-2</v>
      </c>
      <c r="L40" s="289">
        <f t="shared" si="7"/>
        <v>2.0623162326141329</v>
      </c>
      <c r="M40" s="15"/>
      <c r="N40" s="6">
        <v>0</v>
      </c>
      <c r="O40" s="7">
        <v>0</v>
      </c>
      <c r="P40" s="289">
        <f t="shared" si="8"/>
        <v>2.0623162326141329</v>
      </c>
      <c r="Q40" s="6">
        <f t="shared" si="9"/>
        <v>3.1000000000000003E-3</v>
      </c>
      <c r="R40" s="7">
        <v>0.188</v>
      </c>
      <c r="S40" s="289">
        <f t="shared" si="10"/>
        <v>2.5428983160272569</v>
      </c>
      <c r="T40" s="287">
        <f t="shared" si="11"/>
        <v>255.51844575251178</v>
      </c>
      <c r="U40" s="533">
        <f t="shared" si="12"/>
        <v>1.18303704723148E-2</v>
      </c>
      <c r="V40" s="289">
        <f t="shared" si="13"/>
        <v>3.0083429152027889E-2</v>
      </c>
      <c r="W40" s="539"/>
    </row>
    <row r="41" spans="1:25">
      <c r="A41" s="2"/>
      <c r="B41" s="1" t="s">
        <v>27</v>
      </c>
      <c r="C41" s="8" t="s">
        <v>20</v>
      </c>
      <c r="D41" s="6">
        <f>'Input Gas Prices'!B10</f>
        <v>1.86</v>
      </c>
      <c r="E41" s="15" t="s">
        <v>32</v>
      </c>
      <c r="F41" s="609">
        <f>0.0366+0.0022</f>
        <v>3.8800000000000001E-2</v>
      </c>
      <c r="G41" s="608">
        <v>4.6199999999999998E-2</v>
      </c>
      <c r="H41" s="289">
        <f t="shared" si="6"/>
        <v>1.9888943594044874</v>
      </c>
      <c r="I41" s="15" t="s">
        <v>307</v>
      </c>
      <c r="J41" s="609">
        <f>0.0951+0.0022+0.007</f>
        <v>0.1043</v>
      </c>
      <c r="K41" s="7">
        <v>2.2800000000000001E-2</v>
      </c>
      <c r="L41" s="289">
        <f t="shared" si="7"/>
        <v>2.1395991807250176</v>
      </c>
      <c r="M41" s="15"/>
      <c r="N41" s="6">
        <v>0</v>
      </c>
      <c r="O41" s="7">
        <v>0</v>
      </c>
      <c r="P41" s="289">
        <f t="shared" si="8"/>
        <v>2.1395991807250176</v>
      </c>
      <c r="Q41" s="6">
        <f t="shared" si="9"/>
        <v>3.1000000000000003E-3</v>
      </c>
      <c r="R41" s="7">
        <v>0.188</v>
      </c>
      <c r="S41" s="289">
        <f t="shared" si="10"/>
        <v>2.63807436049879</v>
      </c>
      <c r="T41" s="287">
        <f t="shared" si="11"/>
        <v>6.1173845207783666</v>
      </c>
      <c r="U41" s="533">
        <f t="shared" si="12"/>
        <v>2.8323170559869687E-4</v>
      </c>
      <c r="V41" s="289">
        <f t="shared" si="13"/>
        <v>7.4718630062026376E-4</v>
      </c>
      <c r="W41" s="539"/>
    </row>
    <row r="42" spans="1: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539"/>
    </row>
    <row r="43" spans="1: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90" t="s">
        <v>326</v>
      </c>
      <c r="T43" s="532">
        <f>SUM(T36:T41)</f>
        <v>21598.515984809692</v>
      </c>
      <c r="U43" s="2"/>
      <c r="V43" s="289">
        <f>SUM(V36:V41)</f>
        <v>2.6590438749465544</v>
      </c>
      <c r="W43" s="414">
        <f>'Strg Refill Quantity'!I34</f>
        <v>8169.5</v>
      </c>
      <c r="X43" s="533">
        <f>+W43/$W$46</f>
        <v>1.0760649636600039E-2</v>
      </c>
      <c r="Y43" s="289">
        <f>+X43*V43</f>
        <v>2.86130395066472E-2</v>
      </c>
    </row>
    <row r="44" spans="1: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5" ht="13.5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5" ht="13.5" thickBot="1">
      <c r="A46" s="2"/>
      <c r="B46" s="540" t="s">
        <v>328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91" t="s">
        <v>329</v>
      </c>
      <c r="W46" s="607">
        <f>SUM(W9:W43)</f>
        <v>759201.375</v>
      </c>
      <c r="X46" s="592">
        <f>+W46/$W$46</f>
        <v>1</v>
      </c>
      <c r="Y46" s="593">
        <f>SUM(Y9:Y43)</f>
        <v>2.0682504091566822</v>
      </c>
    </row>
    <row r="47" spans="1:25">
      <c r="A47" s="2"/>
      <c r="B47" s="1" t="s">
        <v>330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</sheetData>
  <phoneticPr fontId="0" type="noConversion"/>
  <pageMargins left="0.44" right="0.37" top="1" bottom="1" header="0.5" footer="0.5"/>
  <pageSetup paperSize="5" scale="4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X597"/>
  <sheetViews>
    <sheetView showGridLines="0" showOutlineSymbols="0" zoomScale="60" workbookViewId="0">
      <pane xSplit="2" ySplit="13" topLeftCell="C34" activePane="bottomRight" state="frozen"/>
      <selection pane="topRight" activeCell="C1" sqref="C1"/>
      <selection pane="bottomLeft" activeCell="A14" sqref="A14"/>
      <selection pane="bottomRight" activeCell="A62" sqref="A62"/>
    </sheetView>
  </sheetViews>
  <sheetFormatPr defaultColWidth="13.7109375" defaultRowHeight="15"/>
  <cols>
    <col min="1" max="1" width="4.7109375" style="134" customWidth="1"/>
    <col min="2" max="2" width="9.85546875" style="134" customWidth="1"/>
    <col min="3" max="3" width="18.85546875" style="134" customWidth="1"/>
    <col min="4" max="4" width="15" style="134" customWidth="1"/>
    <col min="5" max="5" width="16.85546875" style="134" customWidth="1"/>
    <col min="6" max="8" width="15" style="134" customWidth="1"/>
    <col min="9" max="9" width="24" style="134" customWidth="1"/>
    <col min="10" max="17" width="15" style="134" customWidth="1"/>
    <col min="18" max="19" width="16.28515625" style="134" customWidth="1"/>
    <col min="20" max="24" width="15" style="134" customWidth="1"/>
    <col min="25" max="26" width="10.42578125" style="132" customWidth="1"/>
    <col min="27" max="27" width="16.140625" style="134" customWidth="1"/>
    <col min="28" max="30" width="13.7109375" style="134" customWidth="1"/>
    <col min="31" max="31" width="4.7109375" style="134" customWidth="1"/>
    <col min="32" max="33" width="13.7109375" style="134" customWidth="1"/>
    <col min="34" max="34" width="3.42578125" style="134" customWidth="1"/>
    <col min="35" max="36" width="13.7109375" style="134" customWidth="1"/>
    <col min="37" max="37" width="4.7109375" style="134" customWidth="1"/>
    <col min="38" max="38" width="18" style="134" customWidth="1"/>
    <col min="39" max="39" width="14.85546875" style="134" customWidth="1"/>
    <col min="40" max="40" width="4.5703125" style="134" customWidth="1"/>
    <col min="41" max="41" width="13.7109375" style="134" customWidth="1"/>
    <col min="42" max="42" width="17" style="134" customWidth="1"/>
    <col min="43" max="43" width="13.7109375" style="134" customWidth="1"/>
    <col min="44" max="44" width="19" style="203" customWidth="1"/>
    <col min="45" max="45" width="13.7109375" style="203" customWidth="1"/>
    <col min="46" max="16384" width="13.7109375" style="134"/>
  </cols>
  <sheetData>
    <row r="1" spans="1:50" ht="30">
      <c r="A1" s="127"/>
      <c r="B1" s="128" t="s">
        <v>64</v>
      </c>
      <c r="C1" s="129"/>
      <c r="D1" s="129"/>
      <c r="E1" s="129"/>
      <c r="F1" s="130"/>
      <c r="G1" s="129"/>
      <c r="H1" s="129"/>
      <c r="I1" s="129"/>
      <c r="J1" s="131"/>
      <c r="K1" s="131"/>
      <c r="L1" s="130"/>
      <c r="M1" s="129"/>
      <c r="N1" s="129"/>
      <c r="O1" s="129"/>
      <c r="P1" s="130"/>
      <c r="Q1" s="131"/>
      <c r="R1" s="129"/>
      <c r="S1" s="129"/>
      <c r="T1" s="129"/>
      <c r="U1" s="129"/>
      <c r="V1" s="129"/>
      <c r="W1" s="129"/>
      <c r="X1" s="129"/>
      <c r="Y1" s="127"/>
      <c r="Z1" s="127"/>
      <c r="AA1" s="133"/>
    </row>
    <row r="2" spans="1:50" ht="30">
      <c r="A2" s="127"/>
      <c r="B2" s="383">
        <f>C6</f>
        <v>37165</v>
      </c>
      <c r="C2" s="129"/>
      <c r="D2" s="135"/>
      <c r="E2" s="136"/>
      <c r="F2" s="137"/>
      <c r="G2" s="129"/>
      <c r="H2" s="129"/>
      <c r="I2" s="129"/>
      <c r="J2" s="129"/>
      <c r="K2" s="131"/>
      <c r="L2" s="138"/>
      <c r="M2" s="129"/>
      <c r="N2" s="129"/>
      <c r="O2" s="129"/>
      <c r="P2" s="130"/>
      <c r="Q2" s="139"/>
      <c r="R2" s="139"/>
      <c r="S2" s="139"/>
      <c r="T2" s="139"/>
      <c r="U2" s="139"/>
      <c r="V2" s="139"/>
      <c r="W2" s="139"/>
      <c r="X2" s="129"/>
      <c r="Y2" s="127"/>
      <c r="Z2" s="127"/>
      <c r="AA2" s="133"/>
      <c r="AQ2" s="512">
        <v>15771</v>
      </c>
      <c r="AR2" s="513" t="s">
        <v>215</v>
      </c>
    </row>
    <row r="3" spans="1:50" ht="30">
      <c r="A3" s="127"/>
      <c r="B3" s="128" t="s">
        <v>108</v>
      </c>
      <c r="C3" s="129"/>
      <c r="D3" s="135"/>
      <c r="E3" s="408"/>
      <c r="F3" s="129"/>
      <c r="G3" s="129"/>
      <c r="H3" s="129"/>
      <c r="I3" s="129"/>
      <c r="J3" s="129"/>
      <c r="K3" s="137"/>
      <c r="L3" s="138"/>
      <c r="M3" s="137"/>
      <c r="N3" s="129"/>
      <c r="O3" s="129"/>
      <c r="P3" s="130"/>
      <c r="Q3" s="129"/>
      <c r="R3" s="129"/>
      <c r="S3" s="129"/>
      <c r="T3" s="129"/>
      <c r="U3" s="129"/>
      <c r="V3" s="129"/>
      <c r="W3" s="129"/>
      <c r="X3" s="129"/>
      <c r="Y3" s="127"/>
      <c r="Z3" s="127"/>
      <c r="AA3" s="133"/>
      <c r="AQ3" s="512">
        <v>2257</v>
      </c>
      <c r="AR3" s="513" t="s">
        <v>216</v>
      </c>
    </row>
    <row r="4" spans="1:50" ht="30.75">
      <c r="A4" s="127"/>
      <c r="B4" s="128" t="s">
        <v>109</v>
      </c>
      <c r="C4" s="129"/>
      <c r="D4" s="129"/>
      <c r="E4" s="129"/>
      <c r="F4" s="129"/>
      <c r="G4" s="129"/>
      <c r="H4" s="129"/>
      <c r="I4" s="129"/>
      <c r="J4" s="129"/>
      <c r="K4" s="129"/>
      <c r="L4" s="130"/>
      <c r="M4" s="129"/>
      <c r="N4" s="129"/>
      <c r="O4" s="129"/>
      <c r="P4" s="130"/>
      <c r="Q4" s="140"/>
      <c r="R4" s="129"/>
      <c r="S4" s="129"/>
      <c r="T4" s="129"/>
      <c r="U4" s="129"/>
      <c r="V4" s="129"/>
      <c r="W4" s="129"/>
      <c r="X4" s="129"/>
      <c r="Y4" s="127"/>
      <c r="Z4" s="127"/>
      <c r="AA4" s="133"/>
      <c r="AQ4" s="512">
        <v>110554</v>
      </c>
      <c r="AR4" s="513" t="s">
        <v>217</v>
      </c>
    </row>
    <row r="5" spans="1:50">
      <c r="A5" s="127"/>
      <c r="B5" s="141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3"/>
      <c r="W5" s="144"/>
      <c r="X5" s="145"/>
      <c r="Y5" s="127"/>
      <c r="Z5" s="127"/>
      <c r="AA5" s="133"/>
    </row>
    <row r="6" spans="1:50" ht="15.75">
      <c r="A6" s="127"/>
      <c r="B6" s="141"/>
      <c r="C6" s="382">
        <v>37165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6"/>
      <c r="Y6" s="127"/>
      <c r="Z6" s="127"/>
      <c r="AA6" s="133"/>
    </row>
    <row r="7" spans="1:50" ht="15.75">
      <c r="A7" s="127"/>
      <c r="B7" s="147"/>
      <c r="C7" s="148"/>
      <c r="D7" s="149"/>
      <c r="E7" s="149"/>
      <c r="F7" s="149"/>
      <c r="G7" s="148"/>
      <c r="H7" s="149"/>
      <c r="I7" s="149"/>
      <c r="J7" s="149"/>
      <c r="K7" s="149"/>
      <c r="L7" s="148"/>
      <c r="M7" s="149"/>
      <c r="N7" s="149"/>
      <c r="O7" s="149"/>
      <c r="P7" s="149"/>
      <c r="Q7" s="148"/>
      <c r="R7" s="222"/>
      <c r="S7" s="384"/>
      <c r="T7" s="148"/>
      <c r="U7" s="149"/>
      <c r="V7" s="149"/>
      <c r="W7" s="149"/>
      <c r="X7" s="148"/>
      <c r="Y7" s="233"/>
      <c r="Z7" s="174"/>
      <c r="AA7" s="133"/>
      <c r="AQ7" s="200" t="s">
        <v>192</v>
      </c>
    </row>
    <row r="8" spans="1:50" ht="17.100000000000001" customHeight="1">
      <c r="A8" s="127"/>
      <c r="B8" s="151" t="s">
        <v>110</v>
      </c>
      <c r="C8" s="152" t="s">
        <v>111</v>
      </c>
      <c r="D8" s="129"/>
      <c r="E8" s="129"/>
      <c r="F8" s="129"/>
      <c r="G8" s="152" t="s">
        <v>112</v>
      </c>
      <c r="H8" s="129"/>
      <c r="I8" s="129"/>
      <c r="J8" s="129"/>
      <c r="K8" s="129"/>
      <c r="L8" s="153" t="s">
        <v>62</v>
      </c>
      <c r="M8" s="129"/>
      <c r="N8" s="129"/>
      <c r="O8" s="129"/>
      <c r="P8" s="130"/>
      <c r="Q8" s="151" t="s">
        <v>113</v>
      </c>
      <c r="R8" s="223" t="s">
        <v>114</v>
      </c>
      <c r="S8" s="385" t="s">
        <v>114</v>
      </c>
      <c r="T8" s="152" t="s">
        <v>115</v>
      </c>
      <c r="U8" s="129"/>
      <c r="V8" s="129"/>
      <c r="W8" s="129"/>
      <c r="X8" s="151" t="s">
        <v>116</v>
      </c>
      <c r="Y8" s="233"/>
      <c r="Z8" s="174"/>
      <c r="AA8" s="133"/>
      <c r="AQ8" s="368">
        <f>AQ2+AQ3+AQ4</f>
        <v>128582</v>
      </c>
    </row>
    <row r="9" spans="1:50" ht="17.100000000000001" customHeight="1">
      <c r="A9" s="127"/>
      <c r="B9" s="151"/>
      <c r="C9" s="154"/>
      <c r="D9" s="142"/>
      <c r="E9" s="142"/>
      <c r="F9" s="142"/>
      <c r="G9" s="154"/>
      <c r="H9" s="142"/>
      <c r="I9" s="142"/>
      <c r="J9" s="142"/>
      <c r="K9" s="142"/>
      <c r="L9" s="154"/>
      <c r="M9" s="142"/>
      <c r="N9" s="142"/>
      <c r="O9" s="142"/>
      <c r="P9" s="142"/>
      <c r="Q9" s="154"/>
      <c r="R9" s="223" t="s">
        <v>117</v>
      </c>
      <c r="S9" s="385" t="s">
        <v>118</v>
      </c>
      <c r="T9" s="154"/>
      <c r="U9" s="142"/>
      <c r="V9" s="142"/>
      <c r="W9" s="142"/>
      <c r="X9" s="151" t="s">
        <v>119</v>
      </c>
      <c r="Y9" s="233"/>
      <c r="Z9" s="174"/>
      <c r="AA9" s="133"/>
      <c r="AO9" s="203"/>
    </row>
    <row r="10" spans="1:50" ht="17.100000000000001" customHeight="1">
      <c r="A10" s="127"/>
      <c r="B10" s="151"/>
      <c r="C10" s="155"/>
      <c r="D10" s="156"/>
      <c r="E10" s="156"/>
      <c r="F10" s="156"/>
      <c r="G10" s="155"/>
      <c r="H10" s="156"/>
      <c r="I10" s="156"/>
      <c r="J10" s="156"/>
      <c r="K10" s="149"/>
      <c r="L10" s="157"/>
      <c r="M10" s="158"/>
      <c r="N10" s="156"/>
      <c r="O10" s="156"/>
      <c r="P10" s="149"/>
      <c r="Q10" s="147"/>
      <c r="R10" s="224" t="s">
        <v>120</v>
      </c>
      <c r="S10" s="386" t="s">
        <v>121</v>
      </c>
      <c r="T10" s="154"/>
      <c r="U10" s="142"/>
      <c r="V10" s="142"/>
      <c r="W10" s="142"/>
      <c r="X10" s="151" t="s">
        <v>122</v>
      </c>
      <c r="Y10" s="233"/>
      <c r="Z10" s="174"/>
      <c r="AA10" s="127"/>
      <c r="AO10" s="203"/>
    </row>
    <row r="11" spans="1:50" ht="17.100000000000001" customHeight="1">
      <c r="A11" s="127"/>
      <c r="B11" s="151"/>
      <c r="C11" s="152"/>
      <c r="D11" s="129"/>
      <c r="E11" s="409" t="s">
        <v>243</v>
      </c>
      <c r="F11" s="160"/>
      <c r="G11" s="152"/>
      <c r="H11" s="129"/>
      <c r="I11" s="409" t="s">
        <v>243</v>
      </c>
      <c r="J11" s="161"/>
      <c r="K11" s="142"/>
      <c r="L11" s="153"/>
      <c r="M11" s="129"/>
      <c r="N11" s="160"/>
      <c r="O11" s="160"/>
      <c r="P11" s="142"/>
      <c r="Q11" s="162"/>
      <c r="R11" s="223" t="s">
        <v>123</v>
      </c>
      <c r="S11" s="385" t="s">
        <v>124</v>
      </c>
      <c r="T11" s="154"/>
      <c r="U11" s="142"/>
      <c r="V11" s="142"/>
      <c r="W11" s="142"/>
      <c r="X11" s="151" t="s">
        <v>125</v>
      </c>
      <c r="Y11" s="233"/>
      <c r="Z11" s="174"/>
      <c r="AA11" s="127"/>
      <c r="AO11" s="203"/>
    </row>
    <row r="12" spans="1:50" ht="16.5" customHeight="1">
      <c r="A12" s="127"/>
      <c r="B12" s="151"/>
      <c r="C12" s="147" t="s">
        <v>126</v>
      </c>
      <c r="D12" s="163" t="s">
        <v>127</v>
      </c>
      <c r="E12" s="411" t="s">
        <v>90</v>
      </c>
      <c r="F12" s="163" t="s">
        <v>128</v>
      </c>
      <c r="G12" s="155" t="s">
        <v>126</v>
      </c>
      <c r="H12" s="163" t="s">
        <v>127</v>
      </c>
      <c r="I12" s="410" t="s">
        <v>78</v>
      </c>
      <c r="J12" s="158" t="s">
        <v>129</v>
      </c>
      <c r="K12" s="163" t="s">
        <v>130</v>
      </c>
      <c r="L12" s="157" t="s">
        <v>126</v>
      </c>
      <c r="M12" s="158" t="s">
        <v>126</v>
      </c>
      <c r="N12" s="158" t="s">
        <v>78</v>
      </c>
      <c r="O12" s="158" t="s">
        <v>91</v>
      </c>
      <c r="P12" s="163" t="s">
        <v>130</v>
      </c>
      <c r="Q12" s="147" t="s">
        <v>109</v>
      </c>
      <c r="R12" s="224" t="s">
        <v>131</v>
      </c>
      <c r="S12" s="385" t="s">
        <v>125</v>
      </c>
      <c r="T12" s="164" t="s">
        <v>132</v>
      </c>
      <c r="U12" s="165" t="s">
        <v>133</v>
      </c>
      <c r="V12" s="165" t="s">
        <v>134</v>
      </c>
      <c r="W12" s="165" t="s">
        <v>135</v>
      </c>
      <c r="X12" s="152"/>
      <c r="Y12" s="234"/>
      <c r="Z12" s="227"/>
      <c r="AA12" s="159"/>
      <c r="AM12" s="200" t="s">
        <v>276</v>
      </c>
      <c r="AO12" s="203"/>
      <c r="AR12" s="302" t="s">
        <v>184</v>
      </c>
    </row>
    <row r="13" spans="1:50" ht="33" customHeight="1">
      <c r="A13" s="127"/>
      <c r="B13" s="152"/>
      <c r="C13" s="152" t="s">
        <v>136</v>
      </c>
      <c r="D13" s="129" t="s">
        <v>136</v>
      </c>
      <c r="E13" s="129" t="s">
        <v>137</v>
      </c>
      <c r="F13" s="141" t="s">
        <v>138</v>
      </c>
      <c r="G13" s="152" t="s">
        <v>136</v>
      </c>
      <c r="H13" s="129" t="s">
        <v>136</v>
      </c>
      <c r="I13" s="129" t="s">
        <v>137</v>
      </c>
      <c r="J13" s="129" t="s">
        <v>138</v>
      </c>
      <c r="K13" s="141" t="s">
        <v>139</v>
      </c>
      <c r="L13" s="153" t="s">
        <v>140</v>
      </c>
      <c r="M13" s="129" t="s">
        <v>136</v>
      </c>
      <c r="N13" s="129" t="s">
        <v>137</v>
      </c>
      <c r="O13" s="129" t="s">
        <v>137</v>
      </c>
      <c r="P13" s="141" t="s">
        <v>139</v>
      </c>
      <c r="Q13" s="151" t="s">
        <v>141</v>
      </c>
      <c r="R13" s="224"/>
      <c r="S13" s="386"/>
      <c r="T13" s="152" t="s">
        <v>142</v>
      </c>
      <c r="U13" s="129" t="s">
        <v>143</v>
      </c>
      <c r="V13" s="141" t="s">
        <v>144</v>
      </c>
      <c r="W13" s="141" t="s">
        <v>145</v>
      </c>
      <c r="X13" s="154"/>
      <c r="Y13" s="233"/>
      <c r="Z13" s="174"/>
      <c r="AA13" s="228" t="s">
        <v>152</v>
      </c>
      <c r="AB13" s="216" t="s">
        <v>105</v>
      </c>
      <c r="AC13" s="217" t="s">
        <v>147</v>
      </c>
      <c r="AD13" s="218" t="s">
        <v>148</v>
      </c>
      <c r="AE13" s="219"/>
      <c r="AF13" s="210" t="s">
        <v>106</v>
      </c>
      <c r="AG13" s="211" t="s">
        <v>61</v>
      </c>
      <c r="AH13" s="194"/>
      <c r="AI13" s="210" t="s">
        <v>107</v>
      </c>
      <c r="AJ13" s="211" t="s">
        <v>60</v>
      </c>
      <c r="AK13" s="197"/>
      <c r="AL13" s="210" t="s">
        <v>149</v>
      </c>
      <c r="AM13" s="369" t="s">
        <v>211</v>
      </c>
      <c r="AN13" s="196"/>
      <c r="AO13" s="373" t="s">
        <v>150</v>
      </c>
      <c r="AP13" s="214" t="s">
        <v>343</v>
      </c>
      <c r="AQ13" s="215" t="s">
        <v>151</v>
      </c>
      <c r="AR13" s="299" t="s">
        <v>183</v>
      </c>
      <c r="AS13" s="291"/>
      <c r="AU13" s="200" t="s">
        <v>97</v>
      </c>
      <c r="AV13" s="194" t="s">
        <v>212</v>
      </c>
      <c r="AX13" s="194" t="s">
        <v>218</v>
      </c>
    </row>
    <row r="14" spans="1:50" ht="12.95" customHeight="1">
      <c r="A14" s="127"/>
      <c r="B14" s="147"/>
      <c r="C14" s="148"/>
      <c r="D14" s="149"/>
      <c r="E14" s="149"/>
      <c r="F14" s="149"/>
      <c r="G14" s="148"/>
      <c r="H14" s="149"/>
      <c r="I14" s="149"/>
      <c r="J14" s="149"/>
      <c r="K14" s="149"/>
      <c r="L14" s="148"/>
      <c r="M14" s="149"/>
      <c r="N14" s="163"/>
      <c r="O14" s="149"/>
      <c r="P14" s="149"/>
      <c r="Q14" s="166"/>
      <c r="R14" s="225"/>
      <c r="S14" s="387"/>
      <c r="T14" s="148"/>
      <c r="U14" s="149"/>
      <c r="V14" s="149"/>
      <c r="W14" s="149"/>
      <c r="X14" s="148"/>
      <c r="Y14" s="233"/>
      <c r="Z14" s="174"/>
      <c r="AA14" s="229"/>
      <c r="AB14" s="220"/>
      <c r="AC14" s="201"/>
      <c r="AD14" s="194"/>
      <c r="AE14" s="194"/>
      <c r="AF14" s="204"/>
      <c r="AG14" s="205"/>
      <c r="AH14" s="194"/>
      <c r="AI14" s="204"/>
      <c r="AJ14" s="207"/>
      <c r="AK14" s="197"/>
      <c r="AL14" s="204"/>
      <c r="AM14" s="205"/>
      <c r="AN14" s="194"/>
      <c r="AO14" s="374"/>
      <c r="AP14" s="208"/>
      <c r="AQ14" s="212"/>
      <c r="AR14" s="300"/>
      <c r="AS14" s="292"/>
    </row>
    <row r="15" spans="1:50" ht="17.100000000000001" customHeight="1">
      <c r="A15" s="167"/>
      <c r="B15" s="238">
        <f>C6</f>
        <v>37165</v>
      </c>
      <c r="C15" s="376">
        <v>20667</v>
      </c>
      <c r="D15" s="412">
        <v>8450</v>
      </c>
      <c r="E15" s="788">
        <v>-7189</v>
      </c>
      <c r="F15" s="377">
        <v>-3156</v>
      </c>
      <c r="G15" s="376">
        <v>6663</v>
      </c>
      <c r="H15" s="412">
        <v>23044</v>
      </c>
      <c r="I15" s="788">
        <v>-15339</v>
      </c>
      <c r="J15" s="377">
        <v>0</v>
      </c>
      <c r="K15" s="377">
        <f>(-G15-H15-I15)*0.0025</f>
        <v>-35.92</v>
      </c>
      <c r="L15" s="376">
        <v>15930</v>
      </c>
      <c r="M15" s="377">
        <v>17906</v>
      </c>
      <c r="N15" s="141">
        <v>-295</v>
      </c>
      <c r="O15" s="141">
        <v>-1906</v>
      </c>
      <c r="P15" s="141">
        <f>(-L15-M15-N15-O15)*0.01</f>
        <v>-316.35000000000002</v>
      </c>
      <c r="Q15" s="151">
        <v>0</v>
      </c>
      <c r="R15" s="223">
        <f>SUM(C15,D15,E15,F15,G15,H15,I15,J15,K15,L15,M15,N15,O15,P15,Q15)</f>
        <v>64422.73</v>
      </c>
      <c r="S15" s="385">
        <v>65505</v>
      </c>
      <c r="T15" s="151">
        <v>122180</v>
      </c>
      <c r="U15" s="141">
        <v>913</v>
      </c>
      <c r="V15" s="141">
        <v>20</v>
      </c>
      <c r="W15" s="141">
        <v>48</v>
      </c>
      <c r="X15" s="151">
        <f>(SUM(T15:W15))+S15</f>
        <v>188666</v>
      </c>
      <c r="Y15" s="235">
        <f>R15-S15</f>
        <v>-1082.2699999999968</v>
      </c>
      <c r="Z15" s="198"/>
      <c r="AA15" s="230">
        <f>R15-D15-H15</f>
        <v>32928.730000000003</v>
      </c>
      <c r="AB15" s="209">
        <f t="shared" ref="AB15:AB27" si="0">S15</f>
        <v>65505</v>
      </c>
      <c r="AC15" s="202">
        <f t="shared" ref="AC15:AC27" si="1">S15-D15-H15</f>
        <v>34011</v>
      </c>
      <c r="AD15" s="371">
        <f t="shared" ref="AD15:AD27" si="2">D15+H15</f>
        <v>31494</v>
      </c>
      <c r="AE15" s="132"/>
      <c r="AF15" s="206">
        <f t="shared" ref="AF15:AF27" si="3">C15</f>
        <v>20667</v>
      </c>
      <c r="AG15" s="208">
        <f>E15</f>
        <v>-7189</v>
      </c>
      <c r="AH15" s="194"/>
      <c r="AI15" s="206">
        <f>G15</f>
        <v>6663</v>
      </c>
      <c r="AJ15" s="208">
        <f>I15</f>
        <v>-15339</v>
      </c>
      <c r="AK15" s="197"/>
      <c r="AL15" s="209">
        <f>L15+M15+P15</f>
        <v>33519.65</v>
      </c>
      <c r="AM15" s="370">
        <f>O15+N15</f>
        <v>-2201</v>
      </c>
      <c r="AN15" s="132"/>
      <c r="AO15" s="375">
        <f t="shared" ref="AO15:AO42" si="4">AF15+AI15+AL15</f>
        <v>60849.65</v>
      </c>
      <c r="AP15" s="208">
        <f>AG15+AJ15+AM15+F15+J15</f>
        <v>-27885</v>
      </c>
      <c r="AQ15" s="213">
        <f>AO15+AP15</f>
        <v>32964.65</v>
      </c>
      <c r="AR15" s="301">
        <f>IF(AQ15-$AQ$8&gt;0,AQ15-$AQ$8,0)</f>
        <v>0</v>
      </c>
      <c r="AS15" s="291"/>
      <c r="AU15" s="198">
        <f t="shared" ref="AU15:AU42" si="5">AQ15-AC15</f>
        <v>-1046.3499999999985</v>
      </c>
      <c r="AV15" s="179">
        <f t="shared" ref="AV15:AV33" si="6">F15+Q15</f>
        <v>-3156</v>
      </c>
      <c r="AX15" s="378">
        <f>$AQ$8-AQ15</f>
        <v>95617.35</v>
      </c>
    </row>
    <row r="16" spans="1:50" ht="17.100000000000001" customHeight="1">
      <c r="A16" s="167"/>
      <c r="B16" s="238">
        <f>B15+1</f>
        <v>37166</v>
      </c>
      <c r="C16" s="376">
        <v>14667</v>
      </c>
      <c r="D16" s="412">
        <v>8453</v>
      </c>
      <c r="E16" s="788">
        <v>-9286</v>
      </c>
      <c r="F16" s="377">
        <v>-3156</v>
      </c>
      <c r="G16" s="376">
        <v>6624</v>
      </c>
      <c r="H16" s="412">
        <v>23044</v>
      </c>
      <c r="I16" s="788">
        <v>-16495</v>
      </c>
      <c r="J16" s="377">
        <v>0</v>
      </c>
      <c r="K16" s="377">
        <f t="shared" ref="K16:K44" si="7">(-G16-H16-I16)*0.0025</f>
        <v>-32.932499999999997</v>
      </c>
      <c r="L16" s="376">
        <v>15930</v>
      </c>
      <c r="M16" s="377">
        <v>17906</v>
      </c>
      <c r="N16" s="141">
        <v>-295</v>
      </c>
      <c r="O16" s="141">
        <v>-1906</v>
      </c>
      <c r="P16" s="141">
        <f t="shared" ref="P16:P44" si="8">(-L16-M16-N16-O16)*0.01</f>
        <v>-316.35000000000002</v>
      </c>
      <c r="Q16" s="151">
        <v>0</v>
      </c>
      <c r="R16" s="223">
        <f t="shared" ref="R16:R44" si="9">SUM(C16,D16,E16,F16,G16,H16,I16,J16,K16,L16,M16,N16,O16,P16,Q16)</f>
        <v>55136.717500000006</v>
      </c>
      <c r="S16" s="385">
        <v>56522</v>
      </c>
      <c r="T16" s="151">
        <v>120592</v>
      </c>
      <c r="U16" s="141">
        <v>167</v>
      </c>
      <c r="V16" s="141">
        <v>17</v>
      </c>
      <c r="W16" s="141">
        <v>27</v>
      </c>
      <c r="X16" s="151">
        <f t="shared" ref="X16:X44" si="10">(SUM(T16:W16))+S16</f>
        <v>177325</v>
      </c>
      <c r="Y16" s="235">
        <f t="shared" ref="Y16:Y44" si="11">R16-S16</f>
        <v>-1385.2824999999939</v>
      </c>
      <c r="Z16" s="198"/>
      <c r="AA16" s="230">
        <f t="shared" ref="AA16:AA34" si="12">R16-D16-H16</f>
        <v>23639.717500000006</v>
      </c>
      <c r="AB16" s="209">
        <f t="shared" si="0"/>
        <v>56522</v>
      </c>
      <c r="AC16" s="202">
        <f t="shared" si="1"/>
        <v>25025</v>
      </c>
      <c r="AD16" s="132">
        <f t="shared" si="2"/>
        <v>31497</v>
      </c>
      <c r="AE16" s="132"/>
      <c r="AF16" s="206">
        <f t="shared" si="3"/>
        <v>14667</v>
      </c>
      <c r="AG16" s="208">
        <f t="shared" ref="AG16:AG27" si="13">E16</f>
        <v>-9286</v>
      </c>
      <c r="AH16" s="194"/>
      <c r="AI16" s="206">
        <f t="shared" ref="AI16:AI27" si="14">G16</f>
        <v>6624</v>
      </c>
      <c r="AJ16" s="208">
        <f t="shared" ref="AJ16:AJ27" si="15">I16</f>
        <v>-16495</v>
      </c>
      <c r="AK16" s="197"/>
      <c r="AL16" s="209">
        <f t="shared" ref="AL16:AL42" si="16">L16+M16+P16</f>
        <v>33519.65</v>
      </c>
      <c r="AM16" s="370">
        <f t="shared" ref="AM16:AM42" si="17">O16+N16</f>
        <v>-2201</v>
      </c>
      <c r="AN16" s="132"/>
      <c r="AO16" s="375">
        <f t="shared" si="4"/>
        <v>54810.65</v>
      </c>
      <c r="AP16" s="208">
        <f t="shared" ref="AP16:AP44" si="18">AG16+AJ16+AM16+F16+J16</f>
        <v>-31138</v>
      </c>
      <c r="AQ16" s="213">
        <f t="shared" ref="AQ16:AQ27" si="19">AO16+AP16</f>
        <v>23672.65</v>
      </c>
      <c r="AR16" s="301">
        <f>IF(AQ16-$AQ$8&gt;0,AQ16-$AQ$8,0)</f>
        <v>0</v>
      </c>
      <c r="AS16" s="291"/>
      <c r="AU16" s="198">
        <f t="shared" si="5"/>
        <v>-1352.3499999999985</v>
      </c>
      <c r="AV16" s="179">
        <f t="shared" si="6"/>
        <v>-3156</v>
      </c>
      <c r="AX16" s="378">
        <f t="shared" ref="AX16:AX42" si="20">$AQ$8-AQ16</f>
        <v>104909.35</v>
      </c>
    </row>
    <row r="17" spans="1:50" ht="17.100000000000001" customHeight="1">
      <c r="A17" s="167"/>
      <c r="B17" s="238">
        <f t="shared" ref="B17:B42" si="21">B16+1</f>
        <v>37167</v>
      </c>
      <c r="C17" s="376">
        <v>14667</v>
      </c>
      <c r="D17" s="412">
        <v>11453</v>
      </c>
      <c r="E17" s="788">
        <v>-10480</v>
      </c>
      <c r="F17" s="377">
        <v>-3156</v>
      </c>
      <c r="G17" s="376">
        <v>6679</v>
      </c>
      <c r="H17" s="412">
        <v>23044</v>
      </c>
      <c r="I17" s="788">
        <v>-15813</v>
      </c>
      <c r="J17" s="377">
        <v>0</v>
      </c>
      <c r="K17" s="377">
        <f t="shared" si="7"/>
        <v>-34.774999999999999</v>
      </c>
      <c r="L17" s="376">
        <v>15930</v>
      </c>
      <c r="M17" s="377">
        <v>17906</v>
      </c>
      <c r="N17" s="141">
        <v>-295</v>
      </c>
      <c r="O17" s="141">
        <v>-1906</v>
      </c>
      <c r="P17" s="141">
        <f t="shared" si="8"/>
        <v>-316.35000000000002</v>
      </c>
      <c r="Q17" s="151">
        <v>0</v>
      </c>
      <c r="R17" s="223">
        <f t="shared" si="9"/>
        <v>57677.875</v>
      </c>
      <c r="S17" s="385">
        <v>58785</v>
      </c>
      <c r="T17" s="151">
        <v>120826</v>
      </c>
      <c r="U17" s="141">
        <v>199</v>
      </c>
      <c r="V17" s="141">
        <v>0</v>
      </c>
      <c r="W17" s="141">
        <v>25</v>
      </c>
      <c r="X17" s="151">
        <f t="shared" si="10"/>
        <v>179835</v>
      </c>
      <c r="Y17" s="235">
        <f t="shared" si="11"/>
        <v>-1107.125</v>
      </c>
      <c r="Z17" s="198"/>
      <c r="AA17" s="230">
        <f t="shared" si="12"/>
        <v>23180.875</v>
      </c>
      <c r="AB17" s="209">
        <f t="shared" si="0"/>
        <v>58785</v>
      </c>
      <c r="AC17" s="202">
        <f t="shared" si="1"/>
        <v>24288</v>
      </c>
      <c r="AD17" s="132">
        <f t="shared" si="2"/>
        <v>34497</v>
      </c>
      <c r="AE17" s="132"/>
      <c r="AF17" s="206">
        <f t="shared" si="3"/>
        <v>14667</v>
      </c>
      <c r="AG17" s="208">
        <f t="shared" si="13"/>
        <v>-10480</v>
      </c>
      <c r="AH17" s="194"/>
      <c r="AI17" s="206">
        <f t="shared" si="14"/>
        <v>6679</v>
      </c>
      <c r="AJ17" s="208">
        <f t="shared" si="15"/>
        <v>-15813</v>
      </c>
      <c r="AK17" s="197"/>
      <c r="AL17" s="209">
        <f t="shared" si="16"/>
        <v>33519.65</v>
      </c>
      <c r="AM17" s="370">
        <f t="shared" si="17"/>
        <v>-2201</v>
      </c>
      <c r="AN17" s="132"/>
      <c r="AO17" s="375">
        <f t="shared" si="4"/>
        <v>54865.65</v>
      </c>
      <c r="AP17" s="208">
        <f t="shared" si="18"/>
        <v>-31650</v>
      </c>
      <c r="AQ17" s="213">
        <f t="shared" si="19"/>
        <v>23215.65</v>
      </c>
      <c r="AR17" s="301">
        <f>IF(AQ17-$AQ$8&gt;0,AQ17-$AQ$8,0)</f>
        <v>0</v>
      </c>
      <c r="AS17" s="291"/>
      <c r="AU17" s="198">
        <f t="shared" si="5"/>
        <v>-1072.3499999999985</v>
      </c>
      <c r="AV17" s="179">
        <f t="shared" si="6"/>
        <v>-3156</v>
      </c>
      <c r="AX17" s="378">
        <f t="shared" si="20"/>
        <v>105366.35</v>
      </c>
    </row>
    <row r="18" spans="1:50" ht="17.100000000000001" customHeight="1">
      <c r="A18" s="167"/>
      <c r="B18" s="238">
        <f t="shared" si="21"/>
        <v>37168</v>
      </c>
      <c r="C18" s="376">
        <v>14667</v>
      </c>
      <c r="D18" s="412">
        <v>11453</v>
      </c>
      <c r="E18" s="788">
        <v>-9128</v>
      </c>
      <c r="F18" s="377">
        <v>-3156</v>
      </c>
      <c r="G18" s="376">
        <v>6639</v>
      </c>
      <c r="H18" s="412">
        <v>23044</v>
      </c>
      <c r="I18" s="788">
        <v>-15395</v>
      </c>
      <c r="J18" s="377">
        <v>0</v>
      </c>
      <c r="K18" s="377">
        <f t="shared" si="7"/>
        <v>-35.72</v>
      </c>
      <c r="L18" s="376">
        <v>15930</v>
      </c>
      <c r="M18" s="377">
        <v>17906</v>
      </c>
      <c r="N18" s="141">
        <v>-295</v>
      </c>
      <c r="O18" s="141">
        <v>-1906</v>
      </c>
      <c r="P18" s="141">
        <f t="shared" si="8"/>
        <v>-316.35000000000002</v>
      </c>
      <c r="Q18" s="151">
        <v>0</v>
      </c>
      <c r="R18" s="223">
        <f t="shared" si="9"/>
        <v>59406.93</v>
      </c>
      <c r="S18" s="385">
        <v>60705</v>
      </c>
      <c r="T18" s="151">
        <v>116500</v>
      </c>
      <c r="U18" s="141">
        <v>321</v>
      </c>
      <c r="V18" s="141">
        <v>0</v>
      </c>
      <c r="W18" s="141">
        <v>225</v>
      </c>
      <c r="X18" s="151">
        <f t="shared" si="10"/>
        <v>177751</v>
      </c>
      <c r="Y18" s="235">
        <f t="shared" si="11"/>
        <v>-1298.0699999999997</v>
      </c>
      <c r="Z18" s="198"/>
      <c r="AA18" s="230">
        <f t="shared" si="12"/>
        <v>24909.93</v>
      </c>
      <c r="AB18" s="209">
        <f t="shared" si="0"/>
        <v>60705</v>
      </c>
      <c r="AC18" s="202">
        <f t="shared" si="1"/>
        <v>26208</v>
      </c>
      <c r="AD18" s="132">
        <f t="shared" si="2"/>
        <v>34497</v>
      </c>
      <c r="AE18" s="132"/>
      <c r="AF18" s="206">
        <f t="shared" si="3"/>
        <v>14667</v>
      </c>
      <c r="AG18" s="208">
        <f t="shared" si="13"/>
        <v>-9128</v>
      </c>
      <c r="AH18" s="194"/>
      <c r="AI18" s="206">
        <f t="shared" si="14"/>
        <v>6639</v>
      </c>
      <c r="AJ18" s="208">
        <f t="shared" si="15"/>
        <v>-15395</v>
      </c>
      <c r="AK18" s="197"/>
      <c r="AL18" s="209">
        <f t="shared" si="16"/>
        <v>33519.65</v>
      </c>
      <c r="AM18" s="370">
        <f t="shared" si="17"/>
        <v>-2201</v>
      </c>
      <c r="AN18" s="132"/>
      <c r="AO18" s="375">
        <f t="shared" si="4"/>
        <v>54825.65</v>
      </c>
      <c r="AP18" s="208">
        <f t="shared" si="18"/>
        <v>-29880</v>
      </c>
      <c r="AQ18" s="213">
        <f t="shared" si="19"/>
        <v>24945.65</v>
      </c>
      <c r="AR18" s="301">
        <f>IF(AQ18-$AQ$8&gt;0,AQ18-$AQ$8,0)</f>
        <v>0</v>
      </c>
      <c r="AS18" s="291"/>
      <c r="AU18" s="198">
        <f t="shared" si="5"/>
        <v>-1262.3499999999985</v>
      </c>
      <c r="AV18" s="179">
        <f t="shared" si="6"/>
        <v>-3156</v>
      </c>
      <c r="AX18" s="378">
        <f t="shared" si="20"/>
        <v>103636.35</v>
      </c>
    </row>
    <row r="19" spans="1:50" ht="17.100000000000001" customHeight="1">
      <c r="A19" s="167"/>
      <c r="B19" s="238">
        <f t="shared" si="21"/>
        <v>37169</v>
      </c>
      <c r="C19" s="376">
        <v>16155</v>
      </c>
      <c r="D19" s="412">
        <v>7731</v>
      </c>
      <c r="E19" s="788">
        <v>-11161</v>
      </c>
      <c r="F19" s="377">
        <v>-3156</v>
      </c>
      <c r="G19" s="376">
        <v>7192</v>
      </c>
      <c r="H19" s="412">
        <v>23044</v>
      </c>
      <c r="I19" s="788">
        <v>-15961</v>
      </c>
      <c r="J19" s="377">
        <v>0</v>
      </c>
      <c r="K19" s="377">
        <f t="shared" si="7"/>
        <v>-35.6875</v>
      </c>
      <c r="L19" s="376">
        <v>15930</v>
      </c>
      <c r="M19" s="377">
        <v>17906</v>
      </c>
      <c r="N19" s="141">
        <v>-295</v>
      </c>
      <c r="O19" s="141">
        <v>-1906</v>
      </c>
      <c r="P19" s="141">
        <f t="shared" si="8"/>
        <v>-316.35000000000002</v>
      </c>
      <c r="Q19" s="151">
        <v>0</v>
      </c>
      <c r="R19" s="223">
        <f t="shared" si="9"/>
        <v>55126.962500000001</v>
      </c>
      <c r="S19" s="385">
        <v>56702</v>
      </c>
      <c r="T19" s="151">
        <v>68957</v>
      </c>
      <c r="U19" s="141">
        <v>100</v>
      </c>
      <c r="V19" s="141">
        <v>3</v>
      </c>
      <c r="W19" s="141">
        <v>0</v>
      </c>
      <c r="X19" s="151">
        <f t="shared" si="10"/>
        <v>125762</v>
      </c>
      <c r="Y19" s="235">
        <f t="shared" si="11"/>
        <v>-1575.0374999999985</v>
      </c>
      <c r="Z19" s="198"/>
      <c r="AA19" s="230">
        <f t="shared" si="12"/>
        <v>24351.962500000001</v>
      </c>
      <c r="AB19" s="209">
        <f t="shared" si="0"/>
        <v>56702</v>
      </c>
      <c r="AC19" s="202">
        <f t="shared" si="1"/>
        <v>25927</v>
      </c>
      <c r="AD19" s="132">
        <f t="shared" si="2"/>
        <v>30775</v>
      </c>
      <c r="AE19" s="132"/>
      <c r="AF19" s="206">
        <f t="shared" si="3"/>
        <v>16155</v>
      </c>
      <c r="AG19" s="208">
        <f t="shared" si="13"/>
        <v>-11161</v>
      </c>
      <c r="AH19" s="194"/>
      <c r="AI19" s="206">
        <f t="shared" si="14"/>
        <v>7192</v>
      </c>
      <c r="AJ19" s="208">
        <f t="shared" si="15"/>
        <v>-15961</v>
      </c>
      <c r="AK19" s="197"/>
      <c r="AL19" s="209">
        <f t="shared" si="16"/>
        <v>33519.65</v>
      </c>
      <c r="AM19" s="370">
        <f t="shared" si="17"/>
        <v>-2201</v>
      </c>
      <c r="AN19" s="132"/>
      <c r="AO19" s="375">
        <f t="shared" si="4"/>
        <v>56866.65</v>
      </c>
      <c r="AP19" s="208">
        <f t="shared" si="18"/>
        <v>-32479</v>
      </c>
      <c r="AQ19" s="213">
        <f t="shared" si="19"/>
        <v>24387.65</v>
      </c>
      <c r="AR19" s="301">
        <f t="shared" ref="AR19:AR24" si="22">IF(AQ19-$AQ$8&gt;0,AQ19-$AQ$8,0)</f>
        <v>0</v>
      </c>
      <c r="AS19" s="291"/>
      <c r="AU19" s="198">
        <f t="shared" si="5"/>
        <v>-1539.3499999999985</v>
      </c>
      <c r="AV19" s="179">
        <f t="shared" si="6"/>
        <v>-3156</v>
      </c>
      <c r="AX19" s="378">
        <f t="shared" si="20"/>
        <v>104194.35</v>
      </c>
    </row>
    <row r="20" spans="1:50" ht="17.100000000000001" customHeight="1">
      <c r="A20" s="167"/>
      <c r="B20" s="238">
        <f t="shared" si="21"/>
        <v>37170</v>
      </c>
      <c r="C20" s="376">
        <v>24667</v>
      </c>
      <c r="D20" s="412">
        <v>8453</v>
      </c>
      <c r="E20" s="788">
        <v>-10838</v>
      </c>
      <c r="F20" s="377">
        <v>-3156</v>
      </c>
      <c r="G20" s="376">
        <v>7025</v>
      </c>
      <c r="H20" s="412">
        <v>22995</v>
      </c>
      <c r="I20" s="788">
        <v>-16316</v>
      </c>
      <c r="J20" s="377">
        <v>0</v>
      </c>
      <c r="K20" s="377">
        <f t="shared" si="7"/>
        <v>-34.26</v>
      </c>
      <c r="L20" s="376">
        <v>15930</v>
      </c>
      <c r="M20" s="377">
        <v>17906</v>
      </c>
      <c r="N20" s="141">
        <v>-295</v>
      </c>
      <c r="O20" s="141">
        <v>-1906</v>
      </c>
      <c r="P20" s="141">
        <f t="shared" si="8"/>
        <v>-316.35000000000002</v>
      </c>
      <c r="Q20" s="151">
        <v>0</v>
      </c>
      <c r="R20" s="223">
        <f t="shared" si="9"/>
        <v>64114.389999999992</v>
      </c>
      <c r="S20" s="385">
        <v>65611</v>
      </c>
      <c r="T20" s="151">
        <v>21403</v>
      </c>
      <c r="U20" s="141">
        <v>1212</v>
      </c>
      <c r="V20" s="141">
        <v>0</v>
      </c>
      <c r="W20" s="141">
        <v>58</v>
      </c>
      <c r="X20" s="151">
        <f t="shared" si="10"/>
        <v>88284</v>
      </c>
      <c r="Y20" s="235">
        <f t="shared" si="11"/>
        <v>-1496.6100000000079</v>
      </c>
      <c r="Z20" s="198"/>
      <c r="AA20" s="230">
        <f t="shared" si="12"/>
        <v>32666.389999999992</v>
      </c>
      <c r="AB20" s="209">
        <f t="shared" si="0"/>
        <v>65611</v>
      </c>
      <c r="AC20" s="202">
        <f t="shared" si="1"/>
        <v>34163</v>
      </c>
      <c r="AD20" s="132">
        <f t="shared" si="2"/>
        <v>31448</v>
      </c>
      <c r="AE20" s="132"/>
      <c r="AF20" s="206">
        <f t="shared" si="3"/>
        <v>24667</v>
      </c>
      <c r="AG20" s="208">
        <f t="shared" si="13"/>
        <v>-10838</v>
      </c>
      <c r="AH20" s="194"/>
      <c r="AI20" s="206">
        <f t="shared" si="14"/>
        <v>7025</v>
      </c>
      <c r="AJ20" s="208">
        <f t="shared" si="15"/>
        <v>-16316</v>
      </c>
      <c r="AK20" s="197"/>
      <c r="AL20" s="209">
        <f t="shared" si="16"/>
        <v>33519.65</v>
      </c>
      <c r="AM20" s="370">
        <f t="shared" si="17"/>
        <v>-2201</v>
      </c>
      <c r="AN20" s="132"/>
      <c r="AO20" s="375">
        <f t="shared" si="4"/>
        <v>65211.65</v>
      </c>
      <c r="AP20" s="208">
        <f t="shared" si="18"/>
        <v>-32511</v>
      </c>
      <c r="AQ20" s="213">
        <f t="shared" si="19"/>
        <v>32700.65</v>
      </c>
      <c r="AR20" s="301">
        <f t="shared" si="22"/>
        <v>0</v>
      </c>
      <c r="AS20" s="291"/>
      <c r="AU20" s="198">
        <f t="shared" si="5"/>
        <v>-1462.3499999999985</v>
      </c>
      <c r="AV20" s="179">
        <f t="shared" si="6"/>
        <v>-3156</v>
      </c>
      <c r="AX20" s="378">
        <f t="shared" si="20"/>
        <v>95881.35</v>
      </c>
    </row>
    <row r="21" spans="1:50" ht="17.100000000000001" customHeight="1">
      <c r="A21" s="167"/>
      <c r="B21" s="238">
        <f t="shared" si="21"/>
        <v>37171</v>
      </c>
      <c r="C21" s="376">
        <v>24667</v>
      </c>
      <c r="D21" s="412">
        <v>8453</v>
      </c>
      <c r="E21" s="788">
        <v>-2411</v>
      </c>
      <c r="F21" s="377">
        <v>-3156</v>
      </c>
      <c r="G21" s="376">
        <v>4708</v>
      </c>
      <c r="H21" s="412">
        <v>23044</v>
      </c>
      <c r="I21" s="788">
        <v>-11323</v>
      </c>
      <c r="J21" s="377">
        <v>0</v>
      </c>
      <c r="K21" s="377">
        <f t="shared" si="7"/>
        <v>-41.072499999999998</v>
      </c>
      <c r="L21" s="376">
        <v>15930</v>
      </c>
      <c r="M21" s="377">
        <v>17906</v>
      </c>
      <c r="N21" s="141">
        <v>-295</v>
      </c>
      <c r="O21" s="141">
        <v>-1906</v>
      </c>
      <c r="P21" s="141">
        <f t="shared" si="8"/>
        <v>-316.35000000000002</v>
      </c>
      <c r="Q21" s="151">
        <v>0</v>
      </c>
      <c r="R21" s="223">
        <f t="shared" si="9"/>
        <v>75259.577499999985</v>
      </c>
      <c r="S21" s="385">
        <v>76711</v>
      </c>
      <c r="T21" s="151">
        <v>11788</v>
      </c>
      <c r="U21" s="141">
        <v>1508</v>
      </c>
      <c r="V21" s="141">
        <v>185</v>
      </c>
      <c r="W21" s="141">
        <v>332</v>
      </c>
      <c r="X21" s="151">
        <f t="shared" si="10"/>
        <v>90524</v>
      </c>
      <c r="Y21" s="235">
        <f t="shared" si="11"/>
        <v>-1451.4225000000151</v>
      </c>
      <c r="Z21" s="198"/>
      <c r="AA21" s="230">
        <f t="shared" si="12"/>
        <v>43762.577499999985</v>
      </c>
      <c r="AB21" s="209">
        <f t="shared" si="0"/>
        <v>76711</v>
      </c>
      <c r="AC21" s="202">
        <f t="shared" si="1"/>
        <v>45214</v>
      </c>
      <c r="AD21" s="132">
        <f t="shared" si="2"/>
        <v>31497</v>
      </c>
      <c r="AE21" s="132"/>
      <c r="AF21" s="206">
        <f t="shared" si="3"/>
        <v>24667</v>
      </c>
      <c r="AG21" s="208">
        <f t="shared" si="13"/>
        <v>-2411</v>
      </c>
      <c r="AH21" s="194"/>
      <c r="AI21" s="206">
        <f t="shared" si="14"/>
        <v>4708</v>
      </c>
      <c r="AJ21" s="208">
        <f t="shared" si="15"/>
        <v>-11323</v>
      </c>
      <c r="AK21" s="197"/>
      <c r="AL21" s="209">
        <f t="shared" si="16"/>
        <v>33519.65</v>
      </c>
      <c r="AM21" s="370">
        <f t="shared" si="17"/>
        <v>-2201</v>
      </c>
      <c r="AN21" s="132"/>
      <c r="AO21" s="375">
        <f t="shared" si="4"/>
        <v>62894.65</v>
      </c>
      <c r="AP21" s="208">
        <f t="shared" si="18"/>
        <v>-19091</v>
      </c>
      <c r="AQ21" s="213">
        <f t="shared" si="19"/>
        <v>43803.65</v>
      </c>
      <c r="AR21" s="301">
        <f t="shared" si="22"/>
        <v>0</v>
      </c>
      <c r="AS21" s="291"/>
      <c r="AU21" s="198">
        <f t="shared" si="5"/>
        <v>-1410.3499999999985</v>
      </c>
      <c r="AV21" s="179">
        <f t="shared" si="6"/>
        <v>-3156</v>
      </c>
      <c r="AX21" s="378">
        <f t="shared" si="20"/>
        <v>84778.35</v>
      </c>
    </row>
    <row r="22" spans="1:50" ht="17.100000000000001" customHeight="1">
      <c r="A22" s="167"/>
      <c r="B22" s="238">
        <f t="shared" si="21"/>
        <v>37172</v>
      </c>
      <c r="C22" s="376">
        <v>33239</v>
      </c>
      <c r="D22" s="412">
        <v>8453</v>
      </c>
      <c r="E22" s="788">
        <v>12108</v>
      </c>
      <c r="F22" s="377">
        <v>-3156</v>
      </c>
      <c r="G22" s="376">
        <v>4610</v>
      </c>
      <c r="H22" s="412">
        <v>23044</v>
      </c>
      <c r="I22" s="788">
        <v>-8933</v>
      </c>
      <c r="J22" s="377">
        <v>0</v>
      </c>
      <c r="K22" s="377">
        <f t="shared" si="7"/>
        <v>-46.802500000000002</v>
      </c>
      <c r="L22" s="376">
        <v>15930</v>
      </c>
      <c r="M22" s="377">
        <v>17906</v>
      </c>
      <c r="N22" s="141">
        <v>-295</v>
      </c>
      <c r="O22" s="141">
        <v>-1906</v>
      </c>
      <c r="P22" s="141">
        <f t="shared" si="8"/>
        <v>-316.35000000000002</v>
      </c>
      <c r="Q22" s="151">
        <v>0</v>
      </c>
      <c r="R22" s="223">
        <f t="shared" si="9"/>
        <v>100636.84749999999</v>
      </c>
      <c r="S22" s="385">
        <v>102124</v>
      </c>
      <c r="T22" s="151">
        <v>54047</v>
      </c>
      <c r="U22" s="141">
        <v>1770</v>
      </c>
      <c r="V22" s="141">
        <v>53</v>
      </c>
      <c r="W22" s="141">
        <v>682</v>
      </c>
      <c r="X22" s="151">
        <f t="shared" si="10"/>
        <v>158676</v>
      </c>
      <c r="Y22" s="235">
        <f t="shared" si="11"/>
        <v>-1487.1525000000111</v>
      </c>
      <c r="Z22" s="198"/>
      <c r="AA22" s="230">
        <f t="shared" si="12"/>
        <v>69139.847499999989</v>
      </c>
      <c r="AB22" s="209">
        <f t="shared" si="0"/>
        <v>102124</v>
      </c>
      <c r="AC22" s="202">
        <f t="shared" si="1"/>
        <v>70627</v>
      </c>
      <c r="AD22" s="132">
        <f t="shared" si="2"/>
        <v>31497</v>
      </c>
      <c r="AE22" s="132"/>
      <c r="AF22" s="206">
        <f t="shared" si="3"/>
        <v>33239</v>
      </c>
      <c r="AG22" s="208">
        <f t="shared" si="13"/>
        <v>12108</v>
      </c>
      <c r="AH22" s="194"/>
      <c r="AI22" s="206">
        <f t="shared" si="14"/>
        <v>4610</v>
      </c>
      <c r="AJ22" s="208">
        <f t="shared" si="15"/>
        <v>-8933</v>
      </c>
      <c r="AK22" s="197"/>
      <c r="AL22" s="209">
        <f t="shared" si="16"/>
        <v>33519.65</v>
      </c>
      <c r="AM22" s="370">
        <f t="shared" si="17"/>
        <v>-2201</v>
      </c>
      <c r="AN22" s="132"/>
      <c r="AO22" s="375">
        <f t="shared" si="4"/>
        <v>71368.649999999994</v>
      </c>
      <c r="AP22" s="208">
        <f t="shared" si="18"/>
        <v>-2182</v>
      </c>
      <c r="AQ22" s="213">
        <f t="shared" si="19"/>
        <v>69186.649999999994</v>
      </c>
      <c r="AR22" s="301">
        <f t="shared" si="22"/>
        <v>0</v>
      </c>
      <c r="AS22" s="291"/>
      <c r="AU22" s="198">
        <f t="shared" si="5"/>
        <v>-1440.3500000000058</v>
      </c>
      <c r="AV22" s="179">
        <f t="shared" si="6"/>
        <v>-3156</v>
      </c>
      <c r="AX22" s="378">
        <f t="shared" si="20"/>
        <v>59395.350000000006</v>
      </c>
    </row>
    <row r="23" spans="1:50" ht="17.100000000000001" customHeight="1">
      <c r="A23" s="167"/>
      <c r="B23" s="238">
        <f t="shared" si="21"/>
        <v>37173</v>
      </c>
      <c r="C23" s="376">
        <v>51137</v>
      </c>
      <c r="D23" s="412">
        <v>8453</v>
      </c>
      <c r="E23" s="788">
        <v>-18646</v>
      </c>
      <c r="F23" s="377">
        <v>-3156</v>
      </c>
      <c r="G23" s="376">
        <v>6601</v>
      </c>
      <c r="H23" s="412">
        <v>14744</v>
      </c>
      <c r="I23" s="788">
        <v>-6767</v>
      </c>
      <c r="J23" s="377">
        <v>0</v>
      </c>
      <c r="K23" s="377">
        <f t="shared" si="7"/>
        <v>-36.445</v>
      </c>
      <c r="L23" s="376">
        <v>15930</v>
      </c>
      <c r="M23" s="377">
        <v>17906</v>
      </c>
      <c r="N23" s="141">
        <v>-295</v>
      </c>
      <c r="O23" s="141">
        <v>-1906</v>
      </c>
      <c r="P23" s="141">
        <f t="shared" si="8"/>
        <v>-316.35000000000002</v>
      </c>
      <c r="Q23" s="151">
        <v>0</v>
      </c>
      <c r="R23" s="223">
        <f t="shared" si="9"/>
        <v>83648.204999999987</v>
      </c>
      <c r="S23" s="385">
        <v>85808</v>
      </c>
      <c r="T23" s="151">
        <v>58201</v>
      </c>
      <c r="U23" s="141">
        <v>1438</v>
      </c>
      <c r="V23" s="141">
        <v>0</v>
      </c>
      <c r="W23" s="141">
        <v>195</v>
      </c>
      <c r="X23" s="151">
        <f t="shared" si="10"/>
        <v>145642</v>
      </c>
      <c r="Y23" s="235">
        <f t="shared" si="11"/>
        <v>-2159.7950000000128</v>
      </c>
      <c r="Z23" s="198"/>
      <c r="AA23" s="230">
        <f t="shared" si="12"/>
        <v>60451.204999999987</v>
      </c>
      <c r="AB23" s="209">
        <f t="shared" si="0"/>
        <v>85808</v>
      </c>
      <c r="AC23" s="202">
        <f t="shared" si="1"/>
        <v>62611</v>
      </c>
      <c r="AD23" s="132">
        <f t="shared" si="2"/>
        <v>23197</v>
      </c>
      <c r="AE23" s="199"/>
      <c r="AF23" s="206">
        <f t="shared" si="3"/>
        <v>51137</v>
      </c>
      <c r="AG23" s="208">
        <f t="shared" si="13"/>
        <v>-18646</v>
      </c>
      <c r="AH23" s="194"/>
      <c r="AI23" s="206">
        <f t="shared" si="14"/>
        <v>6601</v>
      </c>
      <c r="AJ23" s="208">
        <f t="shared" si="15"/>
        <v>-6767</v>
      </c>
      <c r="AK23" s="197"/>
      <c r="AL23" s="209">
        <f t="shared" si="16"/>
        <v>33519.65</v>
      </c>
      <c r="AM23" s="370">
        <f t="shared" si="17"/>
        <v>-2201</v>
      </c>
      <c r="AN23" s="132"/>
      <c r="AO23" s="375">
        <f t="shared" si="4"/>
        <v>91257.65</v>
      </c>
      <c r="AP23" s="208">
        <f t="shared" si="18"/>
        <v>-30770</v>
      </c>
      <c r="AQ23" s="213">
        <f t="shared" si="19"/>
        <v>60487.649999999994</v>
      </c>
      <c r="AR23" s="301">
        <f t="shared" si="22"/>
        <v>0</v>
      </c>
      <c r="AS23" s="291"/>
      <c r="AU23" s="198">
        <f t="shared" si="5"/>
        <v>-2123.3500000000058</v>
      </c>
      <c r="AV23" s="179">
        <f t="shared" si="6"/>
        <v>-3156</v>
      </c>
      <c r="AX23" s="378">
        <f t="shared" si="20"/>
        <v>68094.350000000006</v>
      </c>
    </row>
    <row r="24" spans="1:50" ht="17.100000000000001" customHeight="1">
      <c r="A24" s="167"/>
      <c r="B24" s="238">
        <f t="shared" si="21"/>
        <v>37174</v>
      </c>
      <c r="C24" s="376">
        <v>24667</v>
      </c>
      <c r="D24" s="412">
        <v>9815</v>
      </c>
      <c r="E24" s="788">
        <v>-13267</v>
      </c>
      <c r="F24" s="377">
        <v>-3156</v>
      </c>
      <c r="G24" s="376">
        <v>6664</v>
      </c>
      <c r="H24" s="412">
        <v>23744</v>
      </c>
      <c r="I24" s="788">
        <v>-14206</v>
      </c>
      <c r="J24" s="377">
        <v>0</v>
      </c>
      <c r="K24" s="377">
        <f t="shared" si="7"/>
        <v>-40.505000000000003</v>
      </c>
      <c r="L24" s="376">
        <v>15930</v>
      </c>
      <c r="M24" s="377">
        <v>17906</v>
      </c>
      <c r="N24" s="141">
        <v>-295</v>
      </c>
      <c r="O24" s="141">
        <v>-1906</v>
      </c>
      <c r="P24" s="141">
        <f t="shared" si="8"/>
        <v>-316.35000000000002</v>
      </c>
      <c r="Q24" s="151">
        <v>0</v>
      </c>
      <c r="R24" s="223">
        <f t="shared" si="9"/>
        <v>65539.14499999999</v>
      </c>
      <c r="S24" s="385">
        <v>67709</v>
      </c>
      <c r="T24" s="151">
        <v>38429</v>
      </c>
      <c r="U24" s="141">
        <v>520</v>
      </c>
      <c r="V24" s="141">
        <v>0</v>
      </c>
      <c r="W24" s="141">
        <v>36</v>
      </c>
      <c r="X24" s="151">
        <f t="shared" si="10"/>
        <v>106694</v>
      </c>
      <c r="Y24" s="235">
        <f t="shared" si="11"/>
        <v>-2169.8550000000105</v>
      </c>
      <c r="Z24" s="198"/>
      <c r="AA24" s="230">
        <f t="shared" si="12"/>
        <v>31980.14499999999</v>
      </c>
      <c r="AB24" s="209">
        <f t="shared" si="0"/>
        <v>67709</v>
      </c>
      <c r="AC24" s="202">
        <f t="shared" si="1"/>
        <v>34150</v>
      </c>
      <c r="AD24" s="132">
        <f t="shared" si="2"/>
        <v>33559</v>
      </c>
      <c r="AE24" s="132"/>
      <c r="AF24" s="206">
        <f t="shared" si="3"/>
        <v>24667</v>
      </c>
      <c r="AG24" s="208">
        <f t="shared" si="13"/>
        <v>-13267</v>
      </c>
      <c r="AH24" s="194"/>
      <c r="AI24" s="206">
        <f t="shared" si="14"/>
        <v>6664</v>
      </c>
      <c r="AJ24" s="208">
        <f t="shared" si="15"/>
        <v>-14206</v>
      </c>
      <c r="AK24" s="197"/>
      <c r="AL24" s="209">
        <f t="shared" si="16"/>
        <v>33519.65</v>
      </c>
      <c r="AM24" s="370">
        <f t="shared" si="17"/>
        <v>-2201</v>
      </c>
      <c r="AN24" s="132"/>
      <c r="AO24" s="375">
        <f t="shared" si="4"/>
        <v>64850.65</v>
      </c>
      <c r="AP24" s="208">
        <f t="shared" si="18"/>
        <v>-32830</v>
      </c>
      <c r="AQ24" s="213">
        <f t="shared" si="19"/>
        <v>32020.65</v>
      </c>
      <c r="AR24" s="301">
        <f t="shared" si="22"/>
        <v>0</v>
      </c>
      <c r="AS24" s="291"/>
      <c r="AU24" s="198">
        <f t="shared" si="5"/>
        <v>-2129.3499999999985</v>
      </c>
      <c r="AV24" s="179">
        <f t="shared" si="6"/>
        <v>-3156</v>
      </c>
      <c r="AX24" s="378">
        <f t="shared" si="20"/>
        <v>96561.35</v>
      </c>
    </row>
    <row r="25" spans="1:50" ht="17.100000000000001" customHeight="1">
      <c r="A25" s="167"/>
      <c r="B25" s="238">
        <f t="shared" si="21"/>
        <v>37175</v>
      </c>
      <c r="C25" s="376">
        <v>14667</v>
      </c>
      <c r="D25" s="412">
        <v>8531</v>
      </c>
      <c r="E25" s="788">
        <v>-8218</v>
      </c>
      <c r="F25" s="377">
        <v>-3156</v>
      </c>
      <c r="G25" s="376">
        <v>11689</v>
      </c>
      <c r="H25" s="412">
        <v>22744</v>
      </c>
      <c r="I25" s="788">
        <v>-15312</v>
      </c>
      <c r="J25" s="377">
        <v>0</v>
      </c>
      <c r="K25" s="377">
        <f t="shared" si="7"/>
        <v>-47.802500000000002</v>
      </c>
      <c r="L25" s="376">
        <v>15930</v>
      </c>
      <c r="M25" s="377">
        <v>17906</v>
      </c>
      <c r="N25" s="141">
        <v>-295</v>
      </c>
      <c r="O25" s="141">
        <v>-1906</v>
      </c>
      <c r="P25" s="141">
        <f t="shared" si="8"/>
        <v>-316.35000000000002</v>
      </c>
      <c r="Q25" s="151">
        <v>0</v>
      </c>
      <c r="R25" s="223">
        <f t="shared" si="9"/>
        <v>62215.847499999996</v>
      </c>
      <c r="S25" s="385">
        <v>63895</v>
      </c>
      <c r="T25" s="151">
        <v>56594</v>
      </c>
      <c r="U25" s="141">
        <v>328</v>
      </c>
      <c r="V25" s="141">
        <v>0</v>
      </c>
      <c r="W25" s="141">
        <v>21</v>
      </c>
      <c r="X25" s="151">
        <f t="shared" si="10"/>
        <v>120838</v>
      </c>
      <c r="Y25" s="235">
        <f t="shared" si="11"/>
        <v>-1679.1525000000038</v>
      </c>
      <c r="Z25" s="198"/>
      <c r="AA25" s="230">
        <f t="shared" si="12"/>
        <v>30940.847499999996</v>
      </c>
      <c r="AB25" s="209">
        <f t="shared" si="0"/>
        <v>63895</v>
      </c>
      <c r="AC25" s="202">
        <f t="shared" si="1"/>
        <v>32620</v>
      </c>
      <c r="AD25" s="132">
        <f t="shared" si="2"/>
        <v>31275</v>
      </c>
      <c r="AE25" s="199"/>
      <c r="AF25" s="206">
        <f t="shared" si="3"/>
        <v>14667</v>
      </c>
      <c r="AG25" s="208">
        <f t="shared" si="13"/>
        <v>-8218</v>
      </c>
      <c r="AH25" s="194"/>
      <c r="AI25" s="206">
        <f t="shared" si="14"/>
        <v>11689</v>
      </c>
      <c r="AJ25" s="208">
        <f t="shared" si="15"/>
        <v>-15312</v>
      </c>
      <c r="AK25" s="197"/>
      <c r="AL25" s="209">
        <f t="shared" si="16"/>
        <v>33519.65</v>
      </c>
      <c r="AM25" s="370">
        <f t="shared" si="17"/>
        <v>-2201</v>
      </c>
      <c r="AN25" s="132"/>
      <c r="AO25" s="375">
        <f t="shared" si="4"/>
        <v>59875.65</v>
      </c>
      <c r="AP25" s="208">
        <f t="shared" si="18"/>
        <v>-28887</v>
      </c>
      <c r="AQ25" s="213">
        <f t="shared" si="19"/>
        <v>30988.65</v>
      </c>
      <c r="AR25" s="301">
        <f t="shared" ref="AR25:AR37" si="23">IF(AQ25-$AQ$8&gt;0,AQ25-$AQ$8,0)</f>
        <v>0</v>
      </c>
      <c r="AS25" s="291"/>
      <c r="AU25" s="198">
        <f t="shared" si="5"/>
        <v>-1631.3499999999985</v>
      </c>
      <c r="AV25" s="179">
        <f t="shared" si="6"/>
        <v>-3156</v>
      </c>
      <c r="AX25" s="378">
        <f t="shared" si="20"/>
        <v>97593.35</v>
      </c>
    </row>
    <row r="26" spans="1:50" ht="17.100000000000001" customHeight="1">
      <c r="A26" s="167"/>
      <c r="B26" s="238">
        <f t="shared" si="21"/>
        <v>37176</v>
      </c>
      <c r="C26" s="376">
        <v>5667</v>
      </c>
      <c r="D26" s="412">
        <v>8531</v>
      </c>
      <c r="E26" s="788">
        <v>-9328</v>
      </c>
      <c r="F26" s="377">
        <v>-3156</v>
      </c>
      <c r="G26" s="376">
        <v>15686</v>
      </c>
      <c r="H26" s="412">
        <v>23744</v>
      </c>
      <c r="I26" s="788">
        <v>-16392</v>
      </c>
      <c r="J26" s="377">
        <v>0</v>
      </c>
      <c r="K26" s="377">
        <f t="shared" si="7"/>
        <v>-57.594999999999999</v>
      </c>
      <c r="L26" s="376">
        <v>15930</v>
      </c>
      <c r="M26" s="377">
        <v>17906</v>
      </c>
      <c r="N26" s="141">
        <v>-295</v>
      </c>
      <c r="O26" s="141">
        <v>-1906</v>
      </c>
      <c r="P26" s="141">
        <f t="shared" si="8"/>
        <v>-316.35000000000002</v>
      </c>
      <c r="Q26" s="151">
        <v>0</v>
      </c>
      <c r="R26" s="223">
        <f t="shared" si="9"/>
        <v>56013.055</v>
      </c>
      <c r="S26" s="385">
        <v>57285</v>
      </c>
      <c r="T26" s="151">
        <v>28087</v>
      </c>
      <c r="U26" s="141">
        <v>565</v>
      </c>
      <c r="V26" s="141">
        <v>0</v>
      </c>
      <c r="W26" s="141">
        <v>5</v>
      </c>
      <c r="X26" s="151">
        <f t="shared" si="10"/>
        <v>85942</v>
      </c>
      <c r="Y26" s="235">
        <f t="shared" si="11"/>
        <v>-1271.9449999999997</v>
      </c>
      <c r="Z26" s="198"/>
      <c r="AA26" s="230">
        <f t="shared" si="12"/>
        <v>23738.055</v>
      </c>
      <c r="AB26" s="209">
        <f t="shared" si="0"/>
        <v>57285</v>
      </c>
      <c r="AC26" s="202">
        <f t="shared" si="1"/>
        <v>25010</v>
      </c>
      <c r="AD26" s="132">
        <f t="shared" si="2"/>
        <v>32275</v>
      </c>
      <c r="AE26" s="132"/>
      <c r="AF26" s="206">
        <f t="shared" si="3"/>
        <v>5667</v>
      </c>
      <c r="AG26" s="208">
        <f t="shared" si="13"/>
        <v>-9328</v>
      </c>
      <c r="AH26" s="194"/>
      <c r="AI26" s="206">
        <f t="shared" si="14"/>
        <v>15686</v>
      </c>
      <c r="AJ26" s="208">
        <f t="shared" si="15"/>
        <v>-16392</v>
      </c>
      <c r="AK26" s="197"/>
      <c r="AL26" s="209">
        <f t="shared" si="16"/>
        <v>33519.65</v>
      </c>
      <c r="AM26" s="370">
        <f t="shared" si="17"/>
        <v>-2201</v>
      </c>
      <c r="AN26" s="132"/>
      <c r="AO26" s="375">
        <f t="shared" si="4"/>
        <v>54872.65</v>
      </c>
      <c r="AP26" s="208">
        <f t="shared" si="18"/>
        <v>-31077</v>
      </c>
      <c r="AQ26" s="213">
        <f t="shared" si="19"/>
        <v>23795.65</v>
      </c>
      <c r="AR26" s="301">
        <f t="shared" si="23"/>
        <v>0</v>
      </c>
      <c r="AS26" s="291"/>
      <c r="AU26" s="198">
        <f t="shared" si="5"/>
        <v>-1214.3499999999985</v>
      </c>
      <c r="AV26" s="179">
        <f t="shared" si="6"/>
        <v>-3156</v>
      </c>
      <c r="AX26" s="378">
        <f t="shared" si="20"/>
        <v>104786.35</v>
      </c>
    </row>
    <row r="27" spans="1:50" ht="17.100000000000001" customHeight="1">
      <c r="A27" s="127"/>
      <c r="B27" s="238">
        <f t="shared" si="21"/>
        <v>37177</v>
      </c>
      <c r="C27" s="376">
        <v>5667</v>
      </c>
      <c r="D27" s="412">
        <v>8531</v>
      </c>
      <c r="E27" s="788">
        <v>-9685</v>
      </c>
      <c r="F27" s="377">
        <v>-3156</v>
      </c>
      <c r="G27" s="376">
        <v>15685</v>
      </c>
      <c r="H27" s="412">
        <v>23744</v>
      </c>
      <c r="I27" s="788">
        <v>-15640</v>
      </c>
      <c r="J27" s="377">
        <v>0</v>
      </c>
      <c r="K27" s="377">
        <f t="shared" si="7"/>
        <v>-59.472500000000004</v>
      </c>
      <c r="L27" s="376">
        <v>15930</v>
      </c>
      <c r="M27" s="377">
        <v>17906</v>
      </c>
      <c r="N27" s="141">
        <v>-295</v>
      </c>
      <c r="O27" s="141">
        <v>-1906</v>
      </c>
      <c r="P27" s="141">
        <f t="shared" si="8"/>
        <v>-316.35000000000002</v>
      </c>
      <c r="Q27" s="151">
        <v>0</v>
      </c>
      <c r="R27" s="223">
        <f t="shared" si="9"/>
        <v>56405.177499999998</v>
      </c>
      <c r="S27" s="385">
        <v>57239</v>
      </c>
      <c r="T27" s="151">
        <v>38476</v>
      </c>
      <c r="U27" s="141">
        <v>99</v>
      </c>
      <c r="V27" s="141">
        <v>3</v>
      </c>
      <c r="W27" s="141">
        <v>0</v>
      </c>
      <c r="X27" s="151">
        <f t="shared" si="10"/>
        <v>95817</v>
      </c>
      <c r="Y27" s="235">
        <f t="shared" si="11"/>
        <v>-833.82250000000204</v>
      </c>
      <c r="Z27" s="198"/>
      <c r="AA27" s="230">
        <f t="shared" si="12"/>
        <v>24130.177499999998</v>
      </c>
      <c r="AB27" s="209">
        <f t="shared" si="0"/>
        <v>57239</v>
      </c>
      <c r="AC27" s="202">
        <f t="shared" si="1"/>
        <v>24964</v>
      </c>
      <c r="AD27" s="132">
        <f t="shared" si="2"/>
        <v>32275</v>
      </c>
      <c r="AE27" s="132"/>
      <c r="AF27" s="206">
        <f t="shared" si="3"/>
        <v>5667</v>
      </c>
      <c r="AG27" s="208">
        <f t="shared" si="13"/>
        <v>-9685</v>
      </c>
      <c r="AH27" s="194"/>
      <c r="AI27" s="206">
        <f t="shared" si="14"/>
        <v>15685</v>
      </c>
      <c r="AJ27" s="208">
        <f t="shared" si="15"/>
        <v>-15640</v>
      </c>
      <c r="AK27" s="194"/>
      <c r="AL27" s="209">
        <f t="shared" si="16"/>
        <v>33519.65</v>
      </c>
      <c r="AM27" s="370">
        <f t="shared" si="17"/>
        <v>-2201</v>
      </c>
      <c r="AN27" s="132"/>
      <c r="AO27" s="375">
        <f t="shared" si="4"/>
        <v>54871.65</v>
      </c>
      <c r="AP27" s="208">
        <f t="shared" si="18"/>
        <v>-30682</v>
      </c>
      <c r="AQ27" s="213">
        <f t="shared" si="19"/>
        <v>24189.65</v>
      </c>
      <c r="AR27" s="301">
        <f t="shared" si="23"/>
        <v>0</v>
      </c>
      <c r="AS27" s="291"/>
      <c r="AU27" s="198">
        <f t="shared" si="5"/>
        <v>-774.34999999999854</v>
      </c>
      <c r="AV27" s="179">
        <f t="shared" si="6"/>
        <v>-3156</v>
      </c>
      <c r="AX27" s="378">
        <f t="shared" si="20"/>
        <v>104392.35</v>
      </c>
    </row>
    <row r="28" spans="1:50" ht="17.100000000000001" customHeight="1">
      <c r="A28" s="127"/>
      <c r="B28" s="238">
        <f t="shared" si="21"/>
        <v>37178</v>
      </c>
      <c r="C28" s="376">
        <v>5667</v>
      </c>
      <c r="D28" s="412">
        <v>8531</v>
      </c>
      <c r="E28" s="788">
        <v>-7853</v>
      </c>
      <c r="F28" s="377">
        <v>-3156</v>
      </c>
      <c r="G28" s="376">
        <v>15656</v>
      </c>
      <c r="H28" s="412">
        <v>22744</v>
      </c>
      <c r="I28" s="788">
        <v>-15862</v>
      </c>
      <c r="J28" s="377">
        <v>0</v>
      </c>
      <c r="K28" s="377">
        <f t="shared" si="7"/>
        <v>-56.344999999999999</v>
      </c>
      <c r="L28" s="376">
        <v>15930</v>
      </c>
      <c r="M28" s="377">
        <v>17906</v>
      </c>
      <c r="N28" s="141">
        <v>-295</v>
      </c>
      <c r="O28" s="141">
        <v>-1906</v>
      </c>
      <c r="P28" s="141">
        <f t="shared" si="8"/>
        <v>-316.35000000000002</v>
      </c>
      <c r="Q28" s="151">
        <v>0</v>
      </c>
      <c r="R28" s="223">
        <f t="shared" si="9"/>
        <v>56989.305</v>
      </c>
      <c r="S28" s="385">
        <v>57965</v>
      </c>
      <c r="T28" s="151">
        <v>58797</v>
      </c>
      <c r="U28" s="141">
        <v>206</v>
      </c>
      <c r="V28" s="141">
        <v>0</v>
      </c>
      <c r="W28" s="141">
        <v>22</v>
      </c>
      <c r="X28" s="151">
        <f t="shared" si="10"/>
        <v>116990</v>
      </c>
      <c r="Y28" s="235">
        <f t="shared" si="11"/>
        <v>-975.69499999999971</v>
      </c>
      <c r="Z28" s="198"/>
      <c r="AA28" s="230">
        <f t="shared" si="12"/>
        <v>25714.305</v>
      </c>
      <c r="AB28" s="209">
        <f t="shared" ref="AB28:AB34" si="24">S28</f>
        <v>57965</v>
      </c>
      <c r="AC28" s="202">
        <f t="shared" ref="AC28:AC33" si="25">S28-D28-H28</f>
        <v>26690</v>
      </c>
      <c r="AD28" s="132">
        <f t="shared" ref="AD28:AD33" si="26">D28+H28</f>
        <v>31275</v>
      </c>
      <c r="AE28" s="132"/>
      <c r="AF28" s="206">
        <f t="shared" ref="AF28:AF33" si="27">C28</f>
        <v>5667</v>
      </c>
      <c r="AG28" s="208">
        <f t="shared" ref="AG28:AG33" si="28">E28</f>
        <v>-7853</v>
      </c>
      <c r="AH28" s="194"/>
      <c r="AI28" s="206">
        <f t="shared" ref="AI28:AI33" si="29">G28</f>
        <v>15656</v>
      </c>
      <c r="AJ28" s="208">
        <f t="shared" ref="AJ28:AJ33" si="30">I28</f>
        <v>-15862</v>
      </c>
      <c r="AK28" s="194"/>
      <c r="AL28" s="209">
        <f t="shared" si="16"/>
        <v>33519.65</v>
      </c>
      <c r="AM28" s="370">
        <f t="shared" si="17"/>
        <v>-2201</v>
      </c>
      <c r="AN28" s="132"/>
      <c r="AO28" s="375">
        <f t="shared" si="4"/>
        <v>54842.65</v>
      </c>
      <c r="AP28" s="208">
        <f t="shared" si="18"/>
        <v>-29072</v>
      </c>
      <c r="AQ28" s="213">
        <f t="shared" ref="AQ28:AQ33" si="31">AO28+AP28</f>
        <v>25770.65</v>
      </c>
      <c r="AR28" s="301">
        <f t="shared" si="23"/>
        <v>0</v>
      </c>
      <c r="AS28" s="291"/>
      <c r="AU28" s="198">
        <f t="shared" si="5"/>
        <v>-919.34999999999854</v>
      </c>
      <c r="AV28" s="179">
        <f t="shared" si="6"/>
        <v>-3156</v>
      </c>
      <c r="AX28" s="378">
        <f t="shared" si="20"/>
        <v>102811.35</v>
      </c>
    </row>
    <row r="29" spans="1:50" ht="17.100000000000001" customHeight="1">
      <c r="A29" s="127"/>
      <c r="B29" s="238">
        <f t="shared" si="21"/>
        <v>37179</v>
      </c>
      <c r="C29" s="376">
        <v>5667</v>
      </c>
      <c r="D29" s="412">
        <v>8531</v>
      </c>
      <c r="E29" s="788">
        <v>-4100</v>
      </c>
      <c r="F29" s="377">
        <v>-3156</v>
      </c>
      <c r="G29" s="376">
        <v>15819</v>
      </c>
      <c r="H29" s="412">
        <v>22744</v>
      </c>
      <c r="I29" s="788">
        <v>-14799</v>
      </c>
      <c r="J29" s="377">
        <v>0</v>
      </c>
      <c r="K29" s="377">
        <f t="shared" si="7"/>
        <v>-59.410000000000004</v>
      </c>
      <c r="L29" s="376">
        <v>15930</v>
      </c>
      <c r="M29" s="377">
        <v>17906</v>
      </c>
      <c r="N29" s="141">
        <v>-295</v>
      </c>
      <c r="O29" s="141">
        <v>-1906</v>
      </c>
      <c r="P29" s="141">
        <f t="shared" si="8"/>
        <v>-316.35000000000002</v>
      </c>
      <c r="Q29" s="151">
        <v>0</v>
      </c>
      <c r="R29" s="223">
        <f t="shared" si="9"/>
        <v>61965.24</v>
      </c>
      <c r="S29" s="385">
        <v>62639</v>
      </c>
      <c r="T29" s="151">
        <v>82758</v>
      </c>
      <c r="U29" s="141">
        <v>809</v>
      </c>
      <c r="V29" s="141">
        <v>2</v>
      </c>
      <c r="W29" s="141">
        <v>56</v>
      </c>
      <c r="X29" s="151">
        <f t="shared" si="10"/>
        <v>146264</v>
      </c>
      <c r="Y29" s="235">
        <f t="shared" si="11"/>
        <v>-673.76000000000204</v>
      </c>
      <c r="Z29" s="198"/>
      <c r="AA29" s="230">
        <f t="shared" si="12"/>
        <v>30690.239999999998</v>
      </c>
      <c r="AB29" s="232">
        <f t="shared" si="24"/>
        <v>62639</v>
      </c>
      <c r="AC29" s="202">
        <f t="shared" si="25"/>
        <v>31364</v>
      </c>
      <c r="AD29" s="132">
        <f t="shared" si="26"/>
        <v>31275</v>
      </c>
      <c r="AE29" s="132"/>
      <c r="AF29" s="206">
        <f t="shared" si="27"/>
        <v>5667</v>
      </c>
      <c r="AG29" s="208">
        <f t="shared" si="28"/>
        <v>-4100</v>
      </c>
      <c r="AH29" s="194"/>
      <c r="AI29" s="206">
        <f t="shared" si="29"/>
        <v>15819</v>
      </c>
      <c r="AJ29" s="208">
        <f t="shared" si="30"/>
        <v>-14799</v>
      </c>
      <c r="AK29" s="194"/>
      <c r="AL29" s="209">
        <f t="shared" si="16"/>
        <v>33519.65</v>
      </c>
      <c r="AM29" s="370">
        <f t="shared" si="17"/>
        <v>-2201</v>
      </c>
      <c r="AN29" s="132"/>
      <c r="AO29" s="375">
        <f t="shared" si="4"/>
        <v>55005.65</v>
      </c>
      <c r="AP29" s="208">
        <f t="shared" si="18"/>
        <v>-24256</v>
      </c>
      <c r="AQ29" s="213">
        <f t="shared" si="31"/>
        <v>30749.65</v>
      </c>
      <c r="AR29" s="301">
        <f t="shared" si="23"/>
        <v>0</v>
      </c>
      <c r="AS29" s="291"/>
      <c r="AU29" s="198">
        <f t="shared" si="5"/>
        <v>-614.34999999999854</v>
      </c>
      <c r="AV29" s="179">
        <f t="shared" si="6"/>
        <v>-3156</v>
      </c>
      <c r="AX29" s="378">
        <f t="shared" si="20"/>
        <v>97832.35</v>
      </c>
    </row>
    <row r="30" spans="1:50" ht="17.100000000000001" customHeight="1">
      <c r="A30" s="127"/>
      <c r="B30" s="238">
        <f t="shared" si="21"/>
        <v>37180</v>
      </c>
      <c r="C30" s="376">
        <v>19667</v>
      </c>
      <c r="D30" s="412">
        <v>8531</v>
      </c>
      <c r="E30" s="789">
        <f>1768-5900</f>
        <v>-4132</v>
      </c>
      <c r="F30" s="377">
        <v>-3156</v>
      </c>
      <c r="G30" s="376">
        <v>6578</v>
      </c>
      <c r="H30" s="412">
        <v>23744</v>
      </c>
      <c r="I30" s="788">
        <v>-15768</v>
      </c>
      <c r="J30" s="377">
        <v>0</v>
      </c>
      <c r="K30" s="377">
        <f t="shared" si="7"/>
        <v>-36.384999999999998</v>
      </c>
      <c r="L30" s="376">
        <v>15930</v>
      </c>
      <c r="M30" s="377">
        <v>17906</v>
      </c>
      <c r="N30" s="141">
        <v>-295</v>
      </c>
      <c r="O30" s="141">
        <v>-1906</v>
      </c>
      <c r="P30" s="141">
        <f t="shared" si="8"/>
        <v>-316.35000000000002</v>
      </c>
      <c r="Q30" s="151">
        <v>0</v>
      </c>
      <c r="R30" s="223">
        <f t="shared" si="9"/>
        <v>66746.264999999985</v>
      </c>
      <c r="S30" s="385">
        <v>66355</v>
      </c>
      <c r="T30" s="151">
        <v>68954</v>
      </c>
      <c r="U30" s="141">
        <v>969</v>
      </c>
      <c r="V30" s="141">
        <v>0</v>
      </c>
      <c r="W30" s="141">
        <v>123</v>
      </c>
      <c r="X30" s="151">
        <f t="shared" si="10"/>
        <v>136401</v>
      </c>
      <c r="Y30" s="235">
        <f t="shared" si="11"/>
        <v>391.26499999998487</v>
      </c>
      <c r="Z30" s="198"/>
      <c r="AA30" s="230">
        <f t="shared" si="12"/>
        <v>34471.264999999985</v>
      </c>
      <c r="AB30" s="232">
        <f t="shared" si="24"/>
        <v>66355</v>
      </c>
      <c r="AC30" s="202">
        <f t="shared" si="25"/>
        <v>34080</v>
      </c>
      <c r="AD30" s="132">
        <f t="shared" si="26"/>
        <v>32275</v>
      </c>
      <c r="AE30" s="132"/>
      <c r="AF30" s="206">
        <f t="shared" si="27"/>
        <v>19667</v>
      </c>
      <c r="AG30" s="208">
        <f t="shared" si="28"/>
        <v>-4132</v>
      </c>
      <c r="AH30" s="194"/>
      <c r="AI30" s="206">
        <f t="shared" si="29"/>
        <v>6578</v>
      </c>
      <c r="AJ30" s="208">
        <f t="shared" si="30"/>
        <v>-15768</v>
      </c>
      <c r="AK30" s="194"/>
      <c r="AL30" s="209">
        <f t="shared" si="16"/>
        <v>33519.65</v>
      </c>
      <c r="AM30" s="370">
        <f t="shared" si="17"/>
        <v>-2201</v>
      </c>
      <c r="AN30" s="132"/>
      <c r="AO30" s="375">
        <f t="shared" si="4"/>
        <v>59764.65</v>
      </c>
      <c r="AP30" s="208">
        <f t="shared" si="18"/>
        <v>-25257</v>
      </c>
      <c r="AQ30" s="213">
        <f t="shared" si="31"/>
        <v>34507.65</v>
      </c>
      <c r="AR30" s="301">
        <f t="shared" si="23"/>
        <v>0</v>
      </c>
      <c r="AS30" s="291"/>
      <c r="AU30" s="198">
        <f t="shared" si="5"/>
        <v>427.65000000000146</v>
      </c>
      <c r="AV30" s="179">
        <f t="shared" si="6"/>
        <v>-3156</v>
      </c>
      <c r="AX30" s="378">
        <f t="shared" si="20"/>
        <v>94074.35</v>
      </c>
    </row>
    <row r="31" spans="1:50" ht="17.100000000000001" customHeight="1">
      <c r="A31" s="127"/>
      <c r="B31" s="238">
        <f t="shared" si="21"/>
        <v>37181</v>
      </c>
      <c r="C31" s="376">
        <v>31284</v>
      </c>
      <c r="D31" s="412">
        <v>8531</v>
      </c>
      <c r="E31" s="789">
        <f>26751-21850</f>
        <v>4901</v>
      </c>
      <c r="F31" s="377">
        <v>-3156</v>
      </c>
      <c r="G31" s="376">
        <v>6578</v>
      </c>
      <c r="H31" s="412">
        <v>23744</v>
      </c>
      <c r="I31" s="788">
        <v>-10848</v>
      </c>
      <c r="J31" s="377">
        <v>0</v>
      </c>
      <c r="K31" s="377">
        <f t="shared" si="7"/>
        <v>-48.685000000000002</v>
      </c>
      <c r="L31" s="376">
        <v>15930</v>
      </c>
      <c r="M31" s="377">
        <v>17906</v>
      </c>
      <c r="N31" s="141">
        <v>-295</v>
      </c>
      <c r="O31" s="141">
        <v>-1906</v>
      </c>
      <c r="P31" s="141">
        <f t="shared" si="8"/>
        <v>-316.35000000000002</v>
      </c>
      <c r="Q31" s="151">
        <v>0</v>
      </c>
      <c r="R31" s="223">
        <f t="shared" si="9"/>
        <v>92303.964999999997</v>
      </c>
      <c r="S31" s="385">
        <v>92538</v>
      </c>
      <c r="T31" s="151">
        <v>29855</v>
      </c>
      <c r="U31" s="141">
        <v>1551</v>
      </c>
      <c r="V31" s="141">
        <v>32</v>
      </c>
      <c r="W31" s="141">
        <v>366</v>
      </c>
      <c r="X31" s="151">
        <f t="shared" si="10"/>
        <v>124342</v>
      </c>
      <c r="Y31" s="235">
        <f>R31-S31</f>
        <v>-234.03500000000349</v>
      </c>
      <c r="Z31" s="198"/>
      <c r="AA31" s="230">
        <f>R31-D31-H31</f>
        <v>60028.964999999997</v>
      </c>
      <c r="AB31" s="232">
        <f t="shared" si="24"/>
        <v>92538</v>
      </c>
      <c r="AC31" s="202">
        <f t="shared" si="25"/>
        <v>60263</v>
      </c>
      <c r="AD31" s="132">
        <f t="shared" si="26"/>
        <v>32275</v>
      </c>
      <c r="AE31" s="132"/>
      <c r="AF31" s="206">
        <f t="shared" si="27"/>
        <v>31284</v>
      </c>
      <c r="AG31" s="208">
        <f t="shared" si="28"/>
        <v>4901</v>
      </c>
      <c r="AH31" s="194"/>
      <c r="AI31" s="206">
        <f t="shared" si="29"/>
        <v>6578</v>
      </c>
      <c r="AJ31" s="208">
        <f t="shared" si="30"/>
        <v>-10848</v>
      </c>
      <c r="AK31" s="194"/>
      <c r="AL31" s="209">
        <f t="shared" si="16"/>
        <v>33519.65</v>
      </c>
      <c r="AM31" s="370">
        <f t="shared" si="17"/>
        <v>-2201</v>
      </c>
      <c r="AN31" s="132"/>
      <c r="AO31" s="375">
        <f t="shared" si="4"/>
        <v>71381.649999999994</v>
      </c>
      <c r="AP31" s="208">
        <f t="shared" si="18"/>
        <v>-11304</v>
      </c>
      <c r="AQ31" s="213">
        <f t="shared" si="31"/>
        <v>60077.649999999994</v>
      </c>
      <c r="AR31" s="301">
        <f t="shared" si="23"/>
        <v>0</v>
      </c>
      <c r="AS31" s="291"/>
      <c r="AU31" s="198">
        <f t="shared" si="5"/>
        <v>-185.35000000000582</v>
      </c>
      <c r="AV31" s="179">
        <f t="shared" si="6"/>
        <v>-3156</v>
      </c>
      <c r="AX31" s="378">
        <f t="shared" si="20"/>
        <v>68504.350000000006</v>
      </c>
    </row>
    <row r="32" spans="1:50" ht="17.100000000000001" customHeight="1">
      <c r="A32" s="127"/>
      <c r="B32" s="238">
        <f t="shared" si="21"/>
        <v>37182</v>
      </c>
      <c r="C32" s="376">
        <v>34740</v>
      </c>
      <c r="D32" s="412">
        <v>8531</v>
      </c>
      <c r="E32" s="789">
        <f>38976-34518</f>
        <v>4458</v>
      </c>
      <c r="F32" s="377">
        <v>-3156</v>
      </c>
      <c r="G32" s="376">
        <v>10839</v>
      </c>
      <c r="H32" s="412">
        <v>22624</v>
      </c>
      <c r="I32" s="788">
        <v>-786</v>
      </c>
      <c r="J32" s="377">
        <v>0</v>
      </c>
      <c r="K32" s="377">
        <f t="shared" si="7"/>
        <v>-81.692499999999995</v>
      </c>
      <c r="L32" s="376">
        <v>15930</v>
      </c>
      <c r="M32" s="377">
        <v>17906</v>
      </c>
      <c r="N32" s="141">
        <v>-295</v>
      </c>
      <c r="O32" s="141">
        <v>-1906</v>
      </c>
      <c r="P32" s="141">
        <f t="shared" si="8"/>
        <v>-316.35000000000002</v>
      </c>
      <c r="Q32" s="151">
        <v>0</v>
      </c>
      <c r="R32" s="223">
        <f t="shared" si="9"/>
        <v>108486.95749999999</v>
      </c>
      <c r="S32" s="385">
        <v>108504</v>
      </c>
      <c r="T32" s="151">
        <v>2111</v>
      </c>
      <c r="U32" s="141">
        <v>9894</v>
      </c>
      <c r="V32" s="141">
        <v>0</v>
      </c>
      <c r="W32" s="141">
        <v>361</v>
      </c>
      <c r="X32" s="151">
        <f t="shared" si="10"/>
        <v>120870</v>
      </c>
      <c r="Y32" s="235">
        <f t="shared" si="11"/>
        <v>-17.042500000010477</v>
      </c>
      <c r="Z32" s="198"/>
      <c r="AA32" s="230">
        <f t="shared" si="12"/>
        <v>77331.95749999999</v>
      </c>
      <c r="AB32" s="232">
        <f t="shared" si="24"/>
        <v>108504</v>
      </c>
      <c r="AC32" s="202">
        <f t="shared" si="25"/>
        <v>77349</v>
      </c>
      <c r="AD32" s="132">
        <f t="shared" si="26"/>
        <v>31155</v>
      </c>
      <c r="AE32" s="132"/>
      <c r="AF32" s="206">
        <f t="shared" si="27"/>
        <v>34740</v>
      </c>
      <c r="AG32" s="208">
        <f t="shared" si="28"/>
        <v>4458</v>
      </c>
      <c r="AH32" s="194"/>
      <c r="AI32" s="206">
        <f t="shared" si="29"/>
        <v>10839</v>
      </c>
      <c r="AJ32" s="208">
        <f t="shared" si="30"/>
        <v>-786</v>
      </c>
      <c r="AK32" s="194"/>
      <c r="AL32" s="209">
        <f t="shared" si="16"/>
        <v>33519.65</v>
      </c>
      <c r="AM32" s="370">
        <f t="shared" si="17"/>
        <v>-2201</v>
      </c>
      <c r="AN32" s="132"/>
      <c r="AO32" s="375">
        <f t="shared" si="4"/>
        <v>79098.649999999994</v>
      </c>
      <c r="AP32" s="208">
        <f t="shared" si="18"/>
        <v>-1685</v>
      </c>
      <c r="AQ32" s="213">
        <f t="shared" si="31"/>
        <v>77413.649999999994</v>
      </c>
      <c r="AR32" s="301">
        <f t="shared" si="23"/>
        <v>0</v>
      </c>
      <c r="AS32" s="291"/>
      <c r="AU32" s="198">
        <f t="shared" si="5"/>
        <v>64.649999999994179</v>
      </c>
      <c r="AV32" s="179">
        <f t="shared" si="6"/>
        <v>-3156</v>
      </c>
      <c r="AX32" s="378">
        <f t="shared" si="20"/>
        <v>51168.350000000006</v>
      </c>
    </row>
    <row r="33" spans="1:50" ht="17.100000000000001" customHeight="1">
      <c r="A33" s="127"/>
      <c r="B33" s="238">
        <f t="shared" si="21"/>
        <v>37183</v>
      </c>
      <c r="C33" s="376">
        <v>33703</v>
      </c>
      <c r="D33" s="412">
        <v>7700</v>
      </c>
      <c r="E33" s="789">
        <f>1101-7282-5000</f>
        <v>-11181</v>
      </c>
      <c r="F33" s="377">
        <v>-3156</v>
      </c>
      <c r="G33" s="376">
        <v>6622</v>
      </c>
      <c r="H33" s="412">
        <v>22724</v>
      </c>
      <c r="I33" s="788">
        <v>-15490</v>
      </c>
      <c r="J33" s="377">
        <v>0</v>
      </c>
      <c r="K33" s="377">
        <f t="shared" si="7"/>
        <v>-34.64</v>
      </c>
      <c r="L33" s="376">
        <v>15930</v>
      </c>
      <c r="M33" s="377">
        <v>21906</v>
      </c>
      <c r="N33" s="141">
        <v>-295</v>
      </c>
      <c r="O33" s="141">
        <v>-1906</v>
      </c>
      <c r="P33" s="141">
        <f t="shared" si="8"/>
        <v>-356.35</v>
      </c>
      <c r="Q33" s="151">
        <v>0</v>
      </c>
      <c r="R33" s="223">
        <f t="shared" si="9"/>
        <v>76166.009999999995</v>
      </c>
      <c r="S33" s="385">
        <v>77400</v>
      </c>
      <c r="T33" s="151">
        <v>0</v>
      </c>
      <c r="U33" s="141">
        <v>1423</v>
      </c>
      <c r="V33" s="141">
        <v>0</v>
      </c>
      <c r="W33" s="141">
        <v>134</v>
      </c>
      <c r="X33" s="151">
        <f t="shared" si="10"/>
        <v>78957</v>
      </c>
      <c r="Y33" s="235">
        <f t="shared" si="11"/>
        <v>-1233.9900000000052</v>
      </c>
      <c r="Z33" s="198"/>
      <c r="AA33" s="230">
        <f t="shared" si="12"/>
        <v>45742.009999999995</v>
      </c>
      <c r="AB33" s="232">
        <f t="shared" si="24"/>
        <v>77400</v>
      </c>
      <c r="AC33" s="202">
        <f t="shared" si="25"/>
        <v>46976</v>
      </c>
      <c r="AD33" s="132">
        <f t="shared" si="26"/>
        <v>30424</v>
      </c>
      <c r="AE33" s="132"/>
      <c r="AF33" s="206">
        <f t="shared" si="27"/>
        <v>33703</v>
      </c>
      <c r="AG33" s="208">
        <f t="shared" si="28"/>
        <v>-11181</v>
      </c>
      <c r="AH33" s="194"/>
      <c r="AI33" s="206">
        <f t="shared" si="29"/>
        <v>6622</v>
      </c>
      <c r="AJ33" s="208">
        <f t="shared" si="30"/>
        <v>-15490</v>
      </c>
      <c r="AK33" s="194"/>
      <c r="AL33" s="209">
        <f t="shared" si="16"/>
        <v>37479.65</v>
      </c>
      <c r="AM33" s="370">
        <f t="shared" si="17"/>
        <v>-2201</v>
      </c>
      <c r="AN33" s="132"/>
      <c r="AO33" s="375">
        <f t="shared" si="4"/>
        <v>77804.649999999994</v>
      </c>
      <c r="AP33" s="208">
        <f t="shared" si="18"/>
        <v>-32028</v>
      </c>
      <c r="AQ33" s="213">
        <f t="shared" si="31"/>
        <v>45776.649999999994</v>
      </c>
      <c r="AR33" s="301">
        <f t="shared" si="23"/>
        <v>0</v>
      </c>
      <c r="AS33" s="291"/>
      <c r="AU33" s="198">
        <f t="shared" si="5"/>
        <v>-1199.3500000000058</v>
      </c>
      <c r="AV33" s="179">
        <f t="shared" si="6"/>
        <v>-3156</v>
      </c>
      <c r="AX33" s="378">
        <f t="shared" si="20"/>
        <v>82805.350000000006</v>
      </c>
    </row>
    <row r="34" spans="1:50" ht="17.100000000000001" customHeight="1">
      <c r="A34" s="127"/>
      <c r="B34" s="238">
        <f t="shared" si="21"/>
        <v>37184</v>
      </c>
      <c r="C34" s="376">
        <v>23836</v>
      </c>
      <c r="D34" s="412">
        <v>7700</v>
      </c>
      <c r="E34" s="788">
        <v>-11837</v>
      </c>
      <c r="F34" s="377">
        <v>-3156</v>
      </c>
      <c r="G34" s="376">
        <v>6655</v>
      </c>
      <c r="H34" s="412">
        <v>23124</v>
      </c>
      <c r="I34" s="788">
        <v>-16936</v>
      </c>
      <c r="J34" s="377">
        <v>0</v>
      </c>
      <c r="K34" s="377">
        <f t="shared" si="7"/>
        <v>-32.107500000000002</v>
      </c>
      <c r="L34" s="376">
        <v>15930</v>
      </c>
      <c r="M34" s="377">
        <v>21906</v>
      </c>
      <c r="N34" s="141">
        <v>-295</v>
      </c>
      <c r="O34" s="141">
        <v>-1906</v>
      </c>
      <c r="P34" s="141">
        <f t="shared" si="8"/>
        <v>-356.35</v>
      </c>
      <c r="Q34" s="151">
        <v>0</v>
      </c>
      <c r="R34" s="223">
        <f t="shared" si="9"/>
        <v>64632.542500000003</v>
      </c>
      <c r="S34" s="385">
        <v>64311</v>
      </c>
      <c r="T34" s="151">
        <v>0</v>
      </c>
      <c r="U34" s="141">
        <v>623</v>
      </c>
      <c r="V34" s="141">
        <v>0</v>
      </c>
      <c r="W34" s="141">
        <v>37</v>
      </c>
      <c r="X34" s="151">
        <f t="shared" si="10"/>
        <v>64971</v>
      </c>
      <c r="Y34" s="235">
        <f t="shared" si="11"/>
        <v>321.5425000000032</v>
      </c>
      <c r="Z34" s="198"/>
      <c r="AA34" s="230">
        <f t="shared" si="12"/>
        <v>33808.542500000003</v>
      </c>
      <c r="AB34" s="232">
        <f t="shared" si="24"/>
        <v>64311</v>
      </c>
      <c r="AC34" s="202">
        <f>S34-D34-H34</f>
        <v>33487</v>
      </c>
      <c r="AD34" s="132">
        <f>D34+H34</f>
        <v>30824</v>
      </c>
      <c r="AE34" s="132"/>
      <c r="AF34" s="206">
        <f>C34</f>
        <v>23836</v>
      </c>
      <c r="AG34" s="208">
        <f>E34</f>
        <v>-11837</v>
      </c>
      <c r="AH34" s="194"/>
      <c r="AI34" s="206">
        <f>G34</f>
        <v>6655</v>
      </c>
      <c r="AJ34" s="208">
        <f>I34</f>
        <v>-16936</v>
      </c>
      <c r="AK34" s="194"/>
      <c r="AL34" s="209">
        <f t="shared" si="16"/>
        <v>37479.65</v>
      </c>
      <c r="AM34" s="370">
        <f t="shared" si="17"/>
        <v>-2201</v>
      </c>
      <c r="AN34" s="132"/>
      <c r="AO34" s="375">
        <f t="shared" si="4"/>
        <v>67970.649999999994</v>
      </c>
      <c r="AP34" s="208">
        <f t="shared" si="18"/>
        <v>-34130</v>
      </c>
      <c r="AQ34" s="213">
        <f>AO34+AP34</f>
        <v>33840.649999999994</v>
      </c>
      <c r="AR34" s="301">
        <f t="shared" si="23"/>
        <v>0</v>
      </c>
      <c r="AS34" s="291"/>
      <c r="AU34" s="198">
        <f t="shared" si="5"/>
        <v>353.64999999999418</v>
      </c>
      <c r="AV34" s="179">
        <f>F34+Q34</f>
        <v>-3156</v>
      </c>
      <c r="AX34" s="378">
        <f t="shared" si="20"/>
        <v>94741.35</v>
      </c>
    </row>
    <row r="35" spans="1:50" ht="17.100000000000001" customHeight="1">
      <c r="A35" s="127"/>
      <c r="B35" s="238">
        <f t="shared" si="21"/>
        <v>37185</v>
      </c>
      <c r="C35" s="376">
        <v>13836</v>
      </c>
      <c r="D35" s="412">
        <v>7700</v>
      </c>
      <c r="E35" s="789">
        <f>-17913+4009</f>
        <v>-13904</v>
      </c>
      <c r="F35" s="377">
        <v>-3156</v>
      </c>
      <c r="G35" s="376">
        <v>9365</v>
      </c>
      <c r="H35" s="412">
        <v>23124</v>
      </c>
      <c r="I35" s="788">
        <v>-16947</v>
      </c>
      <c r="J35" s="377">
        <v>0</v>
      </c>
      <c r="K35" s="377">
        <f t="shared" si="7"/>
        <v>-38.855000000000004</v>
      </c>
      <c r="L35" s="376">
        <v>15930</v>
      </c>
      <c r="M35" s="377">
        <v>21906</v>
      </c>
      <c r="N35" s="141">
        <v>-295</v>
      </c>
      <c r="O35" s="141">
        <v>-1906</v>
      </c>
      <c r="P35" s="141">
        <f t="shared" si="8"/>
        <v>-356.35</v>
      </c>
      <c r="Q35" s="151">
        <v>0</v>
      </c>
      <c r="R35" s="223">
        <f t="shared" si="9"/>
        <v>55257.795000000006</v>
      </c>
      <c r="S35" s="385">
        <v>53084</v>
      </c>
      <c r="T35" s="151">
        <v>18799</v>
      </c>
      <c r="U35" s="141">
        <v>34</v>
      </c>
      <c r="V35" s="141">
        <v>0</v>
      </c>
      <c r="W35" s="141">
        <v>23</v>
      </c>
      <c r="X35" s="151">
        <f t="shared" si="10"/>
        <v>71940</v>
      </c>
      <c r="Y35" s="235">
        <f t="shared" si="11"/>
        <v>2173.7950000000055</v>
      </c>
      <c r="Z35" s="198"/>
      <c r="AA35" s="230">
        <f t="shared" ref="AA35:AA42" si="32">R35-D35-H35</f>
        <v>24433.795000000006</v>
      </c>
      <c r="AB35" s="232">
        <f t="shared" ref="AB35:AB42" si="33">S35</f>
        <v>53084</v>
      </c>
      <c r="AC35" s="202">
        <f t="shared" ref="AC35:AC42" si="34">S35-D35-H35</f>
        <v>22260</v>
      </c>
      <c r="AD35" s="132">
        <f t="shared" ref="AD35:AD42" si="35">D35+H35</f>
        <v>30824</v>
      </c>
      <c r="AE35" s="132"/>
      <c r="AF35" s="206">
        <f t="shared" ref="AF35:AF42" si="36">C35</f>
        <v>13836</v>
      </c>
      <c r="AG35" s="208">
        <f t="shared" ref="AG35:AG42" si="37">E35</f>
        <v>-13904</v>
      </c>
      <c r="AH35" s="194"/>
      <c r="AI35" s="206">
        <f t="shared" ref="AI35:AI42" si="38">G35</f>
        <v>9365</v>
      </c>
      <c r="AJ35" s="208">
        <f t="shared" ref="AJ35:AJ42" si="39">I35</f>
        <v>-16947</v>
      </c>
      <c r="AK35" s="194"/>
      <c r="AL35" s="209">
        <f t="shared" si="16"/>
        <v>37479.65</v>
      </c>
      <c r="AM35" s="370">
        <f t="shared" si="17"/>
        <v>-2201</v>
      </c>
      <c r="AN35" s="132"/>
      <c r="AO35" s="375">
        <f t="shared" si="4"/>
        <v>60680.65</v>
      </c>
      <c r="AP35" s="208">
        <f t="shared" si="18"/>
        <v>-36208</v>
      </c>
      <c r="AQ35" s="213">
        <f t="shared" ref="AQ35:AQ42" si="40">AO35+AP35</f>
        <v>24472.65</v>
      </c>
      <c r="AR35" s="301">
        <f t="shared" si="23"/>
        <v>0</v>
      </c>
      <c r="AS35" s="291"/>
      <c r="AU35" s="198">
        <f t="shared" si="5"/>
        <v>2212.6500000000015</v>
      </c>
      <c r="AV35" s="179">
        <f t="shared" ref="AV35:AV42" si="41">F35+Q35</f>
        <v>-3156</v>
      </c>
      <c r="AX35" s="378">
        <f t="shared" si="20"/>
        <v>104109.35</v>
      </c>
    </row>
    <row r="36" spans="1:50" ht="17.100000000000001" customHeight="1">
      <c r="A36" s="127"/>
      <c r="B36" s="238">
        <f t="shared" si="21"/>
        <v>37186</v>
      </c>
      <c r="C36" s="376">
        <v>15836</v>
      </c>
      <c r="D36" s="412">
        <v>8050</v>
      </c>
      <c r="E36" s="788">
        <v>-11482</v>
      </c>
      <c r="F36" s="377">
        <v>-3156</v>
      </c>
      <c r="G36" s="376">
        <v>7964</v>
      </c>
      <c r="H36" s="412">
        <v>11935</v>
      </c>
      <c r="I36" s="788">
        <v>-15932</v>
      </c>
      <c r="J36" s="377">
        <v>0</v>
      </c>
      <c r="K36" s="377">
        <f t="shared" si="7"/>
        <v>-9.9175000000000004</v>
      </c>
      <c r="L36" s="376">
        <v>15930</v>
      </c>
      <c r="M36" s="377">
        <v>21906</v>
      </c>
      <c r="N36" s="141">
        <v>-295</v>
      </c>
      <c r="O36" s="141">
        <v>-1906</v>
      </c>
      <c r="P36" s="141">
        <f t="shared" si="8"/>
        <v>-356.35</v>
      </c>
      <c r="Q36" s="151">
        <v>0</v>
      </c>
      <c r="R36" s="223">
        <f t="shared" si="9"/>
        <v>48483.732500000006</v>
      </c>
      <c r="S36" s="385">
        <v>51943</v>
      </c>
      <c r="T36" s="151">
        <v>68747</v>
      </c>
      <c r="U36" s="141">
        <v>232</v>
      </c>
      <c r="V36" s="141">
        <v>0</v>
      </c>
      <c r="W36" s="141">
        <v>31</v>
      </c>
      <c r="X36" s="151">
        <f t="shared" si="10"/>
        <v>120953</v>
      </c>
      <c r="Y36" s="235">
        <f t="shared" si="11"/>
        <v>-3459.2674999999945</v>
      </c>
      <c r="Z36" s="198"/>
      <c r="AA36" s="230">
        <f t="shared" si="32"/>
        <v>28498.732500000006</v>
      </c>
      <c r="AB36" s="232">
        <f t="shared" si="33"/>
        <v>51943</v>
      </c>
      <c r="AC36" s="202">
        <f t="shared" si="34"/>
        <v>31958</v>
      </c>
      <c r="AD36" s="132">
        <f t="shared" si="35"/>
        <v>19985</v>
      </c>
      <c r="AE36" s="132"/>
      <c r="AF36" s="206">
        <f t="shared" si="36"/>
        <v>15836</v>
      </c>
      <c r="AG36" s="208">
        <f t="shared" si="37"/>
        <v>-11482</v>
      </c>
      <c r="AH36" s="194"/>
      <c r="AI36" s="206">
        <f t="shared" si="38"/>
        <v>7964</v>
      </c>
      <c r="AJ36" s="208">
        <f t="shared" si="39"/>
        <v>-15932</v>
      </c>
      <c r="AK36" s="194"/>
      <c r="AL36" s="209">
        <f t="shared" si="16"/>
        <v>37479.65</v>
      </c>
      <c r="AM36" s="370">
        <f t="shared" si="17"/>
        <v>-2201</v>
      </c>
      <c r="AN36" s="132"/>
      <c r="AO36" s="375">
        <f t="shared" si="4"/>
        <v>61279.65</v>
      </c>
      <c r="AP36" s="208">
        <f t="shared" si="18"/>
        <v>-32771</v>
      </c>
      <c r="AQ36" s="213">
        <f t="shared" si="40"/>
        <v>28508.65</v>
      </c>
      <c r="AR36" s="301">
        <f t="shared" si="23"/>
        <v>0</v>
      </c>
      <c r="AS36" s="291"/>
      <c r="AU36" s="198">
        <f t="shared" si="5"/>
        <v>-3449.3499999999985</v>
      </c>
      <c r="AV36" s="179">
        <f t="shared" si="41"/>
        <v>-3156</v>
      </c>
      <c r="AX36" s="378">
        <f t="shared" si="20"/>
        <v>100073.35</v>
      </c>
    </row>
    <row r="37" spans="1:50" ht="17.100000000000001" customHeight="1">
      <c r="A37" s="127"/>
      <c r="B37" s="238">
        <f t="shared" si="21"/>
        <v>37187</v>
      </c>
      <c r="C37" s="376">
        <v>16284</v>
      </c>
      <c r="D37" s="412">
        <v>13400</v>
      </c>
      <c r="E37" s="789">
        <f>4463-12000</f>
        <v>-7537</v>
      </c>
      <c r="F37" s="377">
        <v>-3156</v>
      </c>
      <c r="G37" s="376">
        <f>6564+80</f>
        <v>6644</v>
      </c>
      <c r="H37" s="412">
        <v>15427</v>
      </c>
      <c r="I37" s="788">
        <v>-16950</v>
      </c>
      <c r="J37" s="377">
        <v>0</v>
      </c>
      <c r="K37" s="377">
        <f t="shared" si="7"/>
        <v>-12.8025</v>
      </c>
      <c r="L37" s="376">
        <v>15930</v>
      </c>
      <c r="M37" s="377">
        <v>17906</v>
      </c>
      <c r="N37" s="141">
        <v>-295</v>
      </c>
      <c r="O37" s="141">
        <v>-1906</v>
      </c>
      <c r="P37" s="141">
        <f t="shared" si="8"/>
        <v>-316.35000000000002</v>
      </c>
      <c r="Q37" s="151">
        <v>0</v>
      </c>
      <c r="R37" s="223">
        <f t="shared" si="9"/>
        <v>55417.847499999996</v>
      </c>
      <c r="S37" s="385">
        <v>55121</v>
      </c>
      <c r="T37" s="151">
        <v>3413</v>
      </c>
      <c r="U37" s="141">
        <v>3493</v>
      </c>
      <c r="V37" s="141">
        <v>0</v>
      </c>
      <c r="W37" s="141">
        <v>20</v>
      </c>
      <c r="X37" s="151">
        <f t="shared" si="10"/>
        <v>62047</v>
      </c>
      <c r="Y37" s="235">
        <f t="shared" si="11"/>
        <v>296.84749999999622</v>
      </c>
      <c r="Z37" s="198"/>
      <c r="AA37" s="230">
        <f t="shared" si="32"/>
        <v>26590.847499999996</v>
      </c>
      <c r="AB37" s="232">
        <f t="shared" si="33"/>
        <v>55121</v>
      </c>
      <c r="AC37" s="202">
        <f t="shared" si="34"/>
        <v>26294</v>
      </c>
      <c r="AD37" s="132">
        <f t="shared" si="35"/>
        <v>28827</v>
      </c>
      <c r="AE37" s="132"/>
      <c r="AF37" s="206">
        <f t="shared" si="36"/>
        <v>16284</v>
      </c>
      <c r="AG37" s="208">
        <f t="shared" si="37"/>
        <v>-7537</v>
      </c>
      <c r="AH37" s="194"/>
      <c r="AI37" s="206">
        <f t="shared" si="38"/>
        <v>6644</v>
      </c>
      <c r="AJ37" s="208">
        <f t="shared" si="39"/>
        <v>-16950</v>
      </c>
      <c r="AK37" s="194"/>
      <c r="AL37" s="209">
        <f t="shared" si="16"/>
        <v>33519.65</v>
      </c>
      <c r="AM37" s="370">
        <f t="shared" si="17"/>
        <v>-2201</v>
      </c>
      <c r="AN37" s="132"/>
      <c r="AO37" s="375">
        <f t="shared" si="4"/>
        <v>56447.65</v>
      </c>
      <c r="AP37" s="208">
        <f t="shared" si="18"/>
        <v>-29844</v>
      </c>
      <c r="AQ37" s="213">
        <f t="shared" si="40"/>
        <v>26603.65</v>
      </c>
      <c r="AR37" s="301">
        <f t="shared" si="23"/>
        <v>0</v>
      </c>
      <c r="AS37" s="291"/>
      <c r="AU37" s="198">
        <f t="shared" si="5"/>
        <v>309.65000000000146</v>
      </c>
      <c r="AV37" s="179">
        <f t="shared" si="41"/>
        <v>-3156</v>
      </c>
      <c r="AX37" s="378">
        <f t="shared" si="20"/>
        <v>101978.35</v>
      </c>
    </row>
    <row r="38" spans="1:50" ht="17.100000000000001" customHeight="1">
      <c r="A38" s="127"/>
      <c r="B38" s="238">
        <f t="shared" si="21"/>
        <v>37188</v>
      </c>
      <c r="C38" s="376">
        <v>9284</v>
      </c>
      <c r="D38" s="412">
        <v>7700</v>
      </c>
      <c r="E38" s="789">
        <f>-3374-8000</f>
        <v>-11374</v>
      </c>
      <c r="F38" s="377">
        <v>-3156</v>
      </c>
      <c r="G38" s="376">
        <v>15502</v>
      </c>
      <c r="H38" s="412">
        <v>24623</v>
      </c>
      <c r="I38" s="788">
        <v>-16376</v>
      </c>
      <c r="J38" s="377">
        <v>0</v>
      </c>
      <c r="K38" s="377">
        <f t="shared" si="7"/>
        <v>-59.372500000000002</v>
      </c>
      <c r="L38" s="376">
        <v>15930</v>
      </c>
      <c r="M38" s="377">
        <v>17906</v>
      </c>
      <c r="N38" s="141">
        <v>-295</v>
      </c>
      <c r="O38" s="141">
        <v>-1906</v>
      </c>
      <c r="P38" s="141">
        <f t="shared" si="8"/>
        <v>-316.35000000000002</v>
      </c>
      <c r="Q38" s="151">
        <v>0</v>
      </c>
      <c r="R38" s="223">
        <f t="shared" si="9"/>
        <v>57462.277500000004</v>
      </c>
      <c r="S38" s="385">
        <v>59698</v>
      </c>
      <c r="T38" s="151">
        <v>59362</v>
      </c>
      <c r="U38" s="141">
        <v>297</v>
      </c>
      <c r="V38" s="141">
        <v>3</v>
      </c>
      <c r="W38" s="141">
        <v>22</v>
      </c>
      <c r="X38" s="151">
        <f t="shared" si="10"/>
        <v>119382</v>
      </c>
      <c r="Y38" s="235">
        <f t="shared" si="11"/>
        <v>-2235.7224999999962</v>
      </c>
      <c r="Z38" s="198"/>
      <c r="AA38" s="230">
        <f t="shared" si="32"/>
        <v>25139.277500000004</v>
      </c>
      <c r="AB38" s="232">
        <f t="shared" si="33"/>
        <v>59698</v>
      </c>
      <c r="AC38" s="202">
        <f t="shared" si="34"/>
        <v>27375</v>
      </c>
      <c r="AD38" s="132">
        <f t="shared" si="35"/>
        <v>32323</v>
      </c>
      <c r="AE38" s="132"/>
      <c r="AF38" s="206">
        <f t="shared" si="36"/>
        <v>9284</v>
      </c>
      <c r="AG38" s="208">
        <f t="shared" si="37"/>
        <v>-11374</v>
      </c>
      <c r="AH38" s="194"/>
      <c r="AI38" s="206">
        <f t="shared" si="38"/>
        <v>15502</v>
      </c>
      <c r="AJ38" s="208">
        <f t="shared" si="39"/>
        <v>-16376</v>
      </c>
      <c r="AK38" s="194"/>
      <c r="AL38" s="209">
        <f t="shared" si="16"/>
        <v>33519.65</v>
      </c>
      <c r="AM38" s="370">
        <f t="shared" si="17"/>
        <v>-2201</v>
      </c>
      <c r="AN38" s="132"/>
      <c r="AO38" s="375">
        <f t="shared" si="4"/>
        <v>58305.65</v>
      </c>
      <c r="AP38" s="208">
        <f t="shared" si="18"/>
        <v>-33107</v>
      </c>
      <c r="AQ38" s="213">
        <f t="shared" si="40"/>
        <v>25198.65</v>
      </c>
      <c r="AR38" s="301">
        <f t="shared" ref="AR38:AR45" si="42">IF(AQ38-$AQ$8&gt;0,AQ38-$AQ$8,0)</f>
        <v>0</v>
      </c>
      <c r="AS38" s="291"/>
      <c r="AU38" s="198">
        <f t="shared" si="5"/>
        <v>-2176.3499999999985</v>
      </c>
      <c r="AV38" s="179">
        <f t="shared" si="41"/>
        <v>-3156</v>
      </c>
      <c r="AX38" s="378">
        <f t="shared" si="20"/>
        <v>103383.35</v>
      </c>
    </row>
    <row r="39" spans="1:50" ht="17.100000000000001" customHeight="1">
      <c r="A39" s="127"/>
      <c r="B39" s="238">
        <f t="shared" si="21"/>
        <v>37189</v>
      </c>
      <c r="C39" s="376">
        <v>24255</v>
      </c>
      <c r="D39" s="412">
        <v>7700</v>
      </c>
      <c r="E39" s="789">
        <f>-15216+6203</f>
        <v>-9013</v>
      </c>
      <c r="F39" s="377">
        <v>-3156</v>
      </c>
      <c r="G39" s="376">
        <v>4143</v>
      </c>
      <c r="H39" s="412">
        <v>23623</v>
      </c>
      <c r="I39" s="788">
        <v>-16406</v>
      </c>
      <c r="J39" s="377">
        <v>0</v>
      </c>
      <c r="K39" s="377">
        <f t="shared" si="7"/>
        <v>-28.400000000000002</v>
      </c>
      <c r="L39" s="376">
        <v>15930</v>
      </c>
      <c r="M39" s="377">
        <v>15406</v>
      </c>
      <c r="N39" s="141">
        <v>-295</v>
      </c>
      <c r="O39" s="141">
        <v>-1906</v>
      </c>
      <c r="P39" s="141">
        <f t="shared" si="8"/>
        <v>-291.35000000000002</v>
      </c>
      <c r="Q39" s="151">
        <v>0</v>
      </c>
      <c r="R39" s="223">
        <f t="shared" si="9"/>
        <v>59961.25</v>
      </c>
      <c r="S39" s="385">
        <v>59936</v>
      </c>
      <c r="T39" s="151">
        <v>27552</v>
      </c>
      <c r="U39" s="141">
        <v>1627</v>
      </c>
      <c r="V39" s="141">
        <v>1</v>
      </c>
      <c r="W39" s="141">
        <v>57</v>
      </c>
      <c r="X39" s="151">
        <f t="shared" si="10"/>
        <v>89173</v>
      </c>
      <c r="Y39" s="235">
        <f t="shared" si="11"/>
        <v>25.25</v>
      </c>
      <c r="Z39" s="198"/>
      <c r="AA39" s="230">
        <f t="shared" si="32"/>
        <v>28638.25</v>
      </c>
      <c r="AB39" s="232">
        <f t="shared" si="33"/>
        <v>59936</v>
      </c>
      <c r="AC39" s="202">
        <f t="shared" si="34"/>
        <v>28613</v>
      </c>
      <c r="AD39" s="132">
        <f t="shared" si="35"/>
        <v>31323</v>
      </c>
      <c r="AE39" s="132"/>
      <c r="AF39" s="206">
        <f t="shared" si="36"/>
        <v>24255</v>
      </c>
      <c r="AG39" s="208">
        <f t="shared" si="37"/>
        <v>-9013</v>
      </c>
      <c r="AH39" s="194"/>
      <c r="AI39" s="206">
        <f t="shared" si="38"/>
        <v>4143</v>
      </c>
      <c r="AJ39" s="208">
        <f t="shared" si="39"/>
        <v>-16406</v>
      </c>
      <c r="AK39" s="194"/>
      <c r="AL39" s="209">
        <f t="shared" si="16"/>
        <v>31044.65</v>
      </c>
      <c r="AM39" s="370">
        <f t="shared" si="17"/>
        <v>-2201</v>
      </c>
      <c r="AN39" s="132"/>
      <c r="AO39" s="375">
        <f t="shared" si="4"/>
        <v>59442.65</v>
      </c>
      <c r="AP39" s="208">
        <f t="shared" si="18"/>
        <v>-30776</v>
      </c>
      <c r="AQ39" s="213">
        <f t="shared" si="40"/>
        <v>28666.65</v>
      </c>
      <c r="AR39" s="301">
        <f t="shared" si="42"/>
        <v>0</v>
      </c>
      <c r="AS39" s="291"/>
      <c r="AU39" s="198">
        <f t="shared" si="5"/>
        <v>53.650000000001455</v>
      </c>
      <c r="AV39" s="179">
        <f t="shared" si="41"/>
        <v>-3156</v>
      </c>
      <c r="AX39" s="378">
        <f t="shared" si="20"/>
        <v>99915.35</v>
      </c>
    </row>
    <row r="40" spans="1:50" ht="17.100000000000001" customHeight="1">
      <c r="A40" s="127"/>
      <c r="B40" s="238">
        <f t="shared" si="21"/>
        <v>37190</v>
      </c>
      <c r="C40" s="376">
        <v>36284</v>
      </c>
      <c r="D40" s="412">
        <v>7950</v>
      </c>
      <c r="E40" s="789">
        <f>615-6627+7000</f>
        <v>988</v>
      </c>
      <c r="F40" s="377">
        <v>-3156</v>
      </c>
      <c r="G40" s="376">
        <v>9639</v>
      </c>
      <c r="H40" s="412">
        <v>14523</v>
      </c>
      <c r="I40" s="788">
        <v>-11234</v>
      </c>
      <c r="J40" s="377">
        <v>0</v>
      </c>
      <c r="K40" s="377">
        <f t="shared" si="7"/>
        <v>-32.32</v>
      </c>
      <c r="L40" s="376">
        <v>15930</v>
      </c>
      <c r="M40" s="377">
        <v>21906</v>
      </c>
      <c r="N40" s="141">
        <v>-295</v>
      </c>
      <c r="O40" s="141">
        <v>-1906</v>
      </c>
      <c r="P40" s="141">
        <f t="shared" si="8"/>
        <v>-356.35</v>
      </c>
      <c r="Q40" s="151">
        <v>0</v>
      </c>
      <c r="R40" s="223">
        <f t="shared" si="9"/>
        <v>90240.329999999987</v>
      </c>
      <c r="S40" s="385">
        <v>90578</v>
      </c>
      <c r="T40" s="151">
        <v>0</v>
      </c>
      <c r="U40" s="141">
        <v>3423</v>
      </c>
      <c r="V40" s="141">
        <v>212</v>
      </c>
      <c r="W40" s="141">
        <v>319</v>
      </c>
      <c r="X40" s="151">
        <f t="shared" si="10"/>
        <v>94532</v>
      </c>
      <c r="Y40" s="235">
        <f t="shared" si="11"/>
        <v>-337.67000000001281</v>
      </c>
      <c r="Z40" s="198"/>
      <c r="AA40" s="230">
        <f t="shared" si="32"/>
        <v>67767.329999999987</v>
      </c>
      <c r="AB40" s="232">
        <f t="shared" si="33"/>
        <v>90578</v>
      </c>
      <c r="AC40" s="202">
        <f t="shared" si="34"/>
        <v>68105</v>
      </c>
      <c r="AD40" s="132">
        <f t="shared" si="35"/>
        <v>22473</v>
      </c>
      <c r="AE40" s="132"/>
      <c r="AF40" s="206">
        <f t="shared" si="36"/>
        <v>36284</v>
      </c>
      <c r="AG40" s="208">
        <f t="shared" si="37"/>
        <v>988</v>
      </c>
      <c r="AH40" s="194"/>
      <c r="AI40" s="206">
        <f t="shared" si="38"/>
        <v>9639</v>
      </c>
      <c r="AJ40" s="208">
        <f t="shared" si="39"/>
        <v>-11234</v>
      </c>
      <c r="AK40" s="194"/>
      <c r="AL40" s="209">
        <f t="shared" si="16"/>
        <v>37479.65</v>
      </c>
      <c r="AM40" s="370">
        <f t="shared" si="17"/>
        <v>-2201</v>
      </c>
      <c r="AN40" s="132"/>
      <c r="AO40" s="375">
        <f t="shared" si="4"/>
        <v>83402.649999999994</v>
      </c>
      <c r="AP40" s="208">
        <f t="shared" si="18"/>
        <v>-15603</v>
      </c>
      <c r="AQ40" s="213">
        <f t="shared" si="40"/>
        <v>67799.649999999994</v>
      </c>
      <c r="AR40" s="301">
        <f t="shared" si="42"/>
        <v>0</v>
      </c>
      <c r="AS40" s="291"/>
      <c r="AU40" s="198">
        <f t="shared" si="5"/>
        <v>-305.35000000000582</v>
      </c>
      <c r="AV40" s="179">
        <f t="shared" si="41"/>
        <v>-3156</v>
      </c>
      <c r="AX40" s="378">
        <f t="shared" si="20"/>
        <v>60782.350000000006</v>
      </c>
    </row>
    <row r="41" spans="1:50" ht="17.100000000000001" customHeight="1">
      <c r="A41" s="127"/>
      <c r="B41" s="238">
        <f t="shared" si="21"/>
        <v>37191</v>
      </c>
      <c r="C41" s="376">
        <v>67279</v>
      </c>
      <c r="D41" s="412">
        <v>16454</v>
      </c>
      <c r="E41" s="789">
        <f>-13561+8541-16000</f>
        <v>-21020</v>
      </c>
      <c r="F41" s="377">
        <v>-3156</v>
      </c>
      <c r="G41" s="376">
        <v>9639</v>
      </c>
      <c r="H41" s="412">
        <v>24037</v>
      </c>
      <c r="I41" s="788">
        <v>4368</v>
      </c>
      <c r="J41" s="377">
        <v>0</v>
      </c>
      <c r="K41" s="377">
        <f t="shared" si="7"/>
        <v>-95.11</v>
      </c>
      <c r="L41" s="376">
        <v>15930</v>
      </c>
      <c r="M41" s="377">
        <v>21906</v>
      </c>
      <c r="N41" s="141">
        <v>-295</v>
      </c>
      <c r="O41" s="141">
        <v>-1906</v>
      </c>
      <c r="P41" s="141">
        <f t="shared" si="8"/>
        <v>-356.35</v>
      </c>
      <c r="Q41" s="151">
        <v>0</v>
      </c>
      <c r="R41" s="223">
        <f t="shared" si="9"/>
        <v>132784.54</v>
      </c>
      <c r="S41" s="385">
        <v>132354</v>
      </c>
      <c r="T41" s="151">
        <v>882</v>
      </c>
      <c r="U41" s="141">
        <v>34491</v>
      </c>
      <c r="V41" s="141">
        <v>662</v>
      </c>
      <c r="W41" s="141">
        <v>506</v>
      </c>
      <c r="X41" s="151">
        <f t="shared" si="10"/>
        <v>168895</v>
      </c>
      <c r="Y41" s="235">
        <f t="shared" si="11"/>
        <v>430.54000000000815</v>
      </c>
      <c r="Z41" s="198"/>
      <c r="AA41" s="230">
        <f t="shared" si="32"/>
        <v>92293.540000000008</v>
      </c>
      <c r="AB41" s="232">
        <f t="shared" si="33"/>
        <v>132354</v>
      </c>
      <c r="AC41" s="202">
        <f t="shared" si="34"/>
        <v>91863</v>
      </c>
      <c r="AD41" s="132">
        <f t="shared" si="35"/>
        <v>40491</v>
      </c>
      <c r="AE41" s="132"/>
      <c r="AF41" s="206">
        <f t="shared" si="36"/>
        <v>67279</v>
      </c>
      <c r="AG41" s="208">
        <f t="shared" si="37"/>
        <v>-21020</v>
      </c>
      <c r="AH41" s="194"/>
      <c r="AI41" s="206">
        <f t="shared" si="38"/>
        <v>9639</v>
      </c>
      <c r="AJ41" s="208">
        <f t="shared" si="39"/>
        <v>4368</v>
      </c>
      <c r="AK41" s="194"/>
      <c r="AL41" s="209">
        <f t="shared" si="16"/>
        <v>37479.65</v>
      </c>
      <c r="AM41" s="370">
        <f t="shared" si="17"/>
        <v>-2201</v>
      </c>
      <c r="AN41" s="132"/>
      <c r="AO41" s="375">
        <f t="shared" si="4"/>
        <v>114397.65</v>
      </c>
      <c r="AP41" s="208">
        <f t="shared" si="18"/>
        <v>-22009</v>
      </c>
      <c r="AQ41" s="213">
        <f t="shared" si="40"/>
        <v>92388.65</v>
      </c>
      <c r="AR41" s="301">
        <f t="shared" si="42"/>
        <v>0</v>
      </c>
      <c r="AS41" s="291"/>
      <c r="AU41" s="198">
        <f t="shared" si="5"/>
        <v>525.64999999999418</v>
      </c>
      <c r="AV41" s="179">
        <f t="shared" si="41"/>
        <v>-3156</v>
      </c>
      <c r="AX41" s="378">
        <f t="shared" si="20"/>
        <v>36193.350000000006</v>
      </c>
    </row>
    <row r="42" spans="1:50" ht="17.100000000000001" customHeight="1">
      <c r="A42" s="127"/>
      <c r="B42" s="238">
        <f t="shared" si="21"/>
        <v>37192</v>
      </c>
      <c r="C42" s="376">
        <v>60778</v>
      </c>
      <c r="D42" s="412">
        <v>18458</v>
      </c>
      <c r="E42" s="789">
        <f>1319-13019</f>
        <v>-11700</v>
      </c>
      <c r="F42" s="377">
        <v>-3156</v>
      </c>
      <c r="G42" s="376">
        <v>9639</v>
      </c>
      <c r="H42" s="412">
        <v>31037</v>
      </c>
      <c r="I42" s="788">
        <v>6670</v>
      </c>
      <c r="J42" s="377">
        <v>0</v>
      </c>
      <c r="K42" s="377">
        <f t="shared" si="7"/>
        <v>-118.36500000000001</v>
      </c>
      <c r="L42" s="376">
        <v>15930</v>
      </c>
      <c r="M42" s="377">
        <v>21906</v>
      </c>
      <c r="N42" s="141">
        <v>-295</v>
      </c>
      <c r="O42" s="141">
        <v>-1906</v>
      </c>
      <c r="P42" s="141">
        <f t="shared" si="8"/>
        <v>-356.35</v>
      </c>
      <c r="Q42" s="151">
        <v>0</v>
      </c>
      <c r="R42" s="223">
        <f t="shared" si="9"/>
        <v>146886.285</v>
      </c>
      <c r="S42" s="385">
        <v>146088</v>
      </c>
      <c r="T42" s="151">
        <v>32362</v>
      </c>
      <c r="U42" s="141">
        <v>38557</v>
      </c>
      <c r="V42" s="141">
        <v>2622</v>
      </c>
      <c r="W42" s="141">
        <v>1007</v>
      </c>
      <c r="X42" s="151">
        <f t="shared" si="10"/>
        <v>220636</v>
      </c>
      <c r="Y42" s="235">
        <f t="shared" si="11"/>
        <v>798.28500000000349</v>
      </c>
      <c r="Z42" s="198"/>
      <c r="AA42" s="230">
        <f t="shared" si="32"/>
        <v>97391.285000000003</v>
      </c>
      <c r="AB42" s="232">
        <f t="shared" si="33"/>
        <v>146088</v>
      </c>
      <c r="AC42" s="202">
        <f t="shared" si="34"/>
        <v>96593</v>
      </c>
      <c r="AD42" s="132">
        <f t="shared" si="35"/>
        <v>49495</v>
      </c>
      <c r="AE42" s="132"/>
      <c r="AF42" s="206">
        <f t="shared" si="36"/>
        <v>60778</v>
      </c>
      <c r="AG42" s="208">
        <f t="shared" si="37"/>
        <v>-11700</v>
      </c>
      <c r="AH42" s="194"/>
      <c r="AI42" s="206">
        <f t="shared" si="38"/>
        <v>9639</v>
      </c>
      <c r="AJ42" s="208">
        <f t="shared" si="39"/>
        <v>6670</v>
      </c>
      <c r="AK42" s="194"/>
      <c r="AL42" s="209">
        <f t="shared" si="16"/>
        <v>37479.65</v>
      </c>
      <c r="AM42" s="370">
        <f t="shared" si="17"/>
        <v>-2201</v>
      </c>
      <c r="AN42" s="132"/>
      <c r="AO42" s="375">
        <f t="shared" si="4"/>
        <v>107896.65</v>
      </c>
      <c r="AP42" s="208">
        <f t="shared" si="18"/>
        <v>-10387</v>
      </c>
      <c r="AQ42" s="213">
        <f t="shared" si="40"/>
        <v>97509.65</v>
      </c>
      <c r="AR42" s="301">
        <f t="shared" si="42"/>
        <v>0</v>
      </c>
      <c r="AS42" s="291"/>
      <c r="AU42" s="198">
        <f t="shared" si="5"/>
        <v>916.64999999999418</v>
      </c>
      <c r="AV42" s="179">
        <f t="shared" si="41"/>
        <v>-3156</v>
      </c>
      <c r="AX42" s="378">
        <f t="shared" si="20"/>
        <v>31072.350000000006</v>
      </c>
    </row>
    <row r="43" spans="1:50" ht="17.100000000000001" customHeight="1">
      <c r="A43" s="127"/>
      <c r="B43" s="238">
        <f>B42+1</f>
        <v>37193</v>
      </c>
      <c r="C43" s="376">
        <v>49063</v>
      </c>
      <c r="D43" s="412">
        <v>7950</v>
      </c>
      <c r="E43" s="789">
        <f>3615</f>
        <v>3615</v>
      </c>
      <c r="F43" s="377">
        <v>-3156</v>
      </c>
      <c r="G43" s="376">
        <v>9639</v>
      </c>
      <c r="H43" s="412">
        <v>31037</v>
      </c>
      <c r="I43" s="788">
        <v>-3407</v>
      </c>
      <c r="J43" s="377">
        <v>0</v>
      </c>
      <c r="K43" s="377">
        <f t="shared" si="7"/>
        <v>-93.172499999999999</v>
      </c>
      <c r="L43" s="376">
        <v>15930</v>
      </c>
      <c r="M43" s="377">
        <v>21906</v>
      </c>
      <c r="N43" s="141">
        <v>-295</v>
      </c>
      <c r="O43" s="141">
        <v>-1906</v>
      </c>
      <c r="P43" s="141">
        <f t="shared" si="8"/>
        <v>-356.35</v>
      </c>
      <c r="Q43" s="151">
        <v>0</v>
      </c>
      <c r="R43" s="223">
        <f t="shared" si="9"/>
        <v>129926.47750000001</v>
      </c>
      <c r="S43" s="385">
        <v>130011</v>
      </c>
      <c r="T43" s="151">
        <v>21307</v>
      </c>
      <c r="U43" s="141">
        <v>41121</v>
      </c>
      <c r="V43" s="141">
        <v>1414</v>
      </c>
      <c r="W43" s="141">
        <v>537</v>
      </c>
      <c r="X43" s="151">
        <f t="shared" si="10"/>
        <v>194390</v>
      </c>
      <c r="Y43" s="235">
        <f t="shared" si="11"/>
        <v>-84.522499999991851</v>
      </c>
      <c r="Z43" s="198"/>
      <c r="AA43" s="230">
        <f>R43-D43-H43</f>
        <v>90939.477500000008</v>
      </c>
      <c r="AB43" s="232">
        <f>S43</f>
        <v>130011</v>
      </c>
      <c r="AC43" s="202">
        <f>S43-D43-H43</f>
        <v>91024</v>
      </c>
      <c r="AD43" s="132">
        <f>D43+H43</f>
        <v>38987</v>
      </c>
      <c r="AE43" s="132"/>
      <c r="AF43" s="206">
        <f>C43</f>
        <v>49063</v>
      </c>
      <c r="AG43" s="208">
        <f>E43</f>
        <v>3615</v>
      </c>
      <c r="AH43" s="194"/>
      <c r="AI43" s="206">
        <f>G43</f>
        <v>9639</v>
      </c>
      <c r="AJ43" s="208">
        <f>I43</f>
        <v>-3407</v>
      </c>
      <c r="AK43" s="194"/>
      <c r="AL43" s="209">
        <f>L43+M43+P43</f>
        <v>37479.65</v>
      </c>
      <c r="AM43" s="370">
        <f>O43+N43</f>
        <v>-2201</v>
      </c>
      <c r="AN43" s="132"/>
      <c r="AO43" s="375">
        <f>AF43+AI43+AL43</f>
        <v>96181.65</v>
      </c>
      <c r="AP43" s="208">
        <f t="shared" si="18"/>
        <v>-5149</v>
      </c>
      <c r="AQ43" s="213">
        <f>AO43+AP43</f>
        <v>91032.65</v>
      </c>
      <c r="AR43" s="301">
        <f t="shared" si="42"/>
        <v>0</v>
      </c>
      <c r="AS43" s="291"/>
      <c r="AU43" s="198">
        <f>AQ43-AC43</f>
        <v>8.6499999999941792</v>
      </c>
      <c r="AV43" s="179">
        <f>F43+Q43</f>
        <v>-3156</v>
      </c>
      <c r="AX43" s="378">
        <f>$AQ$8-AQ43</f>
        <v>37549.350000000006</v>
      </c>
    </row>
    <row r="44" spans="1:50" ht="17.100000000000001" customHeight="1">
      <c r="A44" s="127"/>
      <c r="B44" s="238">
        <f>B43+1</f>
        <v>37194</v>
      </c>
      <c r="C44" s="376">
        <v>60794</v>
      </c>
      <c r="D44" s="412">
        <v>18474</v>
      </c>
      <c r="E44" s="788">
        <v>-25967</v>
      </c>
      <c r="F44" s="377">
        <v>-3156</v>
      </c>
      <c r="G44" s="376">
        <v>14312</v>
      </c>
      <c r="H44" s="412">
        <v>17578</v>
      </c>
      <c r="I44" s="788">
        <v>-13532</v>
      </c>
      <c r="J44" s="377">
        <v>-3200</v>
      </c>
      <c r="K44" s="377">
        <f t="shared" si="7"/>
        <v>-45.895000000000003</v>
      </c>
      <c r="L44" s="376">
        <v>15930</v>
      </c>
      <c r="M44" s="377">
        <v>21906</v>
      </c>
      <c r="N44" s="141">
        <v>-295</v>
      </c>
      <c r="O44" s="141">
        <v>-1906</v>
      </c>
      <c r="P44" s="141">
        <f t="shared" si="8"/>
        <v>-356.35</v>
      </c>
      <c r="Q44" s="151">
        <v>0</v>
      </c>
      <c r="R44" s="223">
        <f t="shared" si="9"/>
        <v>100535.755</v>
      </c>
      <c r="S44" s="385">
        <v>98603</v>
      </c>
      <c r="T44" s="151">
        <v>8</v>
      </c>
      <c r="U44" s="141">
        <v>37950</v>
      </c>
      <c r="V44" s="141">
        <v>175</v>
      </c>
      <c r="W44" s="141">
        <v>206</v>
      </c>
      <c r="X44" s="151">
        <f t="shared" si="10"/>
        <v>136942</v>
      </c>
      <c r="Y44" s="235">
        <f t="shared" si="11"/>
        <v>1932.7550000000047</v>
      </c>
      <c r="Z44" s="198"/>
      <c r="AA44" s="230">
        <f>R44-D44-H44</f>
        <v>64483.755000000005</v>
      </c>
      <c r="AB44" s="232">
        <f>S44</f>
        <v>98603</v>
      </c>
      <c r="AC44" s="202">
        <f>S44-D44-H44</f>
        <v>62551</v>
      </c>
      <c r="AD44" s="132">
        <f>D44+H44</f>
        <v>36052</v>
      </c>
      <c r="AE44" s="132"/>
      <c r="AF44" s="206">
        <f>C44</f>
        <v>60794</v>
      </c>
      <c r="AG44" s="208">
        <f>E44</f>
        <v>-25967</v>
      </c>
      <c r="AH44" s="194"/>
      <c r="AI44" s="206">
        <f>G44</f>
        <v>14312</v>
      </c>
      <c r="AJ44" s="208">
        <f>I44</f>
        <v>-13532</v>
      </c>
      <c r="AK44" s="194"/>
      <c r="AL44" s="209">
        <f>L44+M44+P44</f>
        <v>37479.65</v>
      </c>
      <c r="AM44" s="370">
        <f>O44+N44</f>
        <v>-2201</v>
      </c>
      <c r="AN44" s="132"/>
      <c r="AO44" s="375">
        <f>AF44+AI44+AL44</f>
        <v>112585.65</v>
      </c>
      <c r="AP44" s="208">
        <f t="shared" si="18"/>
        <v>-48056</v>
      </c>
      <c r="AQ44" s="213">
        <f>AO44+AP44</f>
        <v>64529.649999999994</v>
      </c>
      <c r="AR44" s="301">
        <f t="shared" si="42"/>
        <v>0</v>
      </c>
      <c r="AS44" s="291"/>
      <c r="AU44" s="198">
        <f>AQ44-AC44</f>
        <v>1978.6499999999942</v>
      </c>
      <c r="AV44" s="179">
        <f>F44+Q44</f>
        <v>-3156</v>
      </c>
      <c r="AX44" s="378">
        <f>$AQ$8-AQ44</f>
        <v>64052.350000000006</v>
      </c>
    </row>
    <row r="45" spans="1:50" ht="17.100000000000001" customHeight="1">
      <c r="A45" s="127"/>
      <c r="B45" s="238">
        <f>B44+1</f>
        <v>37195</v>
      </c>
      <c r="C45" s="376">
        <f>47114+3156</f>
        <v>50270</v>
      </c>
      <c r="D45" s="412">
        <v>50272</v>
      </c>
      <c r="E45" s="788">
        <v>-56756</v>
      </c>
      <c r="F45" s="377">
        <v>-3156</v>
      </c>
      <c r="G45" s="376">
        <v>11252</v>
      </c>
      <c r="H45" s="412">
        <v>14310</v>
      </c>
      <c r="I45" s="788">
        <v>-12983</v>
      </c>
      <c r="J45" s="377">
        <v>0</v>
      </c>
      <c r="K45" s="377">
        <f>(-G45-H45-I45)*0.0025</f>
        <v>-31.447500000000002</v>
      </c>
      <c r="L45" s="376">
        <v>15930</v>
      </c>
      <c r="M45" s="377">
        <v>21906</v>
      </c>
      <c r="N45" s="141">
        <v>-295</v>
      </c>
      <c r="O45" s="141">
        <v>-1906</v>
      </c>
      <c r="P45" s="141">
        <f>(-L45-M45-N45-O45)*0.01</f>
        <v>-356.35</v>
      </c>
      <c r="Q45" s="151">
        <v>0</v>
      </c>
      <c r="R45" s="223">
        <f>SUM(C45,D45,E45,F45,G45,H45,I45,J45,K45,L45,M45,N45,O45,P45,Q45)</f>
        <v>88456.202499999985</v>
      </c>
      <c r="S45" s="385">
        <v>89557</v>
      </c>
      <c r="T45" s="151">
        <v>0</v>
      </c>
      <c r="U45" s="141">
        <v>38530</v>
      </c>
      <c r="V45" s="141">
        <v>0</v>
      </c>
      <c r="W45" s="141">
        <v>864</v>
      </c>
      <c r="X45" s="151">
        <f>(SUM(T45:W45))+S45</f>
        <v>128951</v>
      </c>
      <c r="Y45" s="235">
        <f>R45-S45</f>
        <v>-1100.7975000000151</v>
      </c>
      <c r="Z45" s="198"/>
      <c r="AA45" s="230">
        <f>R45-D45-H45</f>
        <v>23874.202499999985</v>
      </c>
      <c r="AB45" s="232">
        <f>S45</f>
        <v>89557</v>
      </c>
      <c r="AC45" s="202">
        <f>S45-D45-H45</f>
        <v>24975</v>
      </c>
      <c r="AD45" s="132">
        <f>D45+H45</f>
        <v>64582</v>
      </c>
      <c r="AE45" s="132"/>
      <c r="AF45" s="206">
        <f>C45</f>
        <v>50270</v>
      </c>
      <c r="AG45" s="208">
        <f>E45</f>
        <v>-56756</v>
      </c>
      <c r="AH45" s="194"/>
      <c r="AI45" s="206">
        <f>G45</f>
        <v>11252</v>
      </c>
      <c r="AJ45" s="208">
        <f>I45</f>
        <v>-12983</v>
      </c>
      <c r="AK45" s="194"/>
      <c r="AL45" s="209">
        <f>L45+M45+P45</f>
        <v>37479.65</v>
      </c>
      <c r="AM45" s="370">
        <f>O45+N45</f>
        <v>-2201</v>
      </c>
      <c r="AN45" s="132"/>
      <c r="AO45" s="375">
        <f>AF45+AI45+AL45</f>
        <v>99001.65</v>
      </c>
      <c r="AP45" s="208">
        <f>AG45+AJ45+AM45+F45+J45</f>
        <v>-75096</v>
      </c>
      <c r="AQ45" s="213">
        <f>AO45+AP45</f>
        <v>23905.649999999994</v>
      </c>
      <c r="AR45" s="301">
        <f t="shared" si="42"/>
        <v>0</v>
      </c>
      <c r="AS45" s="291"/>
      <c r="AU45" s="198">
        <f>AQ45-AC45</f>
        <v>-1069.3500000000058</v>
      </c>
      <c r="AV45" s="179">
        <f>F45+Q45</f>
        <v>-3156</v>
      </c>
      <c r="AX45" s="378">
        <f>$AQ$8-AQ45</f>
        <v>104676.35</v>
      </c>
    </row>
    <row r="46" spans="1:50" ht="15" customHeight="1">
      <c r="A46" s="127"/>
      <c r="B46" s="151"/>
      <c r="C46" s="151" t="s">
        <v>146</v>
      </c>
      <c r="D46" s="142"/>
      <c r="E46" s="707" t="s">
        <v>350</v>
      </c>
      <c r="F46" s="142"/>
      <c r="G46" s="154"/>
      <c r="H46" s="141" t="s">
        <v>146</v>
      </c>
      <c r="I46" s="141" t="s">
        <v>146</v>
      </c>
      <c r="J46" s="142"/>
      <c r="K46" s="142"/>
      <c r="L46" s="154"/>
      <c r="M46" s="142"/>
      <c r="N46" s="142"/>
      <c r="O46" s="142"/>
      <c r="P46" s="142"/>
      <c r="Q46" s="154"/>
      <c r="R46" s="226"/>
      <c r="S46" s="388"/>
      <c r="T46" s="154"/>
      <c r="U46" s="142"/>
      <c r="V46" s="142"/>
      <c r="W46" s="141" t="s">
        <v>146</v>
      </c>
      <c r="X46" s="154"/>
      <c r="Y46" s="235"/>
      <c r="Z46" s="198"/>
      <c r="AA46" s="127"/>
      <c r="AB46" s="195"/>
      <c r="AC46" s="195"/>
      <c r="AD46" s="195"/>
      <c r="AE46" s="195"/>
      <c r="AR46" s="354"/>
      <c r="AU46" s="198"/>
      <c r="AV46" s="179"/>
    </row>
    <row r="47" spans="1:50" ht="12.95" customHeight="1">
      <c r="A47" s="127"/>
      <c r="B47" s="147"/>
      <c r="C47" s="148"/>
      <c r="D47" s="149"/>
      <c r="E47" s="149"/>
      <c r="F47" s="149"/>
      <c r="G47" s="148"/>
      <c r="H47" s="149"/>
      <c r="I47" s="149"/>
      <c r="J47" s="149"/>
      <c r="K47" s="149"/>
      <c r="L47" s="148"/>
      <c r="M47" s="149"/>
      <c r="N47" s="149"/>
      <c r="O47" s="149"/>
      <c r="P47" s="149"/>
      <c r="Q47" s="148"/>
      <c r="R47" s="225"/>
      <c r="S47" s="387"/>
      <c r="T47" s="148"/>
      <c r="U47" s="149"/>
      <c r="V47" s="149"/>
      <c r="W47" s="149"/>
      <c r="X47" s="148"/>
      <c r="Y47" s="235"/>
      <c r="Z47" s="198"/>
      <c r="AA47" s="127"/>
      <c r="AB47" s="195"/>
      <c r="AC47" s="195"/>
      <c r="AD47" s="195">
        <f>SUM(AD15:AD46)</f>
        <v>1024648</v>
      </c>
      <c r="AE47" s="195"/>
      <c r="AP47" s="195">
        <f>SUM(AP15:AP46)</f>
        <v>-857800</v>
      </c>
      <c r="AR47" s="293">
        <f>SUM(AR15:AR45)</f>
        <v>0</v>
      </c>
      <c r="AU47" s="198"/>
      <c r="AV47" s="179"/>
    </row>
    <row r="48" spans="1:50" ht="12.95" customHeight="1">
      <c r="A48" s="127"/>
      <c r="B48" s="151" t="s">
        <v>114</v>
      </c>
      <c r="C48" s="151">
        <f t="shared" ref="C48:M48" si="43">SUM(C15:C47)</f>
        <v>823728</v>
      </c>
      <c r="D48" s="255">
        <f t="shared" si="43"/>
        <v>338923</v>
      </c>
      <c r="E48" s="141">
        <f t="shared" si="43"/>
        <v>-301423</v>
      </c>
      <c r="F48" s="514">
        <f t="shared" si="43"/>
        <v>-97836</v>
      </c>
      <c r="G48" s="151">
        <f t="shared" si="43"/>
        <v>282950</v>
      </c>
      <c r="H48" s="255">
        <f t="shared" si="43"/>
        <v>685725</v>
      </c>
      <c r="I48" s="141">
        <f t="shared" si="43"/>
        <v>-387110</v>
      </c>
      <c r="J48" s="514">
        <f t="shared" si="43"/>
        <v>-3200</v>
      </c>
      <c r="K48" s="141">
        <f t="shared" si="43"/>
        <v>-1453.9124999999997</v>
      </c>
      <c r="L48" s="256">
        <f t="shared" si="43"/>
        <v>493830</v>
      </c>
      <c r="M48" s="141">
        <f t="shared" si="43"/>
        <v>592586</v>
      </c>
      <c r="N48" s="141">
        <f>SUM(N15:N47)</f>
        <v>-9145</v>
      </c>
      <c r="O48" s="141">
        <f>SUM(O15:O47)</f>
        <v>-59086</v>
      </c>
      <c r="P48" s="141">
        <f t="shared" ref="P48:X48" si="44">SUM(P15:P47)</f>
        <v>-10181.850000000006</v>
      </c>
      <c r="Q48" s="515">
        <f t="shared" si="44"/>
        <v>0</v>
      </c>
      <c r="R48" s="223">
        <f t="shared" si="44"/>
        <v>2348306.2374999998</v>
      </c>
      <c r="S48" s="385">
        <f t="shared" si="44"/>
        <v>2371286</v>
      </c>
      <c r="T48" s="151">
        <f t="shared" si="44"/>
        <v>1330987</v>
      </c>
      <c r="U48" s="141">
        <f t="shared" si="44"/>
        <v>224370</v>
      </c>
      <c r="V48" s="141">
        <f t="shared" si="44"/>
        <v>5404</v>
      </c>
      <c r="W48" s="141">
        <f t="shared" si="44"/>
        <v>6345</v>
      </c>
      <c r="X48" s="151">
        <f t="shared" si="44"/>
        <v>3938392</v>
      </c>
      <c r="Y48" s="235">
        <f>R48-S48</f>
        <v>-22979.762500000186</v>
      </c>
      <c r="Z48" s="198"/>
      <c r="AA48" s="127"/>
      <c r="AB48" s="195"/>
      <c r="AC48" s="195"/>
      <c r="AD48" s="195"/>
      <c r="AE48" s="195"/>
      <c r="AU48" s="198"/>
      <c r="AV48" s="179"/>
    </row>
    <row r="49" spans="1:48" ht="12.95" customHeight="1">
      <c r="A49" s="127"/>
      <c r="B49" s="151"/>
      <c r="C49" s="154"/>
      <c r="D49" s="142"/>
      <c r="E49" s="142"/>
      <c r="F49" s="142"/>
      <c r="G49" s="154"/>
      <c r="H49" s="142"/>
      <c r="I49" s="142"/>
      <c r="J49" s="142"/>
      <c r="K49" s="142"/>
      <c r="L49" s="154"/>
      <c r="M49" s="142"/>
      <c r="N49" s="142"/>
      <c r="O49" s="142"/>
      <c r="P49" s="142"/>
      <c r="Q49" s="154"/>
      <c r="R49" s="226"/>
      <c r="S49" s="388"/>
      <c r="T49" s="154"/>
      <c r="U49" s="142"/>
      <c r="V49" s="142"/>
      <c r="W49" s="142"/>
      <c r="X49" s="154"/>
      <c r="Y49" s="235"/>
      <c r="Z49" s="198"/>
      <c r="AA49" s="127"/>
      <c r="AB49" s="195"/>
      <c r="AC49" s="195"/>
      <c r="AD49" s="195"/>
      <c r="AE49" s="195"/>
      <c r="AU49" s="198"/>
      <c r="AV49" s="179"/>
    </row>
    <row r="50" spans="1:48" ht="15.75" thickBot="1">
      <c r="A50" s="127"/>
      <c r="B50" s="147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620"/>
      <c r="S50" s="149"/>
      <c r="T50" s="149"/>
      <c r="U50" s="149"/>
      <c r="V50" s="149"/>
      <c r="W50" s="149"/>
      <c r="X50" s="149"/>
      <c r="Y50" s="198"/>
      <c r="Z50" s="198"/>
      <c r="AA50" s="127"/>
      <c r="AB50" s="195"/>
      <c r="AC50" s="195"/>
      <c r="AD50" s="195"/>
      <c r="AE50" s="195"/>
      <c r="AU50" s="198"/>
      <c r="AV50" s="179"/>
    </row>
    <row r="51" spans="1:48" s="179" customFormat="1" ht="15.75" thickBot="1">
      <c r="A51" s="174"/>
      <c r="B51" s="175"/>
      <c r="C51" s="176"/>
      <c r="D51" s="259"/>
      <c r="E51" s="260"/>
      <c r="F51" s="261" t="s">
        <v>160</v>
      </c>
      <c r="G51" s="262">
        <f>SUM(C48,G48,M48)</f>
        <v>1699264</v>
      </c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621"/>
      <c r="S51" s="176"/>
      <c r="T51" s="176"/>
      <c r="U51" s="176"/>
      <c r="V51" s="176"/>
      <c r="W51" s="176"/>
      <c r="X51" s="176"/>
      <c r="Y51" s="174"/>
      <c r="Z51" s="174"/>
      <c r="AA51" s="178"/>
      <c r="AR51" s="292"/>
      <c r="AS51" s="292"/>
      <c r="AU51" s="198"/>
    </row>
    <row r="52" spans="1:48" s="179" customFormat="1" ht="15.75" thickBot="1">
      <c r="A52" s="174"/>
      <c r="B52" s="175"/>
      <c r="C52" s="176"/>
      <c r="D52" s="257"/>
      <c r="E52" s="176"/>
      <c r="F52" s="176"/>
      <c r="G52" s="258"/>
      <c r="H52" s="180"/>
      <c r="I52" s="180"/>
      <c r="J52" s="180"/>
      <c r="K52" s="181"/>
      <c r="L52" s="181"/>
      <c r="M52" s="176"/>
      <c r="N52" s="176"/>
      <c r="O52" s="176"/>
      <c r="P52" s="181"/>
      <c r="Q52" s="180"/>
      <c r="R52" s="622"/>
      <c r="S52" s="180"/>
      <c r="T52" s="175"/>
      <c r="U52" s="180"/>
      <c r="V52" s="176"/>
      <c r="W52" s="176"/>
      <c r="X52" s="176"/>
      <c r="Y52" s="174"/>
      <c r="Z52" s="174"/>
      <c r="AA52" s="178"/>
      <c r="AR52" s="292"/>
      <c r="AS52" s="292"/>
      <c r="AU52" s="198"/>
    </row>
    <row r="53" spans="1:48" s="179" customFormat="1" ht="15.75" thickBot="1">
      <c r="A53" s="174"/>
      <c r="B53" s="175"/>
      <c r="C53" s="176"/>
      <c r="D53" s="263"/>
      <c r="E53" s="264"/>
      <c r="F53" s="265" t="s">
        <v>161</v>
      </c>
      <c r="G53" s="266">
        <f>SUM(E48,F48,I48,J48,N48,O48)</f>
        <v>-857800</v>
      </c>
      <c r="H53" s="176"/>
      <c r="I53" s="176"/>
      <c r="J53" s="176"/>
      <c r="K53" s="175"/>
      <c r="L53" s="176"/>
      <c r="M53" s="176"/>
      <c r="N53" s="176"/>
      <c r="O53" s="176"/>
      <c r="P53" s="176"/>
      <c r="Q53" s="176"/>
      <c r="R53" s="621"/>
      <c r="S53" s="176"/>
      <c r="T53" s="175"/>
      <c r="U53" s="175"/>
      <c r="V53" s="176"/>
      <c r="W53" s="176"/>
      <c r="X53" s="176"/>
      <c r="Y53" s="174"/>
      <c r="Z53" s="174"/>
      <c r="AA53" s="178"/>
      <c r="AR53" s="292"/>
      <c r="AS53" s="292"/>
    </row>
    <row r="54" spans="1:48" s="179" customFormat="1" ht="15.75" thickBot="1">
      <c r="A54" s="174"/>
      <c r="B54" s="175"/>
      <c r="C54" s="176"/>
      <c r="D54" s="257"/>
      <c r="E54" s="176"/>
      <c r="F54" s="176"/>
      <c r="G54" s="258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621"/>
      <c r="S54" s="176"/>
      <c r="T54" s="176"/>
      <c r="U54" s="176"/>
      <c r="V54" s="176"/>
      <c r="W54" s="176"/>
      <c r="X54" s="176"/>
      <c r="Y54" s="174"/>
      <c r="Z54" s="174"/>
      <c r="AA54" s="178"/>
      <c r="AR54" s="292"/>
      <c r="AS54" s="292"/>
    </row>
    <row r="55" spans="1:48" s="179" customFormat="1" ht="15.75" thickBot="1">
      <c r="A55" s="174"/>
      <c r="B55" s="175"/>
      <c r="C55" s="176"/>
      <c r="D55" s="267"/>
      <c r="E55" s="268"/>
      <c r="F55" s="269" t="s">
        <v>162</v>
      </c>
      <c r="G55" s="270">
        <f>SUM(D48,H48)</f>
        <v>1024648</v>
      </c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621"/>
      <c r="S55" s="176"/>
      <c r="T55" s="176"/>
      <c r="U55" s="176"/>
      <c r="V55" s="176"/>
      <c r="W55" s="176"/>
      <c r="X55" s="176"/>
      <c r="Y55" s="174"/>
      <c r="Z55" s="174"/>
      <c r="AA55" s="178"/>
      <c r="AR55" s="292"/>
      <c r="AS55" s="292"/>
    </row>
    <row r="56" spans="1:48" s="179" customFormat="1" ht="15.75" thickBot="1">
      <c r="A56" s="174"/>
      <c r="B56" s="175"/>
      <c r="C56" s="176"/>
      <c r="D56" s="257"/>
      <c r="E56" s="176"/>
      <c r="F56" s="176"/>
      <c r="G56" s="258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621"/>
      <c r="S56" s="176"/>
      <c r="T56" s="176"/>
      <c r="U56" s="176"/>
      <c r="V56" s="176"/>
      <c r="W56" s="176"/>
      <c r="X56" s="176"/>
      <c r="Y56" s="174"/>
      <c r="Z56" s="174"/>
      <c r="AA56" s="178"/>
      <c r="AR56" s="292"/>
      <c r="AS56" s="292"/>
    </row>
    <row r="57" spans="1:48" s="179" customFormat="1" ht="15.75" thickBot="1">
      <c r="A57" s="174"/>
      <c r="B57" s="177"/>
      <c r="D57" s="271"/>
      <c r="E57" s="272"/>
      <c r="F57" s="273" t="s">
        <v>163</v>
      </c>
      <c r="G57" s="274">
        <f>SUM(L48)</f>
        <v>493830</v>
      </c>
      <c r="R57" s="623"/>
      <c r="V57" s="174"/>
      <c r="W57" s="174"/>
      <c r="X57" s="174"/>
      <c r="Y57" s="174"/>
      <c r="Z57" s="174"/>
      <c r="AR57" s="292"/>
      <c r="AS57" s="292"/>
    </row>
    <row r="58" spans="1:48" s="179" customFormat="1">
      <c r="A58" s="174"/>
      <c r="B58" s="177"/>
      <c r="E58" s="174"/>
      <c r="F58" s="174"/>
      <c r="G58" s="174"/>
      <c r="H58" s="174"/>
      <c r="R58" s="623"/>
      <c r="V58" s="174"/>
      <c r="W58" s="174"/>
      <c r="X58" s="174"/>
      <c r="Y58" s="174"/>
      <c r="Z58" s="174"/>
      <c r="AR58" s="292"/>
      <c r="AS58" s="292"/>
    </row>
    <row r="59" spans="1:48" s="179" customFormat="1">
      <c r="A59" s="174"/>
      <c r="B59" s="177"/>
      <c r="C59" s="174"/>
      <c r="D59" s="174"/>
      <c r="E59" s="174"/>
      <c r="F59" s="275" t="s">
        <v>164</v>
      </c>
      <c r="G59" s="276">
        <f>SUM(K48,P48)</f>
        <v>-11635.762500000006</v>
      </c>
      <c r="H59" s="174"/>
      <c r="I59" s="174"/>
      <c r="J59" s="174"/>
      <c r="K59" s="174"/>
      <c r="L59" s="174"/>
      <c r="R59" s="623"/>
      <c r="S59" s="174"/>
      <c r="T59" s="174"/>
      <c r="U59" s="174"/>
      <c r="V59" s="174"/>
      <c r="W59" s="174"/>
      <c r="X59" s="174"/>
      <c r="Y59" s="174"/>
      <c r="Z59" s="174"/>
      <c r="AR59" s="292"/>
      <c r="AS59" s="292"/>
    </row>
    <row r="60" spans="1:48" s="179" customFormat="1">
      <c r="A60" s="174"/>
      <c r="B60" s="177"/>
      <c r="C60" s="176"/>
      <c r="D60" s="176"/>
      <c r="E60" s="174"/>
      <c r="F60" s="174"/>
      <c r="G60" s="174"/>
      <c r="H60" s="174"/>
      <c r="I60" s="174"/>
      <c r="J60" s="174"/>
      <c r="K60" s="174"/>
      <c r="L60" s="183"/>
      <c r="R60" s="623"/>
      <c r="Y60" s="177"/>
      <c r="Z60" s="177"/>
      <c r="AR60" s="292"/>
      <c r="AS60" s="292"/>
    </row>
    <row r="61" spans="1:48" s="179" customFormat="1" ht="18">
      <c r="A61" s="174"/>
      <c r="B61" s="177"/>
      <c r="C61" s="176"/>
      <c r="E61" s="174"/>
      <c r="F61" s="174"/>
      <c r="G61" s="277">
        <f>SUM(G51:G60)</f>
        <v>2348306.2374999998</v>
      </c>
      <c r="H61" s="617" t="s">
        <v>210</v>
      </c>
      <c r="I61" s="618"/>
      <c r="J61" s="618"/>
      <c r="K61" s="618"/>
      <c r="L61" s="618"/>
      <c r="M61" s="619"/>
      <c r="N61" s="619"/>
      <c r="O61" s="619"/>
      <c r="P61" s="619"/>
      <c r="Q61" s="619"/>
      <c r="R61" s="278"/>
      <c r="Y61" s="177"/>
      <c r="Z61" s="177"/>
      <c r="AR61" s="292"/>
      <c r="AS61" s="292"/>
    </row>
    <row r="62" spans="1:48" s="179" customFormat="1">
      <c r="A62" s="174"/>
      <c r="B62" s="177"/>
      <c r="C62" s="176"/>
      <c r="E62" s="174"/>
      <c r="F62" s="174"/>
      <c r="G62" s="174"/>
      <c r="H62" s="174"/>
      <c r="I62" s="174"/>
      <c r="J62" s="174"/>
      <c r="K62" s="174"/>
      <c r="L62" s="174"/>
      <c r="Y62" s="177"/>
      <c r="Z62" s="177"/>
      <c r="AR62" s="292"/>
      <c r="AS62" s="292"/>
    </row>
    <row r="63" spans="1:48" s="179" customFormat="1">
      <c r="A63" s="174"/>
      <c r="B63" s="177"/>
      <c r="C63" s="174"/>
      <c r="E63" s="174"/>
      <c r="F63" s="174"/>
      <c r="G63" s="174"/>
      <c r="H63" s="174"/>
      <c r="I63" s="174"/>
      <c r="J63" s="174"/>
      <c r="K63" s="174"/>
      <c r="L63" s="174"/>
      <c r="Y63" s="177"/>
      <c r="Z63" s="177"/>
      <c r="AR63" s="292"/>
      <c r="AS63" s="292"/>
    </row>
    <row r="64" spans="1:48" s="179" customFormat="1">
      <c r="A64" s="174"/>
      <c r="B64" s="177"/>
      <c r="C64" s="174"/>
      <c r="D64" s="176"/>
      <c r="E64" s="174"/>
      <c r="F64" s="174"/>
      <c r="G64" s="174"/>
      <c r="H64" s="174"/>
      <c r="I64" s="174"/>
      <c r="J64" s="174"/>
      <c r="K64" s="174"/>
      <c r="L64" s="174"/>
      <c r="Y64" s="177"/>
      <c r="Z64" s="177"/>
      <c r="AR64" s="292"/>
      <c r="AS64" s="292"/>
    </row>
    <row r="65" spans="1:45" s="179" customFormat="1">
      <c r="A65" s="174"/>
      <c r="B65" s="177"/>
      <c r="C65" s="174"/>
      <c r="D65" s="176"/>
      <c r="E65" s="174"/>
      <c r="F65" s="174"/>
      <c r="G65" s="174"/>
      <c r="H65" s="174"/>
      <c r="I65" s="174"/>
      <c r="J65" s="174"/>
      <c r="K65" s="174"/>
      <c r="L65" s="174"/>
      <c r="Y65" s="177"/>
      <c r="Z65" s="177"/>
      <c r="AR65" s="292"/>
      <c r="AS65" s="292"/>
    </row>
    <row r="66" spans="1:45" s="179" customFormat="1">
      <c r="A66" s="174"/>
      <c r="B66" s="177"/>
      <c r="C66" s="174"/>
      <c r="D66" s="181"/>
      <c r="E66" s="174"/>
      <c r="F66" s="174"/>
      <c r="G66" s="174"/>
      <c r="H66" s="174"/>
      <c r="I66" s="176"/>
      <c r="J66" s="176"/>
      <c r="K66" s="176"/>
      <c r="L66" s="176"/>
      <c r="Y66" s="177"/>
      <c r="Z66" s="177"/>
      <c r="AR66" s="292"/>
      <c r="AS66" s="292"/>
    </row>
    <row r="67" spans="1:45" s="179" customFormat="1">
      <c r="A67" s="174"/>
      <c r="B67" s="177"/>
      <c r="C67" s="174"/>
      <c r="D67" s="181"/>
      <c r="E67" s="174"/>
      <c r="F67" s="174"/>
      <c r="G67" s="174"/>
      <c r="H67" s="174"/>
      <c r="I67" s="176"/>
      <c r="J67" s="176"/>
      <c r="K67" s="176"/>
      <c r="L67" s="174"/>
      <c r="Y67" s="177"/>
      <c r="Z67" s="177"/>
      <c r="AR67" s="292"/>
      <c r="AS67" s="292"/>
    </row>
    <row r="68" spans="1:45" s="179" customFormat="1">
      <c r="A68" s="174"/>
      <c r="B68" s="177"/>
      <c r="C68" s="174"/>
      <c r="D68" s="181"/>
      <c r="E68" s="174"/>
      <c r="F68" s="174"/>
      <c r="G68" s="174"/>
      <c r="H68" s="174"/>
      <c r="I68" s="176"/>
      <c r="J68" s="176"/>
      <c r="K68" s="176"/>
      <c r="Y68" s="177"/>
      <c r="Z68" s="177"/>
      <c r="AR68" s="292"/>
      <c r="AS68" s="292"/>
    </row>
    <row r="69" spans="1:45" s="179" customFormat="1">
      <c r="A69" s="174"/>
      <c r="B69" s="177"/>
      <c r="C69" s="174"/>
      <c r="D69" s="176"/>
      <c r="E69" s="176"/>
      <c r="F69" s="184"/>
      <c r="G69" s="176"/>
      <c r="H69" s="176"/>
      <c r="I69" s="176"/>
      <c r="J69" s="176"/>
      <c r="K69" s="176"/>
      <c r="Y69" s="177"/>
      <c r="Z69" s="177"/>
      <c r="AR69" s="292"/>
      <c r="AS69" s="292"/>
    </row>
    <row r="70" spans="1:45" s="179" customFormat="1">
      <c r="A70" s="174"/>
      <c r="B70" s="177"/>
      <c r="C70" s="174"/>
      <c r="D70" s="174"/>
      <c r="E70" s="174"/>
      <c r="F70" s="185"/>
      <c r="G70" s="174"/>
      <c r="H70" s="186"/>
      <c r="I70" s="174"/>
      <c r="J70" s="174"/>
      <c r="K70" s="174"/>
      <c r="Y70" s="177"/>
      <c r="Z70" s="177"/>
      <c r="AR70" s="292"/>
      <c r="AS70" s="292"/>
    </row>
    <row r="71" spans="1:45" s="179" customFormat="1">
      <c r="A71" s="174"/>
      <c r="B71" s="177"/>
      <c r="C71" s="174"/>
      <c r="D71" s="174"/>
      <c r="E71" s="174"/>
      <c r="F71" s="187"/>
      <c r="G71" s="174"/>
      <c r="H71" s="186"/>
      <c r="I71" s="174"/>
      <c r="J71" s="174"/>
      <c r="K71" s="174"/>
      <c r="Y71" s="177"/>
      <c r="Z71" s="177"/>
      <c r="AR71" s="292"/>
      <c r="AS71" s="292"/>
    </row>
    <row r="72" spans="1:45" s="179" customFormat="1">
      <c r="A72" s="174"/>
      <c r="B72" s="177"/>
      <c r="D72" s="174"/>
      <c r="E72" s="174"/>
      <c r="F72" s="187"/>
      <c r="G72" s="174"/>
      <c r="H72" s="186"/>
      <c r="I72" s="174"/>
      <c r="J72" s="174"/>
      <c r="K72" s="174"/>
      <c r="Y72" s="177"/>
      <c r="Z72" s="177"/>
      <c r="AR72" s="292"/>
      <c r="AS72" s="292"/>
    </row>
    <row r="73" spans="1:45" s="179" customFormat="1">
      <c r="A73" s="174"/>
      <c r="B73" s="177"/>
      <c r="D73" s="174"/>
      <c r="E73" s="188"/>
      <c r="F73" s="187"/>
      <c r="G73" s="174"/>
      <c r="H73" s="186"/>
      <c r="I73" s="174"/>
      <c r="J73" s="174"/>
      <c r="K73" s="174"/>
      <c r="M73" s="174"/>
      <c r="Y73" s="177"/>
      <c r="Z73" s="177"/>
      <c r="AR73" s="292"/>
      <c r="AS73" s="292"/>
    </row>
    <row r="74" spans="1:45" s="179" customFormat="1">
      <c r="A74" s="174"/>
      <c r="B74" s="177"/>
      <c r="D74" s="174"/>
      <c r="E74" s="188"/>
      <c r="F74" s="187"/>
      <c r="G74" s="189"/>
      <c r="H74" s="186"/>
      <c r="I74" s="174"/>
      <c r="J74" s="174"/>
      <c r="K74" s="174"/>
      <c r="M74" s="174"/>
      <c r="Y74" s="177"/>
      <c r="Z74" s="177"/>
      <c r="AR74" s="292"/>
      <c r="AS74" s="292"/>
    </row>
    <row r="75" spans="1:45" s="179" customFormat="1">
      <c r="A75" s="174"/>
      <c r="B75" s="177"/>
      <c r="D75" s="174"/>
      <c r="E75" s="174"/>
      <c r="F75" s="187"/>
      <c r="G75" s="174"/>
      <c r="H75" s="174"/>
      <c r="I75" s="174"/>
      <c r="K75" s="174"/>
      <c r="Y75" s="177"/>
      <c r="Z75" s="177"/>
      <c r="AR75" s="292"/>
      <c r="AS75" s="292"/>
    </row>
    <row r="76" spans="1:45" s="179" customFormat="1">
      <c r="A76" s="174"/>
      <c r="B76" s="177"/>
      <c r="C76" s="190"/>
      <c r="D76" s="190"/>
      <c r="E76" s="190"/>
      <c r="F76" s="190"/>
      <c r="G76" s="190"/>
      <c r="H76" s="174"/>
      <c r="J76" s="190"/>
      <c r="K76" s="191"/>
      <c r="L76" s="191"/>
      <c r="M76" s="191"/>
      <c r="N76" s="191"/>
      <c r="O76" s="191"/>
      <c r="P76" s="191"/>
      <c r="Y76" s="177"/>
      <c r="Z76" s="177"/>
      <c r="AR76" s="292"/>
      <c r="AS76" s="292"/>
    </row>
    <row r="77" spans="1:45" s="179" customFormat="1">
      <c r="A77" s="174"/>
      <c r="B77" s="177"/>
      <c r="J77" s="174"/>
      <c r="M77" s="192"/>
      <c r="N77" s="192"/>
      <c r="Y77" s="177"/>
      <c r="Z77" s="177"/>
      <c r="AR77" s="292"/>
      <c r="AS77" s="292"/>
    </row>
    <row r="78" spans="1:45" s="179" customFormat="1">
      <c r="A78" s="174"/>
      <c r="B78" s="177"/>
      <c r="H78" s="174"/>
      <c r="I78" s="174"/>
      <c r="J78" s="174"/>
      <c r="K78" s="193"/>
      <c r="M78" s="192"/>
      <c r="N78" s="192"/>
      <c r="Y78" s="177"/>
      <c r="Z78" s="177"/>
      <c r="AR78" s="292"/>
      <c r="AS78" s="292"/>
    </row>
    <row r="79" spans="1:45" s="179" customFormat="1">
      <c r="A79" s="174"/>
      <c r="B79" s="177"/>
      <c r="D79" s="174"/>
      <c r="E79" s="174"/>
      <c r="F79" s="174"/>
      <c r="H79" s="174"/>
      <c r="J79" s="177"/>
      <c r="K79" s="182"/>
      <c r="O79" s="174"/>
      <c r="Y79" s="177"/>
      <c r="Z79" s="177"/>
      <c r="AR79" s="292"/>
      <c r="AS79" s="292"/>
    </row>
    <row r="80" spans="1:45" s="179" customFormat="1">
      <c r="A80" s="174"/>
      <c r="B80" s="177"/>
      <c r="D80" s="174"/>
      <c r="E80" s="174"/>
      <c r="F80" s="174"/>
      <c r="H80" s="174"/>
      <c r="J80" s="177"/>
      <c r="K80" s="182"/>
      <c r="O80" s="174"/>
      <c r="Y80" s="177"/>
      <c r="Z80" s="177"/>
      <c r="AR80" s="292"/>
      <c r="AS80" s="292"/>
    </row>
    <row r="81" spans="1:45" s="179" customFormat="1">
      <c r="A81" s="174"/>
      <c r="B81" s="177"/>
      <c r="D81" s="174"/>
      <c r="E81" s="174"/>
      <c r="F81" s="174"/>
      <c r="H81" s="174"/>
      <c r="J81" s="177"/>
      <c r="K81" s="182"/>
      <c r="O81" s="174"/>
      <c r="Y81" s="177"/>
      <c r="Z81" s="177"/>
      <c r="AR81" s="292"/>
      <c r="AS81" s="292"/>
    </row>
    <row r="82" spans="1:45" s="179" customFormat="1">
      <c r="A82" s="174"/>
      <c r="B82" s="177"/>
      <c r="D82" s="174"/>
      <c r="E82" s="174"/>
      <c r="F82" s="174"/>
      <c r="H82" s="174"/>
      <c r="J82" s="177"/>
      <c r="K82" s="182"/>
      <c r="O82" s="174"/>
      <c r="Y82" s="177"/>
      <c r="Z82" s="177"/>
      <c r="AR82" s="292"/>
      <c r="AS82" s="292"/>
    </row>
    <row r="83" spans="1:45" s="179" customFormat="1">
      <c r="A83" s="174"/>
      <c r="B83" s="177"/>
      <c r="D83" s="174"/>
      <c r="E83" s="174"/>
      <c r="F83" s="177"/>
      <c r="G83" s="177"/>
      <c r="H83" s="174"/>
      <c r="J83" s="177"/>
      <c r="K83" s="182"/>
      <c r="O83" s="174"/>
      <c r="P83" s="177"/>
      <c r="Y83" s="177"/>
      <c r="Z83" s="177"/>
      <c r="AR83" s="292"/>
      <c r="AS83" s="292"/>
    </row>
    <row r="84" spans="1:45">
      <c r="A84" s="127"/>
      <c r="B84" s="159"/>
      <c r="D84" s="127"/>
      <c r="E84" s="127"/>
      <c r="F84" s="159"/>
      <c r="G84" s="159"/>
      <c r="H84" s="127"/>
      <c r="J84" s="159"/>
      <c r="K84" s="132"/>
      <c r="O84" s="127"/>
      <c r="P84" s="159"/>
      <c r="Y84" s="159"/>
      <c r="Z84" s="159"/>
    </row>
    <row r="85" spans="1:45">
      <c r="A85" s="127"/>
      <c r="B85" s="159"/>
      <c r="D85" s="127"/>
      <c r="E85" s="127"/>
      <c r="F85" s="159"/>
      <c r="G85" s="159"/>
      <c r="H85" s="127"/>
      <c r="J85" s="159"/>
      <c r="K85" s="132"/>
      <c r="O85" s="127"/>
      <c r="P85" s="159"/>
      <c r="Y85" s="159"/>
      <c r="Z85" s="159"/>
    </row>
    <row r="86" spans="1:45">
      <c r="A86" s="127"/>
      <c r="B86" s="159"/>
      <c r="D86" s="127"/>
      <c r="E86" s="127"/>
      <c r="F86" s="159"/>
      <c r="G86" s="159"/>
      <c r="H86" s="127"/>
      <c r="J86" s="159"/>
      <c r="K86" s="132"/>
      <c r="O86" s="127"/>
      <c r="P86" s="159"/>
      <c r="Y86" s="159"/>
      <c r="Z86" s="159"/>
    </row>
    <row r="87" spans="1:45">
      <c r="A87" s="127"/>
      <c r="B87" s="159"/>
      <c r="D87" s="127"/>
      <c r="E87" s="127"/>
      <c r="F87" s="159"/>
      <c r="G87" s="159"/>
      <c r="H87" s="127"/>
      <c r="J87" s="159"/>
      <c r="K87" s="132"/>
      <c r="O87" s="127"/>
      <c r="P87" s="159"/>
      <c r="Y87" s="159"/>
      <c r="Z87" s="159"/>
    </row>
    <row r="88" spans="1:45">
      <c r="A88" s="127"/>
      <c r="B88" s="159"/>
      <c r="D88" s="127"/>
      <c r="E88" s="127"/>
      <c r="F88" s="159"/>
      <c r="G88" s="159"/>
      <c r="H88" s="127"/>
      <c r="J88" s="159"/>
      <c r="K88" s="132"/>
      <c r="O88" s="127"/>
      <c r="P88" s="159"/>
      <c r="Y88" s="159"/>
      <c r="Z88" s="159"/>
    </row>
    <row r="89" spans="1:45">
      <c r="A89" s="127"/>
      <c r="B89" s="159"/>
      <c r="D89" s="127"/>
      <c r="E89" s="127"/>
      <c r="F89" s="159"/>
      <c r="G89" s="159"/>
      <c r="H89" s="127"/>
      <c r="J89" s="159"/>
      <c r="K89" s="132"/>
      <c r="O89" s="127"/>
      <c r="P89" s="159"/>
      <c r="Y89" s="159"/>
      <c r="Z89" s="159"/>
    </row>
    <row r="90" spans="1:45">
      <c r="A90" s="127"/>
      <c r="B90" s="159"/>
      <c r="D90" s="127"/>
      <c r="E90" s="127"/>
      <c r="F90" s="159"/>
      <c r="G90" s="159"/>
      <c r="H90" s="127"/>
      <c r="J90" s="159"/>
      <c r="K90" s="132"/>
      <c r="O90" s="127"/>
      <c r="P90" s="159"/>
      <c r="Y90" s="159"/>
      <c r="Z90" s="159"/>
    </row>
    <row r="91" spans="1:45">
      <c r="A91" s="127"/>
      <c r="B91" s="159"/>
      <c r="D91" s="127"/>
      <c r="E91" s="127"/>
      <c r="F91" s="159"/>
      <c r="G91" s="159"/>
      <c r="H91" s="127"/>
      <c r="J91" s="159"/>
      <c r="K91" s="132"/>
      <c r="O91" s="127"/>
      <c r="P91" s="159"/>
      <c r="Y91" s="159"/>
      <c r="Z91" s="159"/>
    </row>
    <row r="92" spans="1:45">
      <c r="A92" s="127"/>
      <c r="B92" s="159"/>
      <c r="D92" s="127"/>
      <c r="E92" s="127"/>
      <c r="F92" s="159"/>
      <c r="G92" s="159"/>
      <c r="H92" s="127"/>
      <c r="J92" s="159"/>
      <c r="K92" s="132"/>
      <c r="O92" s="127"/>
      <c r="P92" s="159"/>
      <c r="Y92" s="159"/>
      <c r="Z92" s="159"/>
    </row>
    <row r="93" spans="1:45">
      <c r="A93" s="127"/>
      <c r="B93" s="159"/>
      <c r="D93" s="127"/>
      <c r="E93" s="127"/>
      <c r="F93" s="159"/>
      <c r="G93" s="159"/>
      <c r="H93" s="127"/>
      <c r="J93" s="159"/>
      <c r="K93" s="132"/>
      <c r="O93" s="127"/>
      <c r="P93" s="159"/>
      <c r="X93" s="127"/>
      <c r="Y93" s="159"/>
      <c r="Z93" s="159"/>
    </row>
    <row r="94" spans="1:45">
      <c r="A94" s="127"/>
      <c r="B94" s="159"/>
      <c r="D94" s="127"/>
      <c r="E94" s="127"/>
      <c r="F94" s="159"/>
      <c r="G94" s="159"/>
      <c r="H94" s="127"/>
      <c r="J94" s="159"/>
      <c r="K94" s="132"/>
      <c r="O94" s="127"/>
      <c r="P94" s="159"/>
      <c r="X94" s="127"/>
      <c r="Y94" s="159"/>
      <c r="Z94" s="159"/>
    </row>
    <row r="95" spans="1:45">
      <c r="A95" s="127"/>
      <c r="B95" s="159"/>
      <c r="D95" s="127"/>
      <c r="E95" s="127"/>
      <c r="F95" s="159"/>
      <c r="G95" s="159"/>
      <c r="H95" s="127"/>
      <c r="J95" s="159"/>
      <c r="K95" s="132"/>
      <c r="O95" s="127"/>
      <c r="P95" s="159"/>
      <c r="S95" s="132"/>
      <c r="X95" s="127"/>
      <c r="Y95" s="159"/>
      <c r="Z95" s="159"/>
    </row>
    <row r="96" spans="1:45">
      <c r="A96" s="127"/>
      <c r="B96" s="159"/>
      <c r="D96" s="127"/>
      <c r="E96" s="127"/>
      <c r="F96" s="159"/>
      <c r="G96" s="159"/>
      <c r="H96" s="127"/>
      <c r="J96" s="159"/>
      <c r="K96" s="132"/>
      <c r="O96" s="127"/>
      <c r="P96" s="159"/>
      <c r="S96" s="132"/>
      <c r="X96" s="127"/>
      <c r="Y96" s="159"/>
      <c r="Z96" s="159"/>
    </row>
    <row r="97" spans="1:26">
      <c r="A97" s="127"/>
      <c r="B97" s="159"/>
      <c r="D97" s="127"/>
      <c r="E97" s="127"/>
      <c r="F97" s="159"/>
      <c r="G97" s="159"/>
      <c r="H97" s="127"/>
      <c r="J97" s="159"/>
      <c r="K97" s="132"/>
      <c r="O97" s="127"/>
      <c r="P97" s="159"/>
      <c r="S97" s="132"/>
      <c r="X97" s="127"/>
      <c r="Y97" s="159"/>
      <c r="Z97" s="159"/>
    </row>
    <row r="98" spans="1:26">
      <c r="A98" s="127"/>
      <c r="B98" s="159"/>
      <c r="D98" s="127"/>
      <c r="E98" s="127"/>
      <c r="F98" s="159"/>
      <c r="G98" s="159"/>
      <c r="H98" s="127"/>
      <c r="J98" s="159"/>
      <c r="K98" s="132"/>
      <c r="O98" s="127"/>
      <c r="P98" s="159"/>
      <c r="S98" s="132"/>
      <c r="X98" s="127"/>
      <c r="Y98" s="159"/>
      <c r="Z98" s="159"/>
    </row>
    <row r="99" spans="1:26">
      <c r="A99" s="127"/>
      <c r="B99" s="159"/>
      <c r="D99" s="127"/>
      <c r="E99" s="127"/>
      <c r="F99" s="159"/>
      <c r="G99" s="159"/>
      <c r="H99" s="127"/>
      <c r="J99" s="159"/>
      <c r="K99" s="132"/>
      <c r="O99" s="127"/>
      <c r="P99" s="159"/>
      <c r="S99" s="132"/>
      <c r="X99" s="127"/>
      <c r="Y99" s="159"/>
      <c r="Z99" s="159"/>
    </row>
    <row r="100" spans="1:26">
      <c r="A100" s="127"/>
      <c r="B100" s="159"/>
      <c r="D100" s="127"/>
      <c r="E100" s="127"/>
      <c r="F100" s="159"/>
      <c r="G100" s="159"/>
      <c r="H100" s="127"/>
      <c r="J100" s="159"/>
      <c r="K100" s="132"/>
      <c r="O100" s="127"/>
      <c r="P100" s="159"/>
      <c r="S100" s="132"/>
      <c r="X100" s="127"/>
      <c r="Y100" s="159"/>
      <c r="Z100" s="159"/>
    </row>
    <row r="101" spans="1:26">
      <c r="A101" s="127"/>
      <c r="B101" s="159"/>
      <c r="D101" s="127"/>
      <c r="E101" s="127"/>
      <c r="F101" s="159"/>
      <c r="G101" s="159"/>
      <c r="H101" s="127"/>
      <c r="J101" s="159"/>
      <c r="K101" s="132"/>
      <c r="O101" s="127"/>
      <c r="P101" s="159"/>
      <c r="S101" s="132"/>
      <c r="X101" s="127"/>
      <c r="Y101" s="159"/>
      <c r="Z101" s="159"/>
    </row>
    <row r="102" spans="1:26">
      <c r="A102" s="127"/>
      <c r="B102" s="159"/>
      <c r="D102" s="127"/>
      <c r="E102" s="127"/>
      <c r="F102" s="159"/>
      <c r="G102" s="159"/>
      <c r="H102" s="127"/>
      <c r="J102" s="159"/>
      <c r="K102" s="132"/>
      <c r="O102" s="127"/>
      <c r="P102" s="159"/>
      <c r="S102" s="132"/>
      <c r="X102" s="127"/>
      <c r="Y102" s="159"/>
      <c r="Z102" s="159"/>
    </row>
    <row r="103" spans="1:26">
      <c r="A103" s="127"/>
      <c r="B103" s="159"/>
      <c r="D103" s="127"/>
      <c r="E103" s="127"/>
      <c r="F103" s="159"/>
      <c r="G103" s="159"/>
      <c r="H103" s="127"/>
      <c r="J103" s="159"/>
      <c r="K103" s="132"/>
      <c r="O103" s="127"/>
      <c r="P103" s="159"/>
      <c r="S103" s="132"/>
      <c r="X103" s="127"/>
      <c r="Y103" s="159"/>
      <c r="Z103" s="159"/>
    </row>
    <row r="104" spans="1:26">
      <c r="A104" s="127"/>
      <c r="B104" s="159"/>
      <c r="D104" s="127"/>
      <c r="E104" s="127"/>
      <c r="F104" s="159"/>
      <c r="G104" s="159"/>
      <c r="H104" s="127"/>
      <c r="J104" s="159"/>
      <c r="K104" s="132"/>
      <c r="O104" s="127"/>
      <c r="P104" s="159"/>
      <c r="S104" s="132"/>
      <c r="X104" s="127"/>
      <c r="Y104" s="159"/>
      <c r="Z104" s="159"/>
    </row>
    <row r="105" spans="1:26">
      <c r="A105" s="127"/>
      <c r="B105" s="159"/>
      <c r="D105" s="127"/>
      <c r="E105" s="127"/>
      <c r="F105" s="159"/>
      <c r="G105" s="159"/>
      <c r="H105" s="127"/>
      <c r="J105" s="159"/>
      <c r="K105" s="132"/>
      <c r="O105" s="127"/>
      <c r="P105" s="159"/>
      <c r="S105" s="132"/>
      <c r="X105" s="127"/>
      <c r="Y105" s="159"/>
      <c r="Z105" s="159"/>
    </row>
    <row r="106" spans="1:26">
      <c r="A106" s="127"/>
      <c r="B106" s="159"/>
      <c r="D106" s="127"/>
      <c r="E106" s="127"/>
      <c r="F106" s="159"/>
      <c r="G106" s="159"/>
      <c r="H106" s="127"/>
      <c r="J106" s="159"/>
      <c r="K106" s="132"/>
      <c r="O106" s="127"/>
      <c r="P106" s="159"/>
      <c r="S106" s="132"/>
      <c r="X106" s="127"/>
      <c r="Y106" s="159"/>
      <c r="Z106" s="159"/>
    </row>
    <row r="107" spans="1:26">
      <c r="A107" s="127"/>
      <c r="B107" s="159"/>
      <c r="D107" s="127"/>
      <c r="E107" s="127"/>
      <c r="F107" s="159"/>
      <c r="G107" s="159"/>
      <c r="H107" s="127"/>
      <c r="J107" s="159"/>
      <c r="K107" s="132"/>
      <c r="O107" s="127"/>
      <c r="P107" s="159"/>
      <c r="S107" s="132"/>
      <c r="X107" s="127"/>
      <c r="Y107" s="159"/>
      <c r="Z107" s="159"/>
    </row>
    <row r="108" spans="1:26">
      <c r="A108" s="127"/>
      <c r="B108" s="159"/>
      <c r="D108" s="127"/>
      <c r="E108" s="127"/>
      <c r="F108" s="159"/>
      <c r="G108" s="159"/>
      <c r="H108" s="127"/>
      <c r="J108" s="159"/>
      <c r="K108" s="132"/>
      <c r="O108" s="127"/>
      <c r="P108" s="159"/>
      <c r="S108" s="132"/>
      <c r="X108" s="127"/>
      <c r="Y108" s="159"/>
      <c r="Z108" s="159"/>
    </row>
    <row r="109" spans="1:26">
      <c r="A109" s="127"/>
      <c r="B109" s="159"/>
      <c r="D109" s="127"/>
      <c r="E109" s="127"/>
      <c r="F109" s="159"/>
      <c r="G109" s="159"/>
      <c r="H109" s="127"/>
      <c r="J109" s="159"/>
      <c r="K109" s="132"/>
      <c r="O109" s="127"/>
      <c r="P109" s="159"/>
      <c r="S109" s="132"/>
      <c r="X109" s="127"/>
      <c r="Y109" s="159"/>
      <c r="Z109" s="159"/>
    </row>
    <row r="110" spans="1:26">
      <c r="A110" s="127"/>
      <c r="B110" s="159"/>
      <c r="D110" s="168"/>
      <c r="E110" s="127"/>
      <c r="F110" s="169"/>
      <c r="G110" s="169"/>
      <c r="H110" s="127"/>
      <c r="I110" s="127"/>
      <c r="J110" s="127"/>
      <c r="K110" s="150"/>
      <c r="L110" s="170"/>
      <c r="N110" s="171"/>
      <c r="P110" s="169"/>
      <c r="S110" s="132"/>
      <c r="X110" s="127"/>
      <c r="Y110" s="159"/>
      <c r="Z110" s="159"/>
    </row>
    <row r="111" spans="1:26">
      <c r="A111" s="127"/>
      <c r="B111" s="159"/>
      <c r="C111" s="127"/>
      <c r="D111" s="127"/>
      <c r="E111" s="127"/>
      <c r="F111" s="127"/>
      <c r="G111" s="127"/>
      <c r="H111" s="127"/>
      <c r="I111" s="127"/>
      <c r="J111" s="127"/>
      <c r="L111" s="170"/>
      <c r="S111" s="132"/>
      <c r="X111" s="127"/>
      <c r="Y111" s="159"/>
      <c r="Z111" s="159"/>
    </row>
    <row r="112" spans="1:26">
      <c r="A112" s="127"/>
      <c r="B112" s="159"/>
      <c r="C112" s="127"/>
      <c r="D112" s="127"/>
      <c r="E112" s="127"/>
      <c r="F112" s="127"/>
      <c r="G112" s="127"/>
      <c r="H112" s="127"/>
      <c r="I112" s="127"/>
      <c r="J112" s="127"/>
      <c r="S112" s="132"/>
      <c r="X112" s="127"/>
      <c r="Y112" s="159"/>
      <c r="Z112" s="159"/>
    </row>
    <row r="113" spans="1:26">
      <c r="A113" s="127"/>
      <c r="B113" s="159"/>
      <c r="S113" s="132"/>
      <c r="X113" s="127"/>
      <c r="Y113" s="159"/>
      <c r="Z113" s="159"/>
    </row>
    <row r="114" spans="1:26">
      <c r="A114" s="127"/>
      <c r="B114" s="159"/>
      <c r="S114" s="132"/>
      <c r="X114" s="127"/>
      <c r="Y114" s="159"/>
      <c r="Z114" s="159"/>
    </row>
    <row r="115" spans="1:26">
      <c r="A115" s="127"/>
      <c r="B115" s="159"/>
      <c r="S115" s="132"/>
      <c r="X115" s="127"/>
      <c r="Y115" s="159"/>
      <c r="Z115" s="159"/>
    </row>
    <row r="116" spans="1:26">
      <c r="A116" s="127"/>
      <c r="B116" s="159"/>
      <c r="S116" s="132"/>
      <c r="X116" s="127"/>
      <c r="Y116" s="159"/>
      <c r="Z116" s="159"/>
    </row>
    <row r="117" spans="1:26">
      <c r="A117" s="127"/>
      <c r="B117" s="159"/>
      <c r="S117" s="132"/>
      <c r="X117" s="127"/>
      <c r="Y117" s="159"/>
      <c r="Z117" s="159"/>
    </row>
    <row r="118" spans="1:26">
      <c r="A118" s="127"/>
      <c r="B118" s="159"/>
      <c r="Q118" s="127"/>
      <c r="R118" s="159"/>
      <c r="S118" s="132"/>
      <c r="X118" s="127"/>
      <c r="Y118" s="159"/>
      <c r="Z118" s="159"/>
    </row>
    <row r="119" spans="1:26">
      <c r="A119" s="127"/>
      <c r="B119" s="159"/>
      <c r="Q119" s="127"/>
      <c r="R119" s="159"/>
      <c r="S119" s="132"/>
      <c r="X119" s="127"/>
      <c r="Y119" s="159"/>
      <c r="Z119" s="159"/>
    </row>
    <row r="120" spans="1:26">
      <c r="A120" s="127"/>
      <c r="B120" s="159"/>
      <c r="Q120" s="127"/>
      <c r="R120" s="159"/>
      <c r="S120" s="132"/>
      <c r="X120" s="127"/>
      <c r="Y120" s="159"/>
      <c r="Z120" s="159"/>
    </row>
    <row r="121" spans="1:26">
      <c r="A121" s="127"/>
      <c r="B121" s="159"/>
      <c r="C121" s="127"/>
      <c r="D121" s="127"/>
      <c r="Q121" s="127"/>
      <c r="R121" s="159"/>
      <c r="S121" s="132"/>
      <c r="X121" s="127"/>
      <c r="Y121" s="159"/>
      <c r="Z121" s="159"/>
    </row>
    <row r="122" spans="1:26">
      <c r="A122" s="127"/>
      <c r="B122" s="159"/>
      <c r="C122" s="127"/>
      <c r="D122" s="127"/>
      <c r="Q122" s="127"/>
      <c r="R122" s="159"/>
      <c r="S122" s="132"/>
      <c r="X122" s="127"/>
      <c r="Y122" s="159"/>
      <c r="Z122" s="159"/>
    </row>
    <row r="123" spans="1:26">
      <c r="A123" s="127"/>
      <c r="B123" s="159"/>
      <c r="C123" s="127"/>
      <c r="D123" s="127"/>
      <c r="Q123" s="127"/>
      <c r="R123" s="159"/>
      <c r="S123" s="132"/>
      <c r="X123" s="127"/>
      <c r="Y123" s="159"/>
      <c r="Z123" s="159"/>
    </row>
    <row r="124" spans="1:26">
      <c r="A124" s="127"/>
      <c r="B124" s="159"/>
      <c r="C124" s="127"/>
      <c r="D124" s="127"/>
      <c r="Q124" s="127"/>
      <c r="R124" s="159"/>
      <c r="S124" s="132"/>
      <c r="X124" s="127"/>
      <c r="Y124" s="159"/>
      <c r="Z124" s="159"/>
    </row>
    <row r="125" spans="1:26">
      <c r="A125" s="127"/>
      <c r="B125" s="159"/>
      <c r="C125" s="127"/>
      <c r="D125" s="127"/>
      <c r="Q125" s="127"/>
      <c r="R125" s="159"/>
      <c r="S125" s="132"/>
      <c r="X125" s="127"/>
      <c r="Y125" s="159"/>
      <c r="Z125" s="159"/>
    </row>
    <row r="126" spans="1:26">
      <c r="A126" s="127"/>
      <c r="B126" s="159"/>
      <c r="C126" s="127"/>
      <c r="D126" s="127"/>
      <c r="Q126" s="127"/>
      <c r="R126" s="169"/>
      <c r="X126" s="127"/>
      <c r="Y126" s="159"/>
      <c r="Z126" s="159"/>
    </row>
    <row r="127" spans="1:26">
      <c r="A127" s="127"/>
    </row>
    <row r="128" spans="1:26">
      <c r="A128" s="127"/>
    </row>
    <row r="129" spans="1:1">
      <c r="A129" s="127"/>
    </row>
    <row r="130" spans="1:1">
      <c r="A130" s="127"/>
    </row>
    <row r="131" spans="1:1">
      <c r="A131" s="127"/>
    </row>
    <row r="132" spans="1:1">
      <c r="A132" s="127"/>
    </row>
    <row r="133" spans="1:1">
      <c r="A133" s="127"/>
    </row>
    <row r="134" spans="1:1">
      <c r="A134" s="127"/>
    </row>
    <row r="135" spans="1:1">
      <c r="A135" s="127"/>
    </row>
    <row r="136" spans="1:1">
      <c r="A136" s="127"/>
    </row>
    <row r="137" spans="1:1">
      <c r="A137" s="127"/>
    </row>
    <row r="138" spans="1:1">
      <c r="A138" s="127"/>
    </row>
    <row r="139" spans="1:1">
      <c r="A139" s="127"/>
    </row>
    <row r="140" spans="1:1">
      <c r="A140" s="127"/>
    </row>
    <row r="141" spans="1:1">
      <c r="A141" s="127"/>
    </row>
    <row r="142" spans="1:1">
      <c r="A142" s="127"/>
    </row>
    <row r="143" spans="1:1">
      <c r="A143" s="127"/>
    </row>
    <row r="144" spans="1:1">
      <c r="A144" s="127"/>
    </row>
    <row r="145" spans="1:1">
      <c r="A145" s="127"/>
    </row>
    <row r="146" spans="1:1">
      <c r="A146" s="127"/>
    </row>
    <row r="147" spans="1:1">
      <c r="A147" s="127"/>
    </row>
    <row r="148" spans="1:1">
      <c r="A148" s="127"/>
    </row>
    <row r="149" spans="1:1">
      <c r="A149" s="127"/>
    </row>
    <row r="150" spans="1:1">
      <c r="A150" s="127"/>
    </row>
    <row r="151" spans="1:1">
      <c r="A151" s="127"/>
    </row>
    <row r="152" spans="1:1">
      <c r="A152" s="127"/>
    </row>
    <row r="153" spans="1:1">
      <c r="A153" s="127"/>
    </row>
    <row r="154" spans="1:1">
      <c r="A154" s="127"/>
    </row>
    <row r="155" spans="1:1">
      <c r="A155" s="127"/>
    </row>
    <row r="156" spans="1:1">
      <c r="A156" s="127"/>
    </row>
    <row r="157" spans="1:1">
      <c r="A157" s="127"/>
    </row>
    <row r="158" spans="1:1">
      <c r="A158" s="127"/>
    </row>
    <row r="159" spans="1:1">
      <c r="A159" s="127"/>
    </row>
    <row r="160" spans="1:1">
      <c r="A160" s="127"/>
    </row>
    <row r="161" spans="1:1">
      <c r="A161" s="127"/>
    </row>
    <row r="162" spans="1:1">
      <c r="A162" s="127"/>
    </row>
    <row r="163" spans="1:1">
      <c r="A163" s="127"/>
    </row>
    <row r="164" spans="1:1">
      <c r="A164" s="127"/>
    </row>
    <row r="165" spans="1:1">
      <c r="A165" s="127"/>
    </row>
    <row r="166" spans="1:1">
      <c r="A166" s="127"/>
    </row>
    <row r="167" spans="1:1">
      <c r="A167" s="127"/>
    </row>
    <row r="168" spans="1:1">
      <c r="A168" s="127"/>
    </row>
    <row r="169" spans="1:1">
      <c r="A169" s="127"/>
    </row>
    <row r="170" spans="1:1">
      <c r="A170" s="127"/>
    </row>
    <row r="171" spans="1:1">
      <c r="A171" s="127"/>
    </row>
    <row r="172" spans="1:1">
      <c r="A172" s="127"/>
    </row>
    <row r="173" spans="1:1">
      <c r="A173" s="127"/>
    </row>
    <row r="174" spans="1:1">
      <c r="A174" s="127"/>
    </row>
    <row r="175" spans="1:1">
      <c r="A175" s="127"/>
    </row>
    <row r="176" spans="1:1">
      <c r="A176" s="127"/>
    </row>
    <row r="177" spans="1:1">
      <c r="A177" s="127"/>
    </row>
    <row r="178" spans="1:1">
      <c r="A178" s="127"/>
    </row>
    <row r="179" spans="1:1">
      <c r="A179" s="127"/>
    </row>
    <row r="180" spans="1:1">
      <c r="A180" s="127"/>
    </row>
    <row r="181" spans="1:1">
      <c r="A181" s="127"/>
    </row>
    <row r="182" spans="1:1">
      <c r="A182" s="127"/>
    </row>
    <row r="183" spans="1:1">
      <c r="A183" s="127"/>
    </row>
    <row r="184" spans="1:1">
      <c r="A184" s="127"/>
    </row>
    <row r="185" spans="1:1">
      <c r="A185" s="127"/>
    </row>
    <row r="186" spans="1:1">
      <c r="A186" s="127"/>
    </row>
    <row r="187" spans="1:1">
      <c r="A187" s="127"/>
    </row>
    <row r="188" spans="1:1">
      <c r="A188" s="127"/>
    </row>
    <row r="189" spans="1:1">
      <c r="A189" s="127"/>
    </row>
    <row r="190" spans="1:1">
      <c r="A190" s="127"/>
    </row>
    <row r="191" spans="1:1">
      <c r="A191" s="127"/>
    </row>
    <row r="192" spans="1:1">
      <c r="A192" s="127"/>
    </row>
    <row r="193" spans="1:1">
      <c r="A193" s="127"/>
    </row>
    <row r="194" spans="1:1">
      <c r="A194" s="127"/>
    </row>
    <row r="195" spans="1:1">
      <c r="A195" s="127"/>
    </row>
    <row r="196" spans="1:1">
      <c r="A196" s="127"/>
    </row>
    <row r="197" spans="1:1">
      <c r="A197" s="127"/>
    </row>
    <row r="198" spans="1:1">
      <c r="A198" s="127"/>
    </row>
    <row r="199" spans="1:1">
      <c r="A199" s="127"/>
    </row>
    <row r="200" spans="1:1">
      <c r="A200" s="127"/>
    </row>
    <row r="201" spans="1:1">
      <c r="A201" s="127"/>
    </row>
    <row r="202" spans="1:1">
      <c r="A202" s="127"/>
    </row>
    <row r="203" spans="1:1">
      <c r="A203" s="127"/>
    </row>
    <row r="204" spans="1:1">
      <c r="A204" s="127"/>
    </row>
    <row r="205" spans="1:1">
      <c r="A205" s="127"/>
    </row>
    <row r="206" spans="1:1">
      <c r="A206" s="127"/>
    </row>
    <row r="207" spans="1:1">
      <c r="A207" s="127"/>
    </row>
    <row r="208" spans="1:1">
      <c r="A208" s="127"/>
    </row>
    <row r="209" spans="1:1">
      <c r="A209" s="127"/>
    </row>
    <row r="210" spans="1:1">
      <c r="A210" s="127"/>
    </row>
    <row r="211" spans="1:1">
      <c r="A211" s="127"/>
    </row>
    <row r="212" spans="1:1">
      <c r="A212" s="127"/>
    </row>
    <row r="213" spans="1:1">
      <c r="A213" s="127"/>
    </row>
    <row r="214" spans="1:1">
      <c r="A214" s="127"/>
    </row>
    <row r="215" spans="1:1">
      <c r="A215" s="127"/>
    </row>
    <row r="216" spans="1:1">
      <c r="A216" s="127"/>
    </row>
    <row r="217" spans="1:1">
      <c r="A217" s="127"/>
    </row>
    <row r="218" spans="1:1">
      <c r="A218" s="127"/>
    </row>
    <row r="219" spans="1:1">
      <c r="A219" s="127"/>
    </row>
    <row r="220" spans="1:1">
      <c r="A220" s="127"/>
    </row>
    <row r="221" spans="1:1">
      <c r="A221" s="127"/>
    </row>
    <row r="222" spans="1:1">
      <c r="A222" s="127"/>
    </row>
    <row r="223" spans="1:1">
      <c r="A223" s="127"/>
    </row>
    <row r="224" spans="1:1">
      <c r="A224" s="127"/>
    </row>
    <row r="225" spans="1:1">
      <c r="A225" s="127"/>
    </row>
    <row r="226" spans="1:1">
      <c r="A226" s="127"/>
    </row>
    <row r="227" spans="1:1">
      <c r="A227" s="127"/>
    </row>
    <row r="228" spans="1:1">
      <c r="A228" s="127"/>
    </row>
    <row r="229" spans="1:1">
      <c r="A229" s="127"/>
    </row>
    <row r="230" spans="1:1">
      <c r="A230" s="127"/>
    </row>
    <row r="231" spans="1:1">
      <c r="A231" s="127"/>
    </row>
    <row r="232" spans="1:1">
      <c r="A232" s="127"/>
    </row>
    <row r="233" spans="1:1">
      <c r="A233" s="127"/>
    </row>
    <row r="234" spans="1:1">
      <c r="A234" s="127"/>
    </row>
    <row r="235" spans="1:1">
      <c r="A235" s="127"/>
    </row>
    <row r="236" spans="1:1">
      <c r="A236" s="127"/>
    </row>
    <row r="237" spans="1:1">
      <c r="A237" s="127"/>
    </row>
    <row r="238" spans="1:1">
      <c r="A238" s="127"/>
    </row>
    <row r="239" spans="1:1">
      <c r="A239" s="127"/>
    </row>
    <row r="240" spans="1:1">
      <c r="A240" s="127"/>
    </row>
    <row r="241" spans="1:1">
      <c r="A241" s="127"/>
    </row>
    <row r="242" spans="1:1">
      <c r="A242" s="127"/>
    </row>
    <row r="243" spans="1:1">
      <c r="A243" s="127"/>
    </row>
    <row r="244" spans="1:1">
      <c r="A244" s="127"/>
    </row>
    <row r="245" spans="1:1">
      <c r="A245" s="127"/>
    </row>
    <row r="246" spans="1:1">
      <c r="A246" s="127"/>
    </row>
    <row r="247" spans="1:1">
      <c r="A247" s="127"/>
    </row>
    <row r="248" spans="1:1">
      <c r="A248" s="127"/>
    </row>
    <row r="249" spans="1:1">
      <c r="A249" s="127"/>
    </row>
    <row r="250" spans="1:1">
      <c r="A250" s="127"/>
    </row>
    <row r="251" spans="1:1">
      <c r="A251" s="127"/>
    </row>
    <row r="252" spans="1:1">
      <c r="A252" s="127"/>
    </row>
    <row r="253" spans="1:1">
      <c r="A253" s="127"/>
    </row>
    <row r="254" spans="1:1">
      <c r="A254" s="127"/>
    </row>
    <row r="255" spans="1:1">
      <c r="A255" s="127"/>
    </row>
    <row r="256" spans="1:1">
      <c r="A256" s="127"/>
    </row>
    <row r="257" spans="1:1">
      <c r="A257" s="127"/>
    </row>
    <row r="258" spans="1:1">
      <c r="A258" s="127"/>
    </row>
    <row r="259" spans="1:1">
      <c r="A259" s="127"/>
    </row>
    <row r="260" spans="1:1">
      <c r="A260" s="127"/>
    </row>
    <row r="261" spans="1:1">
      <c r="A261" s="127"/>
    </row>
    <row r="262" spans="1:1">
      <c r="A262" s="127"/>
    </row>
    <row r="263" spans="1:1">
      <c r="A263" s="127"/>
    </row>
    <row r="264" spans="1:1">
      <c r="A264" s="127"/>
    </row>
    <row r="265" spans="1:1">
      <c r="A265" s="127"/>
    </row>
    <row r="266" spans="1:1">
      <c r="A266" s="127"/>
    </row>
    <row r="267" spans="1:1">
      <c r="A267" s="127"/>
    </row>
    <row r="268" spans="1:1">
      <c r="A268" s="127"/>
    </row>
    <row r="269" spans="1:1">
      <c r="A269" s="127"/>
    </row>
    <row r="270" spans="1:1">
      <c r="A270" s="127"/>
    </row>
    <row r="271" spans="1:1">
      <c r="A271" s="127"/>
    </row>
    <row r="272" spans="1:1">
      <c r="A272" s="127"/>
    </row>
    <row r="273" spans="1:1">
      <c r="A273" s="127"/>
    </row>
    <row r="274" spans="1:1">
      <c r="A274" s="127"/>
    </row>
    <row r="275" spans="1:1">
      <c r="A275" s="127"/>
    </row>
    <row r="276" spans="1:1">
      <c r="A276" s="127"/>
    </row>
    <row r="277" spans="1:1">
      <c r="A277" s="127"/>
    </row>
    <row r="278" spans="1:1">
      <c r="A278" s="127"/>
    </row>
    <row r="279" spans="1:1">
      <c r="A279" s="127"/>
    </row>
    <row r="280" spans="1:1">
      <c r="A280" s="127"/>
    </row>
    <row r="281" spans="1:1">
      <c r="A281" s="127"/>
    </row>
    <row r="282" spans="1:1">
      <c r="A282" s="127"/>
    </row>
    <row r="283" spans="1:1">
      <c r="A283" s="127"/>
    </row>
    <row r="284" spans="1:1">
      <c r="A284" s="127"/>
    </row>
    <row r="285" spans="1:1">
      <c r="A285" s="127"/>
    </row>
    <row r="286" spans="1:1">
      <c r="A286" s="127"/>
    </row>
    <row r="287" spans="1:1">
      <c r="A287" s="127"/>
    </row>
    <row r="288" spans="1:1">
      <c r="A288" s="127"/>
    </row>
    <row r="289" spans="1:1">
      <c r="A289" s="127"/>
    </row>
    <row r="290" spans="1:1">
      <c r="A290" s="127"/>
    </row>
    <row r="291" spans="1:1">
      <c r="A291" s="127"/>
    </row>
    <row r="292" spans="1:1">
      <c r="A292" s="127"/>
    </row>
    <row r="293" spans="1:1">
      <c r="A293" s="127"/>
    </row>
    <row r="294" spans="1:1">
      <c r="A294" s="127"/>
    </row>
    <row r="295" spans="1:1">
      <c r="A295" s="127"/>
    </row>
    <row r="296" spans="1:1">
      <c r="A296" s="127"/>
    </row>
    <row r="297" spans="1:1">
      <c r="A297" s="127"/>
    </row>
    <row r="298" spans="1:1">
      <c r="A298" s="127"/>
    </row>
    <row r="299" spans="1:1">
      <c r="A299" s="127"/>
    </row>
    <row r="300" spans="1:1">
      <c r="A300" s="127"/>
    </row>
    <row r="301" spans="1:1">
      <c r="A301" s="127"/>
    </row>
    <row r="302" spans="1:1">
      <c r="A302" s="127"/>
    </row>
    <row r="303" spans="1:1">
      <c r="A303" s="127"/>
    </row>
    <row r="304" spans="1:1">
      <c r="A304" s="127"/>
    </row>
    <row r="305" spans="1:1">
      <c r="A305" s="127"/>
    </row>
    <row r="306" spans="1:1">
      <c r="A306" s="127"/>
    </row>
    <row r="307" spans="1:1">
      <c r="A307" s="127"/>
    </row>
    <row r="308" spans="1:1">
      <c r="A308" s="127"/>
    </row>
    <row r="309" spans="1:1">
      <c r="A309" s="127"/>
    </row>
    <row r="310" spans="1:1">
      <c r="A310" s="127"/>
    </row>
    <row r="311" spans="1:1">
      <c r="A311" s="127"/>
    </row>
    <row r="312" spans="1:1">
      <c r="A312" s="127"/>
    </row>
    <row r="313" spans="1:1">
      <c r="A313" s="127"/>
    </row>
    <row r="314" spans="1:1">
      <c r="A314" s="127"/>
    </row>
    <row r="315" spans="1:1">
      <c r="A315" s="127"/>
    </row>
    <row r="316" spans="1:1">
      <c r="A316" s="127"/>
    </row>
    <row r="317" spans="1:1">
      <c r="A317" s="127"/>
    </row>
    <row r="318" spans="1:1">
      <c r="A318" s="127"/>
    </row>
    <row r="319" spans="1:1">
      <c r="A319" s="127"/>
    </row>
    <row r="320" spans="1:1">
      <c r="A320" s="127"/>
    </row>
    <row r="321" spans="1:1">
      <c r="A321" s="127"/>
    </row>
    <row r="322" spans="1:1">
      <c r="A322" s="127"/>
    </row>
    <row r="323" spans="1:1">
      <c r="A323" s="127"/>
    </row>
    <row r="324" spans="1:1">
      <c r="A324" s="127"/>
    </row>
    <row r="325" spans="1:1">
      <c r="A325" s="127"/>
    </row>
    <row r="326" spans="1:1">
      <c r="A326" s="127"/>
    </row>
    <row r="327" spans="1:1">
      <c r="A327" s="127"/>
    </row>
    <row r="328" spans="1:1">
      <c r="A328" s="127"/>
    </row>
    <row r="329" spans="1:1">
      <c r="A329" s="127"/>
    </row>
    <row r="330" spans="1:1">
      <c r="A330" s="127"/>
    </row>
    <row r="331" spans="1:1">
      <c r="A331" s="127"/>
    </row>
    <row r="332" spans="1:1">
      <c r="A332" s="127"/>
    </row>
    <row r="333" spans="1:1">
      <c r="A333" s="127"/>
    </row>
    <row r="334" spans="1:1">
      <c r="A334" s="127"/>
    </row>
    <row r="335" spans="1:1">
      <c r="A335" s="127"/>
    </row>
    <row r="336" spans="1:1">
      <c r="A336" s="127"/>
    </row>
    <row r="337" spans="1:1">
      <c r="A337" s="127"/>
    </row>
    <row r="338" spans="1:1">
      <c r="A338" s="127"/>
    </row>
    <row r="339" spans="1:1">
      <c r="A339" s="127"/>
    </row>
    <row r="340" spans="1:1">
      <c r="A340" s="127"/>
    </row>
    <row r="341" spans="1:1">
      <c r="A341" s="127"/>
    </row>
    <row r="342" spans="1:1">
      <c r="A342" s="127"/>
    </row>
    <row r="343" spans="1:1">
      <c r="A343" s="127"/>
    </row>
    <row r="344" spans="1:1">
      <c r="A344" s="127"/>
    </row>
    <row r="345" spans="1:1">
      <c r="A345" s="127"/>
    </row>
    <row r="346" spans="1:1">
      <c r="A346" s="127"/>
    </row>
    <row r="347" spans="1:1">
      <c r="A347" s="127"/>
    </row>
    <row r="348" spans="1:1">
      <c r="A348" s="127"/>
    </row>
    <row r="349" spans="1:1">
      <c r="A349" s="127"/>
    </row>
    <row r="350" spans="1:1">
      <c r="A350" s="127"/>
    </row>
    <row r="351" spans="1:1">
      <c r="A351" s="127"/>
    </row>
    <row r="352" spans="1:1">
      <c r="A352" s="127"/>
    </row>
    <row r="353" spans="1:1">
      <c r="A353" s="127"/>
    </row>
    <row r="354" spans="1:1">
      <c r="A354" s="127"/>
    </row>
    <row r="355" spans="1:1">
      <c r="A355" s="127"/>
    </row>
    <row r="356" spans="1:1">
      <c r="A356" s="127"/>
    </row>
    <row r="357" spans="1:1">
      <c r="A357" s="127"/>
    </row>
    <row r="358" spans="1:1">
      <c r="A358" s="127"/>
    </row>
    <row r="359" spans="1:1">
      <c r="A359" s="127"/>
    </row>
    <row r="360" spans="1:1">
      <c r="A360" s="127"/>
    </row>
    <row r="361" spans="1:1">
      <c r="A361" s="127"/>
    </row>
    <row r="362" spans="1:1">
      <c r="A362" s="127"/>
    </row>
    <row r="363" spans="1:1">
      <c r="A363" s="127"/>
    </row>
    <row r="364" spans="1:1">
      <c r="A364" s="127"/>
    </row>
    <row r="365" spans="1:1">
      <c r="A365" s="127"/>
    </row>
    <row r="366" spans="1:1">
      <c r="A366" s="127"/>
    </row>
    <row r="367" spans="1:1">
      <c r="A367" s="127"/>
    </row>
    <row r="368" spans="1:1">
      <c r="A368" s="127"/>
    </row>
    <row r="369" spans="1:1">
      <c r="A369" s="127"/>
    </row>
    <row r="370" spans="1:1">
      <c r="A370" s="127"/>
    </row>
    <row r="371" spans="1:1">
      <c r="A371" s="127"/>
    </row>
    <row r="372" spans="1:1">
      <c r="A372" s="127"/>
    </row>
    <row r="373" spans="1:1">
      <c r="A373" s="127"/>
    </row>
    <row r="374" spans="1:1">
      <c r="A374" s="127"/>
    </row>
    <row r="375" spans="1:1">
      <c r="A375" s="127"/>
    </row>
    <row r="376" spans="1:1">
      <c r="A376" s="127"/>
    </row>
    <row r="377" spans="1:1">
      <c r="A377" s="127"/>
    </row>
    <row r="378" spans="1:1">
      <c r="A378" s="127"/>
    </row>
    <row r="379" spans="1:1">
      <c r="A379" s="127"/>
    </row>
    <row r="380" spans="1:1">
      <c r="A380" s="127"/>
    </row>
    <row r="381" spans="1:1">
      <c r="A381" s="127"/>
    </row>
    <row r="382" spans="1:1">
      <c r="A382" s="127"/>
    </row>
    <row r="383" spans="1:1">
      <c r="A383" s="127"/>
    </row>
    <row r="384" spans="1:1">
      <c r="A384" s="127"/>
    </row>
    <row r="385" spans="1:1">
      <c r="A385" s="127"/>
    </row>
    <row r="386" spans="1:1">
      <c r="A386" s="127"/>
    </row>
    <row r="387" spans="1:1">
      <c r="A387" s="127"/>
    </row>
    <row r="388" spans="1:1">
      <c r="A388" s="127"/>
    </row>
    <row r="389" spans="1:1">
      <c r="A389" s="127"/>
    </row>
    <row r="390" spans="1:1">
      <c r="A390" s="127"/>
    </row>
    <row r="391" spans="1:1">
      <c r="A391" s="127"/>
    </row>
    <row r="392" spans="1:1">
      <c r="A392" s="127"/>
    </row>
    <row r="393" spans="1:1">
      <c r="A393" s="127"/>
    </row>
    <row r="394" spans="1:1">
      <c r="A394" s="127"/>
    </row>
    <row r="395" spans="1:1">
      <c r="A395" s="127"/>
    </row>
    <row r="396" spans="1:1">
      <c r="A396" s="127"/>
    </row>
    <row r="397" spans="1:1">
      <c r="A397" s="127"/>
    </row>
    <row r="398" spans="1:1">
      <c r="A398" s="127"/>
    </row>
    <row r="399" spans="1:1">
      <c r="A399" s="127"/>
    </row>
    <row r="400" spans="1:1">
      <c r="A400" s="127"/>
    </row>
    <row r="401" spans="1:1">
      <c r="A401" s="127"/>
    </row>
    <row r="402" spans="1:1">
      <c r="A402" s="127"/>
    </row>
    <row r="403" spans="1:1">
      <c r="A403" s="127"/>
    </row>
    <row r="404" spans="1:1">
      <c r="A404" s="127"/>
    </row>
    <row r="405" spans="1:1">
      <c r="A405" s="127"/>
    </row>
    <row r="406" spans="1:1">
      <c r="A406" s="127"/>
    </row>
    <row r="407" spans="1:1">
      <c r="A407" s="127"/>
    </row>
    <row r="408" spans="1:1">
      <c r="A408" s="127"/>
    </row>
    <row r="409" spans="1:1">
      <c r="A409" s="127"/>
    </row>
    <row r="410" spans="1:1">
      <c r="A410" s="127"/>
    </row>
    <row r="411" spans="1:1">
      <c r="A411" s="127"/>
    </row>
    <row r="412" spans="1:1">
      <c r="A412" s="127"/>
    </row>
    <row r="413" spans="1:1">
      <c r="A413" s="127"/>
    </row>
    <row r="414" spans="1:1">
      <c r="A414" s="127"/>
    </row>
    <row r="415" spans="1:1">
      <c r="A415" s="127"/>
    </row>
    <row r="416" spans="1:1">
      <c r="A416" s="127"/>
    </row>
    <row r="417" spans="1:1">
      <c r="A417" s="127"/>
    </row>
    <row r="418" spans="1:1">
      <c r="A418" s="127"/>
    </row>
    <row r="419" spans="1:1">
      <c r="A419" s="127"/>
    </row>
    <row r="420" spans="1:1">
      <c r="A420" s="127"/>
    </row>
    <row r="421" spans="1:1">
      <c r="A421" s="127"/>
    </row>
    <row r="422" spans="1:1">
      <c r="A422" s="127"/>
    </row>
    <row r="423" spans="1:1">
      <c r="A423" s="127"/>
    </row>
    <row r="424" spans="1:1">
      <c r="A424" s="127"/>
    </row>
    <row r="425" spans="1:1">
      <c r="A425" s="127"/>
    </row>
    <row r="426" spans="1:1">
      <c r="A426" s="127"/>
    </row>
    <row r="427" spans="1:1">
      <c r="A427" s="127"/>
    </row>
    <row r="428" spans="1:1">
      <c r="A428" s="127"/>
    </row>
    <row r="429" spans="1:1">
      <c r="A429" s="127"/>
    </row>
    <row r="430" spans="1:1">
      <c r="A430" s="127"/>
    </row>
    <row r="431" spans="1:1">
      <c r="A431" s="127"/>
    </row>
    <row r="432" spans="1:1">
      <c r="A432" s="127"/>
    </row>
    <row r="433" spans="1:1">
      <c r="A433" s="127"/>
    </row>
    <row r="434" spans="1:1">
      <c r="A434" s="127"/>
    </row>
    <row r="435" spans="1:1">
      <c r="A435" s="127"/>
    </row>
    <row r="436" spans="1:1">
      <c r="A436" s="127"/>
    </row>
    <row r="437" spans="1:1">
      <c r="A437" s="127"/>
    </row>
    <row r="438" spans="1:1">
      <c r="A438" s="127"/>
    </row>
    <row r="439" spans="1:1">
      <c r="A439" s="127"/>
    </row>
    <row r="440" spans="1:1">
      <c r="A440" s="127"/>
    </row>
    <row r="441" spans="1:1">
      <c r="A441" s="127"/>
    </row>
    <row r="442" spans="1:1">
      <c r="A442" s="127"/>
    </row>
    <row r="443" spans="1:1">
      <c r="A443" s="127"/>
    </row>
    <row r="444" spans="1:1">
      <c r="A444" s="127"/>
    </row>
    <row r="445" spans="1:1">
      <c r="A445" s="127"/>
    </row>
    <row r="446" spans="1:1">
      <c r="A446" s="127"/>
    </row>
    <row r="447" spans="1:1">
      <c r="A447" s="127"/>
    </row>
    <row r="448" spans="1:1">
      <c r="A448" s="127"/>
    </row>
    <row r="449" spans="1:1">
      <c r="A449" s="127"/>
    </row>
    <row r="450" spans="1:1">
      <c r="A450" s="127"/>
    </row>
    <row r="451" spans="1:1">
      <c r="A451" s="127"/>
    </row>
    <row r="452" spans="1:1">
      <c r="A452" s="127"/>
    </row>
    <row r="453" spans="1:1">
      <c r="A453" s="127"/>
    </row>
    <row r="454" spans="1:1">
      <c r="A454" s="127"/>
    </row>
    <row r="455" spans="1:1">
      <c r="A455" s="127"/>
    </row>
    <row r="456" spans="1:1">
      <c r="A456" s="127"/>
    </row>
    <row r="457" spans="1:1">
      <c r="A457" s="127"/>
    </row>
    <row r="458" spans="1:1">
      <c r="A458" s="127"/>
    </row>
    <row r="459" spans="1:1">
      <c r="A459" s="127"/>
    </row>
    <row r="460" spans="1:1">
      <c r="A460" s="127"/>
    </row>
    <row r="461" spans="1:1">
      <c r="A461" s="127"/>
    </row>
    <row r="462" spans="1:1">
      <c r="A462" s="127"/>
    </row>
    <row r="463" spans="1:1">
      <c r="A463" s="127"/>
    </row>
    <row r="464" spans="1:1">
      <c r="A464" s="127"/>
    </row>
    <row r="465" spans="1:1">
      <c r="A465" s="127"/>
    </row>
    <row r="466" spans="1:1">
      <c r="A466" s="127"/>
    </row>
    <row r="467" spans="1:1">
      <c r="A467" s="127"/>
    </row>
    <row r="468" spans="1:1">
      <c r="A468" s="127"/>
    </row>
    <row r="469" spans="1:1">
      <c r="A469" s="127"/>
    </row>
    <row r="470" spans="1:1">
      <c r="A470" s="127"/>
    </row>
    <row r="471" spans="1:1">
      <c r="A471" s="127"/>
    </row>
    <row r="472" spans="1:1">
      <c r="A472" s="127"/>
    </row>
    <row r="473" spans="1:1">
      <c r="A473" s="127"/>
    </row>
    <row r="474" spans="1:1">
      <c r="A474" s="127"/>
    </row>
    <row r="475" spans="1:1">
      <c r="A475" s="127"/>
    </row>
    <row r="476" spans="1:1">
      <c r="A476" s="127"/>
    </row>
    <row r="477" spans="1:1">
      <c r="A477" s="127"/>
    </row>
    <row r="478" spans="1:1">
      <c r="A478" s="127"/>
    </row>
    <row r="479" spans="1:1">
      <c r="A479" s="127"/>
    </row>
    <row r="480" spans="1:1">
      <c r="A480" s="127"/>
    </row>
    <row r="481" spans="1:1">
      <c r="A481" s="127"/>
    </row>
    <row r="482" spans="1:1">
      <c r="A482" s="127"/>
    </row>
    <row r="483" spans="1:1">
      <c r="A483" s="127"/>
    </row>
    <row r="484" spans="1:1">
      <c r="A484" s="127"/>
    </row>
    <row r="485" spans="1:1">
      <c r="A485" s="127"/>
    </row>
    <row r="486" spans="1:1">
      <c r="A486" s="127"/>
    </row>
    <row r="487" spans="1:1">
      <c r="A487" s="127"/>
    </row>
    <row r="488" spans="1:1">
      <c r="A488" s="127"/>
    </row>
    <row r="489" spans="1:1">
      <c r="A489" s="127"/>
    </row>
    <row r="490" spans="1:1">
      <c r="A490" s="127"/>
    </row>
    <row r="491" spans="1:1">
      <c r="A491" s="127"/>
    </row>
    <row r="492" spans="1:1">
      <c r="A492" s="127"/>
    </row>
    <row r="493" spans="1:1">
      <c r="A493" s="127"/>
    </row>
    <row r="494" spans="1:1">
      <c r="A494" s="127"/>
    </row>
    <row r="495" spans="1:1">
      <c r="A495" s="127"/>
    </row>
    <row r="496" spans="1:1">
      <c r="A496" s="127"/>
    </row>
    <row r="497" spans="1:1">
      <c r="A497" s="127"/>
    </row>
    <row r="498" spans="1:1">
      <c r="A498" s="127"/>
    </row>
    <row r="499" spans="1:1">
      <c r="A499" s="127"/>
    </row>
    <row r="500" spans="1:1">
      <c r="A500" s="127"/>
    </row>
    <row r="501" spans="1:1">
      <c r="A501" s="127"/>
    </row>
    <row r="502" spans="1:1">
      <c r="A502" s="127"/>
    </row>
    <row r="503" spans="1:1">
      <c r="A503" s="127"/>
    </row>
    <row r="504" spans="1:1">
      <c r="A504" s="127"/>
    </row>
    <row r="505" spans="1:1">
      <c r="A505" s="127"/>
    </row>
    <row r="506" spans="1:1">
      <c r="A506" s="127"/>
    </row>
    <row r="507" spans="1:1">
      <c r="A507" s="127"/>
    </row>
    <row r="508" spans="1:1">
      <c r="A508" s="127"/>
    </row>
    <row r="509" spans="1:1">
      <c r="A509" s="127"/>
    </row>
    <row r="510" spans="1:1">
      <c r="A510" s="127"/>
    </row>
    <row r="511" spans="1:1">
      <c r="A511" s="127"/>
    </row>
    <row r="512" spans="1:1">
      <c r="A512" s="127"/>
    </row>
    <row r="513" spans="1:1">
      <c r="A513" s="127"/>
    </row>
    <row r="514" spans="1:1">
      <c r="A514" s="127"/>
    </row>
    <row r="515" spans="1:1">
      <c r="A515" s="127"/>
    </row>
    <row r="516" spans="1:1">
      <c r="A516" s="127"/>
    </row>
    <row r="517" spans="1:1">
      <c r="A517" s="127"/>
    </row>
    <row r="518" spans="1:1">
      <c r="A518" s="127"/>
    </row>
    <row r="519" spans="1:1">
      <c r="A519" s="127"/>
    </row>
    <row r="520" spans="1:1">
      <c r="A520" s="127"/>
    </row>
    <row r="521" spans="1:1">
      <c r="A521" s="127"/>
    </row>
    <row r="522" spans="1:1">
      <c r="A522" s="127"/>
    </row>
    <row r="523" spans="1:1">
      <c r="A523" s="127"/>
    </row>
    <row r="524" spans="1:1">
      <c r="A524" s="127"/>
    </row>
    <row r="525" spans="1:1">
      <c r="A525" s="127"/>
    </row>
    <row r="526" spans="1:1">
      <c r="A526" s="127"/>
    </row>
    <row r="527" spans="1:1">
      <c r="A527" s="127"/>
    </row>
    <row r="528" spans="1:1">
      <c r="A528" s="127"/>
    </row>
    <row r="529" spans="1:1">
      <c r="A529" s="127"/>
    </row>
    <row r="530" spans="1:1">
      <c r="A530" s="127"/>
    </row>
    <row r="531" spans="1:1">
      <c r="A531" s="127"/>
    </row>
    <row r="532" spans="1:1">
      <c r="A532" s="127"/>
    </row>
    <row r="533" spans="1:1">
      <c r="A533" s="127"/>
    </row>
    <row r="534" spans="1:1">
      <c r="A534" s="127"/>
    </row>
    <row r="535" spans="1:1">
      <c r="A535" s="127"/>
    </row>
    <row r="536" spans="1:1">
      <c r="A536" s="127"/>
    </row>
    <row r="537" spans="1:1">
      <c r="A537" s="127"/>
    </row>
    <row r="538" spans="1:1">
      <c r="A538" s="127"/>
    </row>
    <row r="539" spans="1:1">
      <c r="A539" s="127"/>
    </row>
    <row r="540" spans="1:1">
      <c r="A540" s="127"/>
    </row>
    <row r="541" spans="1:1">
      <c r="A541" s="127"/>
    </row>
    <row r="542" spans="1:1">
      <c r="A542" s="127"/>
    </row>
    <row r="543" spans="1:1">
      <c r="A543" s="127"/>
    </row>
    <row r="544" spans="1:1">
      <c r="A544" s="127"/>
    </row>
    <row r="545" spans="1:1">
      <c r="A545" s="127"/>
    </row>
    <row r="546" spans="1:1">
      <c r="A546" s="127"/>
    </row>
    <row r="547" spans="1:1">
      <c r="A547" s="127"/>
    </row>
    <row r="548" spans="1:1">
      <c r="A548" s="127"/>
    </row>
    <row r="549" spans="1:1">
      <c r="A549" s="127"/>
    </row>
    <row r="550" spans="1:1">
      <c r="A550" s="127"/>
    </row>
    <row r="551" spans="1:1">
      <c r="A551" s="127"/>
    </row>
    <row r="552" spans="1:1">
      <c r="A552" s="127"/>
    </row>
    <row r="553" spans="1:1">
      <c r="A553" s="127"/>
    </row>
    <row r="554" spans="1:1">
      <c r="A554" s="127"/>
    </row>
    <row r="555" spans="1:1">
      <c r="A555" s="127"/>
    </row>
    <row r="556" spans="1:1">
      <c r="A556" s="127"/>
    </row>
    <row r="557" spans="1:1">
      <c r="A557" s="127"/>
    </row>
    <row r="558" spans="1:1">
      <c r="A558" s="127"/>
    </row>
    <row r="559" spans="1:1">
      <c r="A559" s="127"/>
    </row>
    <row r="560" spans="1:1">
      <c r="A560" s="127"/>
    </row>
    <row r="561" spans="1:1">
      <c r="A561" s="127"/>
    </row>
    <row r="562" spans="1:1">
      <c r="A562" s="127"/>
    </row>
    <row r="563" spans="1:1">
      <c r="A563" s="127"/>
    </row>
    <row r="564" spans="1:1">
      <c r="A564" s="127"/>
    </row>
    <row r="565" spans="1:1">
      <c r="A565" s="127"/>
    </row>
    <row r="566" spans="1:1">
      <c r="A566" s="127"/>
    </row>
    <row r="567" spans="1:1">
      <c r="A567" s="127"/>
    </row>
    <row r="568" spans="1:1">
      <c r="A568" s="127"/>
    </row>
    <row r="569" spans="1:1">
      <c r="A569" s="127"/>
    </row>
    <row r="570" spans="1:1">
      <c r="A570" s="127"/>
    </row>
    <row r="571" spans="1:1">
      <c r="A571" s="127"/>
    </row>
    <row r="572" spans="1:1">
      <c r="A572" s="127"/>
    </row>
    <row r="573" spans="1:1">
      <c r="A573" s="127"/>
    </row>
    <row r="574" spans="1:1">
      <c r="A574" s="127"/>
    </row>
    <row r="575" spans="1:1">
      <c r="A575" s="127"/>
    </row>
    <row r="576" spans="1:1">
      <c r="A576" s="127"/>
    </row>
    <row r="577" spans="1:24">
      <c r="A577" s="127"/>
    </row>
    <row r="578" spans="1:24">
      <c r="A578" s="127"/>
    </row>
    <row r="579" spans="1:24">
      <c r="A579" s="127"/>
    </row>
    <row r="580" spans="1:24">
      <c r="A580" s="127"/>
    </row>
    <row r="581" spans="1:24">
      <c r="A581" s="127"/>
    </row>
    <row r="582" spans="1:24">
      <c r="A582" s="172"/>
      <c r="B582" s="173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</row>
    <row r="583" spans="1:24">
      <c r="A583" s="172"/>
      <c r="B583" s="173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</row>
    <row r="584" spans="1:24">
      <c r="A584" s="172"/>
      <c r="B584" s="173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</row>
    <row r="585" spans="1:24">
      <c r="A585" s="172"/>
      <c r="B585" s="173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</row>
    <row r="586" spans="1:24">
      <c r="A586" s="172"/>
      <c r="B586" s="173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</row>
    <row r="587" spans="1:24">
      <c r="A587" s="172"/>
      <c r="B587" s="173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</row>
    <row r="588" spans="1:24">
      <c r="A588" s="172"/>
      <c r="B588" s="173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</row>
    <row r="589" spans="1:24">
      <c r="A589" s="172"/>
      <c r="B589" s="173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</row>
    <row r="590" spans="1:24">
      <c r="A590" s="172"/>
      <c r="B590" s="173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</row>
    <row r="591" spans="1:24">
      <c r="A591" s="172"/>
      <c r="B591" s="173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</row>
    <row r="592" spans="1:24">
      <c r="A592" s="172"/>
      <c r="B592" s="173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</row>
    <row r="593" spans="1:24">
      <c r="A593" s="172"/>
      <c r="B593" s="173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</row>
    <row r="594" spans="1:24">
      <c r="A594" s="172"/>
      <c r="B594" s="173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</row>
    <row r="595" spans="1:24">
      <c r="A595" s="172"/>
      <c r="B595" s="173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</row>
    <row r="596" spans="1:24">
      <c r="A596" s="172"/>
      <c r="B596" s="173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</row>
    <row r="597" spans="1:24">
      <c r="A597" s="172"/>
    </row>
  </sheetData>
  <phoneticPr fontId="0" type="noConversion"/>
  <printOptions horizontalCentered="1" verticalCentered="1"/>
  <pageMargins left="8.1944444000000005E-2" right="0.164583333" top="0.25" bottom="0.25" header="0.5" footer="0.5"/>
  <pageSetup paperSize="5" scale="43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97"/>
  <sheetViews>
    <sheetView showGridLines="0" showOutlineSymbols="0" zoomScale="60" workbookViewId="0">
      <pane xSplit="2" ySplit="13" topLeftCell="C23" activePane="bottomRight" state="frozen"/>
      <selection pane="topRight" activeCell="C1" sqref="C1"/>
      <selection pane="bottomLeft" activeCell="A14" sqref="A14"/>
      <selection pane="bottomRight" activeCell="G31" sqref="G31"/>
    </sheetView>
  </sheetViews>
  <sheetFormatPr defaultColWidth="13.7109375" defaultRowHeight="15.75"/>
  <cols>
    <col min="1" max="1" width="4.7109375" style="179" customWidth="1"/>
    <col min="2" max="2" width="12.28515625" style="744" customWidth="1"/>
    <col min="3" max="3" width="20.7109375" style="292" customWidth="1"/>
    <col min="4" max="4" width="17" style="203" customWidth="1"/>
    <col min="5" max="5" width="19.7109375" style="134" customWidth="1"/>
    <col min="6" max="6" width="13.7109375" style="134" customWidth="1"/>
    <col min="7" max="7" width="17.5703125" style="134" customWidth="1"/>
    <col min="8" max="9" width="13.7109375" style="134" customWidth="1"/>
    <col min="10" max="10" width="21.85546875" style="134" customWidth="1"/>
    <col min="11" max="16384" width="13.7109375" style="134"/>
  </cols>
  <sheetData>
    <row r="1" spans="1:11" ht="15" customHeight="1">
      <c r="A1" s="174"/>
      <c r="B1" s="738"/>
      <c r="D1" s="746" t="s">
        <v>374</v>
      </c>
      <c r="E1" s="747">
        <f>'Summary-Invoice'!A2</f>
        <v>37165</v>
      </c>
    </row>
    <row r="2" spans="1:11" ht="17.25" customHeight="1">
      <c r="A2" s="174"/>
      <c r="B2" s="739"/>
    </row>
    <row r="3" spans="1:11" ht="22.5" customHeight="1">
      <c r="A3" s="174"/>
      <c r="B3" s="738"/>
      <c r="F3" s="748"/>
      <c r="G3" s="751" t="s">
        <v>375</v>
      </c>
    </row>
    <row r="4" spans="1:11" ht="22.5" customHeight="1">
      <c r="A4" s="174"/>
      <c r="B4" s="738"/>
      <c r="F4" s="749" t="s">
        <v>355</v>
      </c>
      <c r="G4" s="752">
        <f>VLOOKUP(E1,'Tier Schedule'!$A$10:$J$37,2)</f>
        <v>15771</v>
      </c>
      <c r="J4" s="134" t="s">
        <v>380</v>
      </c>
      <c r="K4" s="134">
        <f>G4+G5</f>
        <v>18028.430096017761</v>
      </c>
    </row>
    <row r="5" spans="1:11">
      <c r="A5" s="174"/>
      <c r="B5" s="740"/>
      <c r="F5" s="749" t="s">
        <v>213</v>
      </c>
      <c r="G5" s="752">
        <f>VLOOKUP(E1,'Tier Schedule'!$A$10:$J$37,4)</f>
        <v>2257.4300960177607</v>
      </c>
      <c r="J5" s="134" t="s">
        <v>381</v>
      </c>
      <c r="K5" s="134">
        <f>G6-G5+G4+G5</f>
        <v>128582</v>
      </c>
    </row>
    <row r="6" spans="1:11">
      <c r="A6" s="174"/>
      <c r="B6" s="740"/>
      <c r="F6" s="749" t="s">
        <v>214</v>
      </c>
      <c r="G6" s="752">
        <f>VLOOKUP(E1,'Tier Schedule'!$A$10:$J$37,6)</f>
        <v>112811</v>
      </c>
    </row>
    <row r="7" spans="1:11">
      <c r="A7" s="174"/>
      <c r="B7" s="740"/>
      <c r="C7" s="736"/>
      <c r="F7" s="750" t="s">
        <v>184</v>
      </c>
      <c r="G7" s="753">
        <f>VLOOKUP(E1,'Tier Schedule'!$A$10:$J$37,8)</f>
        <v>147657.24177295648</v>
      </c>
    </row>
    <row r="8" spans="1:11" ht="17.100000000000001" customHeight="1">
      <c r="A8" s="174"/>
      <c r="B8" s="740"/>
      <c r="C8" s="737"/>
    </row>
    <row r="9" spans="1:11" ht="17.100000000000001" customHeight="1">
      <c r="A9" s="174"/>
      <c r="B9" s="740"/>
    </row>
    <row r="10" spans="1:11" ht="17.100000000000001" customHeight="1">
      <c r="A10" s="174"/>
      <c r="B10" s="740"/>
    </row>
    <row r="11" spans="1:11" ht="17.100000000000001" customHeight="1">
      <c r="A11" s="174"/>
      <c r="B11" s="740"/>
    </row>
    <row r="12" spans="1:11" ht="16.5" customHeight="1">
      <c r="A12" s="174"/>
      <c r="B12" s="740"/>
      <c r="D12" s="754" t="s">
        <v>58</v>
      </c>
      <c r="E12" s="754" t="s">
        <v>58</v>
      </c>
      <c r="F12" s="760">
        <f>G5</f>
        <v>2257.4300960177607</v>
      </c>
      <c r="G12" s="760">
        <f>G6-G5</f>
        <v>110553.56990398224</v>
      </c>
      <c r="H12" s="760">
        <f>G7-G6</f>
        <v>34846.241772956477</v>
      </c>
      <c r="I12" s="761" t="s">
        <v>379</v>
      </c>
    </row>
    <row r="13" spans="1:11" ht="19.5" customHeight="1">
      <c r="A13" s="174"/>
      <c r="B13" s="741"/>
      <c r="C13" s="755" t="s">
        <v>151</v>
      </c>
      <c r="D13" s="757" t="s">
        <v>377</v>
      </c>
      <c r="E13" s="758" t="s">
        <v>378</v>
      </c>
      <c r="F13" s="758" t="s">
        <v>213</v>
      </c>
      <c r="G13" s="758" t="s">
        <v>214</v>
      </c>
      <c r="H13" s="759" t="s">
        <v>184</v>
      </c>
      <c r="I13" s="194"/>
      <c r="J13" s="765" t="s">
        <v>382</v>
      </c>
    </row>
    <row r="14" spans="1:11" ht="12.95" customHeight="1">
      <c r="A14" s="174"/>
      <c r="B14" s="740"/>
      <c r="D14" s="292"/>
      <c r="E14" s="292"/>
      <c r="F14" s="292"/>
      <c r="G14" s="292"/>
      <c r="H14" s="292"/>
    </row>
    <row r="15" spans="1:11" ht="17.100000000000001" customHeight="1">
      <c r="A15" s="734"/>
      <c r="B15" s="742">
        <f>'VNG Sheet'!B15</f>
        <v>37165</v>
      </c>
      <c r="C15" s="291">
        <f>'VNG Sheet'!AQ15</f>
        <v>32964.65</v>
      </c>
      <c r="D15" s="756">
        <f>$G$4</f>
        <v>15771</v>
      </c>
      <c r="E15" s="756">
        <f>IF(C15&lt;$G$4,$G$4-C15,0)</f>
        <v>0</v>
      </c>
      <c r="F15" s="756">
        <f>IF(E15=0,IF((C15-D15)&lt;=$G$5,C15-D15,$G$5),0)</f>
        <v>2257.4300960177607</v>
      </c>
      <c r="G15" s="756">
        <f>IF(F15&gt;0,IF((C15-D15-F15)&gt;$G$12,$G$12,(C15-D15-F15)),0)</f>
        <v>14936.219903982241</v>
      </c>
      <c r="H15" s="756">
        <f>IF(C15-$K$5&gt;0,C15-$K$5,0)</f>
        <v>0</v>
      </c>
      <c r="I15" s="378">
        <f>D15-E15+F15+G15+H15</f>
        <v>32964.65</v>
      </c>
      <c r="J15" s="134" t="b">
        <f>C15=I15</f>
        <v>1</v>
      </c>
    </row>
    <row r="16" spans="1:11" ht="17.100000000000001" customHeight="1">
      <c r="A16" s="734"/>
      <c r="B16" s="742">
        <f t="shared" ref="B16:B44" si="0">B15+1</f>
        <v>37166</v>
      </c>
      <c r="C16" s="291">
        <f>'VNG Sheet'!AQ16</f>
        <v>23672.65</v>
      </c>
      <c r="D16" s="756">
        <f>D15</f>
        <v>15771</v>
      </c>
      <c r="E16" s="756">
        <f t="shared" ref="E16:E44" si="1">IF(C16&lt;$G$4,$G$4-C16,0)</f>
        <v>0</v>
      </c>
      <c r="F16" s="756">
        <f t="shared" ref="F16:F44" si="2">IF(E16=0,IF((C16-D16)&lt;=$G$5,C16-D16,$G$5),0)</f>
        <v>2257.4300960177607</v>
      </c>
      <c r="G16" s="756">
        <f t="shared" ref="G16:G44" si="3">IF(F16&gt;0,IF((C16-D16-F16)&gt;$G$12,$G$12,(C16-D16-F16)),0)</f>
        <v>5644.2199039822408</v>
      </c>
      <c r="H16" s="756">
        <f t="shared" ref="H16:H44" si="4">IF(C16-$K$5&gt;0,C16-$K$5,0)</f>
        <v>0</v>
      </c>
      <c r="I16" s="378">
        <f t="shared" ref="I16:I44" si="5">D16-E16+F16+G16+H16</f>
        <v>23672.65</v>
      </c>
      <c r="J16" s="134" t="b">
        <f t="shared" ref="J16:J44" si="6">C16=I16</f>
        <v>1</v>
      </c>
    </row>
    <row r="17" spans="1:10" ht="17.100000000000001" customHeight="1">
      <c r="A17" s="734"/>
      <c r="B17" s="742">
        <f t="shared" si="0"/>
        <v>37167</v>
      </c>
      <c r="C17" s="291">
        <f>'VNG Sheet'!AQ17</f>
        <v>23215.65</v>
      </c>
      <c r="D17" s="756">
        <f t="shared" ref="D17:D44" si="7">D16</f>
        <v>15771</v>
      </c>
      <c r="E17" s="756">
        <f t="shared" si="1"/>
        <v>0</v>
      </c>
      <c r="F17" s="756">
        <f t="shared" si="2"/>
        <v>2257.4300960177607</v>
      </c>
      <c r="G17" s="756">
        <f t="shared" si="3"/>
        <v>5187.2199039822408</v>
      </c>
      <c r="H17" s="756">
        <f t="shared" si="4"/>
        <v>0</v>
      </c>
      <c r="I17" s="378">
        <f t="shared" si="5"/>
        <v>23215.65</v>
      </c>
      <c r="J17" s="134" t="b">
        <f t="shared" si="6"/>
        <v>1</v>
      </c>
    </row>
    <row r="18" spans="1:10" ht="17.100000000000001" customHeight="1">
      <c r="A18" s="734"/>
      <c r="B18" s="742">
        <f t="shared" si="0"/>
        <v>37168</v>
      </c>
      <c r="C18" s="291">
        <f>'VNG Sheet'!AQ18</f>
        <v>24945.65</v>
      </c>
      <c r="D18" s="756">
        <f t="shared" si="7"/>
        <v>15771</v>
      </c>
      <c r="E18" s="756">
        <f t="shared" si="1"/>
        <v>0</v>
      </c>
      <c r="F18" s="756">
        <f t="shared" si="2"/>
        <v>2257.4300960177607</v>
      </c>
      <c r="G18" s="756">
        <f t="shared" si="3"/>
        <v>6917.2199039822408</v>
      </c>
      <c r="H18" s="756">
        <f t="shared" si="4"/>
        <v>0</v>
      </c>
      <c r="I18" s="378">
        <f>D18-E18+F18+G18+H18</f>
        <v>24945.65</v>
      </c>
      <c r="J18" s="134" t="b">
        <f t="shared" si="6"/>
        <v>1</v>
      </c>
    </row>
    <row r="19" spans="1:10" ht="17.100000000000001" customHeight="1">
      <c r="A19" s="734"/>
      <c r="B19" s="742">
        <f t="shared" si="0"/>
        <v>37169</v>
      </c>
      <c r="C19" s="291">
        <f>'VNG Sheet'!AQ19</f>
        <v>24387.65</v>
      </c>
      <c r="D19" s="756">
        <f t="shared" si="7"/>
        <v>15771</v>
      </c>
      <c r="E19" s="756">
        <f t="shared" si="1"/>
        <v>0</v>
      </c>
      <c r="F19" s="756">
        <f t="shared" si="2"/>
        <v>2257.4300960177607</v>
      </c>
      <c r="G19" s="756">
        <f t="shared" si="3"/>
        <v>6359.2199039822408</v>
      </c>
      <c r="H19" s="756">
        <f t="shared" si="4"/>
        <v>0</v>
      </c>
      <c r="I19" s="378">
        <f t="shared" si="5"/>
        <v>24387.65</v>
      </c>
      <c r="J19" s="134" t="b">
        <f t="shared" si="6"/>
        <v>1</v>
      </c>
    </row>
    <row r="20" spans="1:10" ht="17.100000000000001" customHeight="1">
      <c r="A20" s="734"/>
      <c r="B20" s="742">
        <f t="shared" si="0"/>
        <v>37170</v>
      </c>
      <c r="C20" s="291">
        <f>'VNG Sheet'!AQ20</f>
        <v>32700.65</v>
      </c>
      <c r="D20" s="756">
        <f t="shared" si="7"/>
        <v>15771</v>
      </c>
      <c r="E20" s="756">
        <f t="shared" si="1"/>
        <v>0</v>
      </c>
      <c r="F20" s="756">
        <f t="shared" si="2"/>
        <v>2257.4300960177607</v>
      </c>
      <c r="G20" s="756">
        <f t="shared" si="3"/>
        <v>14672.219903982241</v>
      </c>
      <c r="H20" s="756">
        <f t="shared" si="4"/>
        <v>0</v>
      </c>
      <c r="I20" s="378">
        <f t="shared" si="5"/>
        <v>32700.65</v>
      </c>
      <c r="J20" s="134" t="b">
        <f t="shared" si="6"/>
        <v>1</v>
      </c>
    </row>
    <row r="21" spans="1:10" ht="17.100000000000001" customHeight="1">
      <c r="A21" s="734"/>
      <c r="B21" s="742">
        <f t="shared" si="0"/>
        <v>37171</v>
      </c>
      <c r="C21" s="291">
        <f>'VNG Sheet'!AQ21</f>
        <v>43803.65</v>
      </c>
      <c r="D21" s="756">
        <f t="shared" si="7"/>
        <v>15771</v>
      </c>
      <c r="E21" s="756">
        <f t="shared" si="1"/>
        <v>0</v>
      </c>
      <c r="F21" s="756">
        <f t="shared" si="2"/>
        <v>2257.4300960177607</v>
      </c>
      <c r="G21" s="756">
        <f t="shared" si="3"/>
        <v>25775.219903982241</v>
      </c>
      <c r="H21" s="756">
        <f t="shared" si="4"/>
        <v>0</v>
      </c>
      <c r="I21" s="378">
        <f t="shared" si="5"/>
        <v>43803.65</v>
      </c>
      <c r="J21" s="134" t="b">
        <f t="shared" si="6"/>
        <v>1</v>
      </c>
    </row>
    <row r="22" spans="1:10" ht="17.100000000000001" customHeight="1">
      <c r="A22" s="734"/>
      <c r="B22" s="742">
        <f t="shared" si="0"/>
        <v>37172</v>
      </c>
      <c r="C22" s="291">
        <f>'VNG Sheet'!AQ22</f>
        <v>69186.649999999994</v>
      </c>
      <c r="D22" s="756">
        <f t="shared" si="7"/>
        <v>15771</v>
      </c>
      <c r="E22" s="756">
        <f t="shared" si="1"/>
        <v>0</v>
      </c>
      <c r="F22" s="756">
        <f t="shared" si="2"/>
        <v>2257.4300960177607</v>
      </c>
      <c r="G22" s="756">
        <f t="shared" si="3"/>
        <v>51158.21990398223</v>
      </c>
      <c r="H22" s="756">
        <f t="shared" si="4"/>
        <v>0</v>
      </c>
      <c r="I22" s="378">
        <f t="shared" si="5"/>
        <v>69186.649999999994</v>
      </c>
      <c r="J22" s="134" t="b">
        <f t="shared" si="6"/>
        <v>1</v>
      </c>
    </row>
    <row r="23" spans="1:10" ht="17.100000000000001" customHeight="1">
      <c r="A23" s="734"/>
      <c r="B23" s="742">
        <f t="shared" si="0"/>
        <v>37173</v>
      </c>
      <c r="C23" s="291">
        <f>'VNG Sheet'!AQ23</f>
        <v>60487.649999999994</v>
      </c>
      <c r="D23" s="756">
        <f t="shared" si="7"/>
        <v>15771</v>
      </c>
      <c r="E23" s="756">
        <f t="shared" si="1"/>
        <v>0</v>
      </c>
      <c r="F23" s="756">
        <f t="shared" si="2"/>
        <v>2257.4300960177607</v>
      </c>
      <c r="G23" s="756">
        <f t="shared" si="3"/>
        <v>42459.21990398223</v>
      </c>
      <c r="H23" s="756">
        <f t="shared" si="4"/>
        <v>0</v>
      </c>
      <c r="I23" s="378">
        <f t="shared" si="5"/>
        <v>60487.649999999994</v>
      </c>
      <c r="J23" s="134" t="b">
        <f t="shared" si="6"/>
        <v>1</v>
      </c>
    </row>
    <row r="24" spans="1:10" ht="17.100000000000001" customHeight="1">
      <c r="A24" s="734"/>
      <c r="B24" s="742">
        <f t="shared" si="0"/>
        <v>37174</v>
      </c>
      <c r="C24" s="291">
        <f>'VNG Sheet'!AQ24</f>
        <v>32020.65</v>
      </c>
      <c r="D24" s="756">
        <f t="shared" si="7"/>
        <v>15771</v>
      </c>
      <c r="E24" s="756">
        <f t="shared" si="1"/>
        <v>0</v>
      </c>
      <c r="F24" s="756">
        <f t="shared" si="2"/>
        <v>2257.4300960177607</v>
      </c>
      <c r="G24" s="756">
        <f t="shared" si="3"/>
        <v>13992.219903982241</v>
      </c>
      <c r="H24" s="756">
        <f t="shared" si="4"/>
        <v>0</v>
      </c>
      <c r="I24" s="378">
        <f t="shared" si="5"/>
        <v>32020.65</v>
      </c>
      <c r="J24" s="134" t="b">
        <f t="shared" si="6"/>
        <v>1</v>
      </c>
    </row>
    <row r="25" spans="1:10" ht="17.100000000000001" customHeight="1">
      <c r="A25" s="734"/>
      <c r="B25" s="742">
        <f t="shared" si="0"/>
        <v>37175</v>
      </c>
      <c r="C25" s="291">
        <f>'VNG Sheet'!AQ25</f>
        <v>30988.65</v>
      </c>
      <c r="D25" s="756">
        <f t="shared" si="7"/>
        <v>15771</v>
      </c>
      <c r="E25" s="756">
        <f t="shared" si="1"/>
        <v>0</v>
      </c>
      <c r="F25" s="756">
        <f t="shared" si="2"/>
        <v>2257.4300960177607</v>
      </c>
      <c r="G25" s="756">
        <f t="shared" si="3"/>
        <v>12960.219903982241</v>
      </c>
      <c r="H25" s="756">
        <f t="shared" si="4"/>
        <v>0</v>
      </c>
      <c r="I25" s="378">
        <f t="shared" si="5"/>
        <v>30988.65</v>
      </c>
      <c r="J25" s="134" t="b">
        <f t="shared" si="6"/>
        <v>1</v>
      </c>
    </row>
    <row r="26" spans="1:10" ht="17.100000000000001" customHeight="1">
      <c r="A26" s="734"/>
      <c r="B26" s="742">
        <f t="shared" si="0"/>
        <v>37176</v>
      </c>
      <c r="C26" s="291">
        <f>'VNG Sheet'!AQ26</f>
        <v>23795.65</v>
      </c>
      <c r="D26" s="756">
        <f t="shared" si="7"/>
        <v>15771</v>
      </c>
      <c r="E26" s="756">
        <f t="shared" si="1"/>
        <v>0</v>
      </c>
      <c r="F26" s="756">
        <f t="shared" si="2"/>
        <v>2257.4300960177607</v>
      </c>
      <c r="G26" s="756">
        <f t="shared" si="3"/>
        <v>5767.2199039822408</v>
      </c>
      <c r="H26" s="756">
        <f t="shared" si="4"/>
        <v>0</v>
      </c>
      <c r="I26" s="378">
        <f t="shared" si="5"/>
        <v>23795.65</v>
      </c>
      <c r="J26" s="134" t="b">
        <f t="shared" si="6"/>
        <v>1</v>
      </c>
    </row>
    <row r="27" spans="1:10" ht="17.100000000000001" customHeight="1">
      <c r="A27" s="174"/>
      <c r="B27" s="742">
        <f t="shared" si="0"/>
        <v>37177</v>
      </c>
      <c r="C27" s="291">
        <f>'VNG Sheet'!AQ27</f>
        <v>24189.65</v>
      </c>
      <c r="D27" s="756">
        <f t="shared" si="7"/>
        <v>15771</v>
      </c>
      <c r="E27" s="756">
        <f t="shared" si="1"/>
        <v>0</v>
      </c>
      <c r="F27" s="756">
        <f t="shared" si="2"/>
        <v>2257.4300960177607</v>
      </c>
      <c r="G27" s="756">
        <f t="shared" si="3"/>
        <v>6161.2199039822408</v>
      </c>
      <c r="H27" s="756">
        <f t="shared" si="4"/>
        <v>0</v>
      </c>
      <c r="I27" s="378">
        <f t="shared" si="5"/>
        <v>24189.65</v>
      </c>
      <c r="J27" s="134" t="b">
        <f t="shared" si="6"/>
        <v>1</v>
      </c>
    </row>
    <row r="28" spans="1:10" ht="17.100000000000001" customHeight="1">
      <c r="A28" s="174"/>
      <c r="B28" s="742">
        <f t="shared" si="0"/>
        <v>37178</v>
      </c>
      <c r="C28" s="291">
        <f>'VNG Sheet'!AQ28</f>
        <v>25770.65</v>
      </c>
      <c r="D28" s="756">
        <f t="shared" si="7"/>
        <v>15771</v>
      </c>
      <c r="E28" s="756">
        <f t="shared" si="1"/>
        <v>0</v>
      </c>
      <c r="F28" s="756">
        <f t="shared" si="2"/>
        <v>2257.4300960177607</v>
      </c>
      <c r="G28" s="756">
        <f t="shared" si="3"/>
        <v>7742.2199039822408</v>
      </c>
      <c r="H28" s="756">
        <f t="shared" si="4"/>
        <v>0</v>
      </c>
      <c r="I28" s="378">
        <f t="shared" si="5"/>
        <v>25770.65</v>
      </c>
      <c r="J28" s="134" t="b">
        <f t="shared" si="6"/>
        <v>1</v>
      </c>
    </row>
    <row r="29" spans="1:10" ht="17.100000000000001" customHeight="1">
      <c r="A29" s="174"/>
      <c r="B29" s="742">
        <f t="shared" si="0"/>
        <v>37179</v>
      </c>
      <c r="C29" s="291">
        <f>'VNG Sheet'!AQ29</f>
        <v>30749.65</v>
      </c>
      <c r="D29" s="756">
        <f t="shared" si="7"/>
        <v>15771</v>
      </c>
      <c r="E29" s="756">
        <f t="shared" si="1"/>
        <v>0</v>
      </c>
      <c r="F29" s="756">
        <f t="shared" si="2"/>
        <v>2257.4300960177607</v>
      </c>
      <c r="G29" s="756">
        <f t="shared" si="3"/>
        <v>12721.219903982241</v>
      </c>
      <c r="H29" s="756">
        <f t="shared" si="4"/>
        <v>0</v>
      </c>
      <c r="I29" s="378">
        <f t="shared" si="5"/>
        <v>30749.65</v>
      </c>
      <c r="J29" s="134" t="b">
        <f t="shared" si="6"/>
        <v>1</v>
      </c>
    </row>
    <row r="30" spans="1:10" ht="17.100000000000001" customHeight="1">
      <c r="A30" s="174"/>
      <c r="B30" s="742">
        <f t="shared" si="0"/>
        <v>37180</v>
      </c>
      <c r="C30" s="291">
        <f>'VNG Sheet'!AQ30</f>
        <v>34507.65</v>
      </c>
      <c r="D30" s="756">
        <f t="shared" si="7"/>
        <v>15771</v>
      </c>
      <c r="E30" s="756">
        <f t="shared" si="1"/>
        <v>0</v>
      </c>
      <c r="F30" s="756">
        <f t="shared" si="2"/>
        <v>2257.4300960177607</v>
      </c>
      <c r="G30" s="756">
        <f t="shared" si="3"/>
        <v>16479.219903982241</v>
      </c>
      <c r="H30" s="756">
        <f t="shared" si="4"/>
        <v>0</v>
      </c>
      <c r="I30" s="378">
        <f t="shared" si="5"/>
        <v>34507.65</v>
      </c>
      <c r="J30" s="134" t="b">
        <f t="shared" si="6"/>
        <v>1</v>
      </c>
    </row>
    <row r="31" spans="1:10" ht="17.100000000000001" customHeight="1">
      <c r="A31" s="174"/>
      <c r="B31" s="742">
        <f t="shared" si="0"/>
        <v>37181</v>
      </c>
      <c r="C31" s="291">
        <f>'VNG Sheet'!AQ31</f>
        <v>60077.649999999994</v>
      </c>
      <c r="D31" s="756">
        <f t="shared" si="7"/>
        <v>15771</v>
      </c>
      <c r="E31" s="756">
        <f t="shared" si="1"/>
        <v>0</v>
      </c>
      <c r="F31" s="756">
        <f t="shared" si="2"/>
        <v>2257.4300960177607</v>
      </c>
      <c r="G31" s="756">
        <f t="shared" si="3"/>
        <v>42049.21990398223</v>
      </c>
      <c r="H31" s="756">
        <f t="shared" si="4"/>
        <v>0</v>
      </c>
      <c r="I31" s="378">
        <f t="shared" si="5"/>
        <v>60077.649999999994</v>
      </c>
      <c r="J31" s="134" t="b">
        <f t="shared" si="6"/>
        <v>1</v>
      </c>
    </row>
    <row r="32" spans="1:10" ht="17.100000000000001" customHeight="1">
      <c r="A32" s="174"/>
      <c r="B32" s="742">
        <f t="shared" si="0"/>
        <v>37182</v>
      </c>
      <c r="C32" s="291">
        <f>'VNG Sheet'!AQ32</f>
        <v>77413.649999999994</v>
      </c>
      <c r="D32" s="756">
        <f t="shared" si="7"/>
        <v>15771</v>
      </c>
      <c r="E32" s="756">
        <f t="shared" si="1"/>
        <v>0</v>
      </c>
      <c r="F32" s="756">
        <f t="shared" si="2"/>
        <v>2257.4300960177607</v>
      </c>
      <c r="G32" s="756">
        <f t="shared" si="3"/>
        <v>59385.21990398223</v>
      </c>
      <c r="H32" s="756">
        <f t="shared" si="4"/>
        <v>0</v>
      </c>
      <c r="I32" s="378">
        <f t="shared" si="5"/>
        <v>77413.649999999994</v>
      </c>
      <c r="J32" s="134" t="b">
        <f t="shared" si="6"/>
        <v>1</v>
      </c>
    </row>
    <row r="33" spans="1:10" ht="17.100000000000001" customHeight="1">
      <c r="A33" s="174"/>
      <c r="B33" s="742">
        <f t="shared" si="0"/>
        <v>37183</v>
      </c>
      <c r="C33" s="291">
        <f>'VNG Sheet'!AQ33</f>
        <v>45776.649999999994</v>
      </c>
      <c r="D33" s="756">
        <f t="shared" si="7"/>
        <v>15771</v>
      </c>
      <c r="E33" s="756">
        <f t="shared" si="1"/>
        <v>0</v>
      </c>
      <c r="F33" s="756">
        <f t="shared" si="2"/>
        <v>2257.4300960177607</v>
      </c>
      <c r="G33" s="756">
        <f t="shared" si="3"/>
        <v>27748.219903982234</v>
      </c>
      <c r="H33" s="756">
        <f t="shared" si="4"/>
        <v>0</v>
      </c>
      <c r="I33" s="378">
        <f t="shared" si="5"/>
        <v>45776.649999999994</v>
      </c>
      <c r="J33" s="134" t="b">
        <f t="shared" si="6"/>
        <v>1</v>
      </c>
    </row>
    <row r="34" spans="1:10" ht="17.100000000000001" customHeight="1">
      <c r="A34" s="174"/>
      <c r="B34" s="742">
        <f t="shared" si="0"/>
        <v>37184</v>
      </c>
      <c r="C34" s="291">
        <f>'VNG Sheet'!AQ34</f>
        <v>33840.649999999994</v>
      </c>
      <c r="D34" s="756">
        <f t="shared" si="7"/>
        <v>15771</v>
      </c>
      <c r="E34" s="756">
        <f t="shared" si="1"/>
        <v>0</v>
      </c>
      <c r="F34" s="756">
        <f t="shared" si="2"/>
        <v>2257.4300960177607</v>
      </c>
      <c r="G34" s="756">
        <f t="shared" si="3"/>
        <v>15812.219903982234</v>
      </c>
      <c r="H34" s="756">
        <f t="shared" si="4"/>
        <v>0</v>
      </c>
      <c r="I34" s="378">
        <f t="shared" si="5"/>
        <v>33840.649999999994</v>
      </c>
      <c r="J34" s="134" t="b">
        <f t="shared" si="6"/>
        <v>1</v>
      </c>
    </row>
    <row r="35" spans="1:10" ht="17.100000000000001" customHeight="1">
      <c r="A35" s="174"/>
      <c r="B35" s="742">
        <f t="shared" si="0"/>
        <v>37185</v>
      </c>
      <c r="C35" s="291">
        <f>'VNG Sheet'!AQ35</f>
        <v>24472.65</v>
      </c>
      <c r="D35" s="756">
        <f t="shared" si="7"/>
        <v>15771</v>
      </c>
      <c r="E35" s="756">
        <f t="shared" si="1"/>
        <v>0</v>
      </c>
      <c r="F35" s="756">
        <f t="shared" si="2"/>
        <v>2257.4300960177607</v>
      </c>
      <c r="G35" s="756">
        <f t="shared" si="3"/>
        <v>6444.2199039822408</v>
      </c>
      <c r="H35" s="756">
        <f t="shared" si="4"/>
        <v>0</v>
      </c>
      <c r="I35" s="378">
        <f t="shared" si="5"/>
        <v>24472.65</v>
      </c>
      <c r="J35" s="134" t="b">
        <f t="shared" si="6"/>
        <v>1</v>
      </c>
    </row>
    <row r="36" spans="1:10" ht="17.100000000000001" customHeight="1">
      <c r="A36" s="174"/>
      <c r="B36" s="742">
        <f t="shared" si="0"/>
        <v>37186</v>
      </c>
      <c r="C36" s="291">
        <f>'VNG Sheet'!AQ36</f>
        <v>28508.65</v>
      </c>
      <c r="D36" s="756">
        <f t="shared" si="7"/>
        <v>15771</v>
      </c>
      <c r="E36" s="756">
        <f t="shared" si="1"/>
        <v>0</v>
      </c>
      <c r="F36" s="756">
        <f t="shared" si="2"/>
        <v>2257.4300960177607</v>
      </c>
      <c r="G36" s="756">
        <f t="shared" si="3"/>
        <v>10480.219903982241</v>
      </c>
      <c r="H36" s="756">
        <f t="shared" si="4"/>
        <v>0</v>
      </c>
      <c r="I36" s="378">
        <f t="shared" si="5"/>
        <v>28508.65</v>
      </c>
      <c r="J36" s="134" t="b">
        <f t="shared" si="6"/>
        <v>1</v>
      </c>
    </row>
    <row r="37" spans="1:10" ht="17.100000000000001" customHeight="1">
      <c r="A37" s="174"/>
      <c r="B37" s="742">
        <f t="shared" si="0"/>
        <v>37187</v>
      </c>
      <c r="C37" s="291">
        <f>'VNG Sheet'!AQ37</f>
        <v>26603.65</v>
      </c>
      <c r="D37" s="756">
        <f t="shared" si="7"/>
        <v>15771</v>
      </c>
      <c r="E37" s="756">
        <f t="shared" si="1"/>
        <v>0</v>
      </c>
      <c r="F37" s="756">
        <f t="shared" si="2"/>
        <v>2257.4300960177607</v>
      </c>
      <c r="G37" s="756">
        <f t="shared" si="3"/>
        <v>8575.2199039822408</v>
      </c>
      <c r="H37" s="756">
        <f t="shared" si="4"/>
        <v>0</v>
      </c>
      <c r="I37" s="378">
        <f t="shared" si="5"/>
        <v>26603.65</v>
      </c>
      <c r="J37" s="134" t="b">
        <f t="shared" si="6"/>
        <v>1</v>
      </c>
    </row>
    <row r="38" spans="1:10" ht="17.100000000000001" customHeight="1">
      <c r="A38" s="174"/>
      <c r="B38" s="742">
        <f t="shared" si="0"/>
        <v>37188</v>
      </c>
      <c r="C38" s="291">
        <f>'VNG Sheet'!AQ38</f>
        <v>25198.65</v>
      </c>
      <c r="D38" s="756">
        <f t="shared" si="7"/>
        <v>15771</v>
      </c>
      <c r="E38" s="756">
        <f t="shared" si="1"/>
        <v>0</v>
      </c>
      <c r="F38" s="756">
        <f t="shared" si="2"/>
        <v>2257.4300960177607</v>
      </c>
      <c r="G38" s="756">
        <f t="shared" si="3"/>
        <v>7170.2199039822408</v>
      </c>
      <c r="H38" s="756">
        <f t="shared" si="4"/>
        <v>0</v>
      </c>
      <c r="I38" s="378">
        <f t="shared" si="5"/>
        <v>25198.65</v>
      </c>
      <c r="J38" s="134" t="b">
        <f t="shared" si="6"/>
        <v>1</v>
      </c>
    </row>
    <row r="39" spans="1:10" ht="17.100000000000001" customHeight="1">
      <c r="A39" s="174"/>
      <c r="B39" s="742">
        <f t="shared" si="0"/>
        <v>37189</v>
      </c>
      <c r="C39" s="291">
        <f>'VNG Sheet'!AQ39</f>
        <v>28666.65</v>
      </c>
      <c r="D39" s="756">
        <f t="shared" si="7"/>
        <v>15771</v>
      </c>
      <c r="E39" s="756">
        <f t="shared" si="1"/>
        <v>0</v>
      </c>
      <c r="F39" s="756">
        <f t="shared" si="2"/>
        <v>2257.4300960177607</v>
      </c>
      <c r="G39" s="756">
        <f t="shared" si="3"/>
        <v>10638.219903982241</v>
      </c>
      <c r="H39" s="756">
        <f t="shared" si="4"/>
        <v>0</v>
      </c>
      <c r="I39" s="378">
        <f t="shared" si="5"/>
        <v>28666.65</v>
      </c>
      <c r="J39" s="134" t="b">
        <f t="shared" si="6"/>
        <v>1</v>
      </c>
    </row>
    <row r="40" spans="1:10" ht="17.100000000000001" customHeight="1">
      <c r="A40" s="174"/>
      <c r="B40" s="742">
        <f t="shared" si="0"/>
        <v>37190</v>
      </c>
      <c r="C40" s="291">
        <f>'VNG Sheet'!AQ40</f>
        <v>67799.649999999994</v>
      </c>
      <c r="D40" s="756">
        <f t="shared" si="7"/>
        <v>15771</v>
      </c>
      <c r="E40" s="756">
        <f t="shared" si="1"/>
        <v>0</v>
      </c>
      <c r="F40" s="756">
        <f t="shared" si="2"/>
        <v>2257.4300960177607</v>
      </c>
      <c r="G40" s="756">
        <f t="shared" si="3"/>
        <v>49771.21990398223</v>
      </c>
      <c r="H40" s="756">
        <f t="shared" si="4"/>
        <v>0</v>
      </c>
      <c r="I40" s="378">
        <f t="shared" si="5"/>
        <v>67799.649999999994</v>
      </c>
      <c r="J40" s="134" t="b">
        <f t="shared" si="6"/>
        <v>1</v>
      </c>
    </row>
    <row r="41" spans="1:10" ht="17.100000000000001" customHeight="1">
      <c r="A41" s="174"/>
      <c r="B41" s="742">
        <f t="shared" si="0"/>
        <v>37191</v>
      </c>
      <c r="C41" s="291">
        <f>'VNG Sheet'!AQ41</f>
        <v>92388.65</v>
      </c>
      <c r="D41" s="756">
        <f t="shared" si="7"/>
        <v>15771</v>
      </c>
      <c r="E41" s="756">
        <f t="shared" si="1"/>
        <v>0</v>
      </c>
      <c r="F41" s="756">
        <f t="shared" si="2"/>
        <v>2257.4300960177607</v>
      </c>
      <c r="G41" s="756">
        <f t="shared" si="3"/>
        <v>74360.21990398223</v>
      </c>
      <c r="H41" s="756">
        <f t="shared" si="4"/>
        <v>0</v>
      </c>
      <c r="I41" s="378">
        <f t="shared" si="5"/>
        <v>92388.65</v>
      </c>
      <c r="J41" s="134" t="b">
        <f t="shared" si="6"/>
        <v>1</v>
      </c>
    </row>
    <row r="42" spans="1:10" ht="17.100000000000001" customHeight="1">
      <c r="A42" s="174"/>
      <c r="B42" s="742">
        <f t="shared" si="0"/>
        <v>37192</v>
      </c>
      <c r="C42" s="291">
        <f>'VNG Sheet'!AQ42</f>
        <v>97509.65</v>
      </c>
      <c r="D42" s="756">
        <f t="shared" si="7"/>
        <v>15771</v>
      </c>
      <c r="E42" s="756">
        <f t="shared" si="1"/>
        <v>0</v>
      </c>
      <c r="F42" s="756">
        <f t="shared" si="2"/>
        <v>2257.4300960177607</v>
      </c>
      <c r="G42" s="756">
        <f t="shared" si="3"/>
        <v>79481.21990398223</v>
      </c>
      <c r="H42" s="756">
        <f t="shared" si="4"/>
        <v>0</v>
      </c>
      <c r="I42" s="378">
        <f t="shared" si="5"/>
        <v>97509.65</v>
      </c>
      <c r="J42" s="134" t="b">
        <f t="shared" si="6"/>
        <v>1</v>
      </c>
    </row>
    <row r="43" spans="1:10" ht="17.100000000000001" customHeight="1">
      <c r="A43" s="174"/>
      <c r="B43" s="742">
        <f t="shared" si="0"/>
        <v>37193</v>
      </c>
      <c r="C43" s="291">
        <f>'VNG Sheet'!AQ43</f>
        <v>91032.65</v>
      </c>
      <c r="D43" s="756">
        <f t="shared" si="7"/>
        <v>15771</v>
      </c>
      <c r="E43" s="756">
        <f t="shared" si="1"/>
        <v>0</v>
      </c>
      <c r="F43" s="756">
        <f t="shared" si="2"/>
        <v>2257.4300960177607</v>
      </c>
      <c r="G43" s="756">
        <f t="shared" si="3"/>
        <v>73004.21990398223</v>
      </c>
      <c r="H43" s="756">
        <f t="shared" si="4"/>
        <v>0</v>
      </c>
      <c r="I43" s="378">
        <f t="shared" si="5"/>
        <v>91032.65</v>
      </c>
      <c r="J43" s="134" t="b">
        <f t="shared" si="6"/>
        <v>1</v>
      </c>
    </row>
    <row r="44" spans="1:10" ht="17.100000000000001" customHeight="1">
      <c r="A44" s="174"/>
      <c r="B44" s="742">
        <f t="shared" si="0"/>
        <v>37194</v>
      </c>
      <c r="C44" s="291">
        <f>'VNG Sheet'!AQ44</f>
        <v>64529.649999999994</v>
      </c>
      <c r="D44" s="756">
        <f t="shared" si="7"/>
        <v>15771</v>
      </c>
      <c r="E44" s="756">
        <f t="shared" si="1"/>
        <v>0</v>
      </c>
      <c r="F44" s="756">
        <f t="shared" si="2"/>
        <v>2257.4300960177607</v>
      </c>
      <c r="G44" s="756">
        <f t="shared" si="3"/>
        <v>46501.21990398223</v>
      </c>
      <c r="H44" s="756">
        <f t="shared" si="4"/>
        <v>0</v>
      </c>
      <c r="I44" s="378">
        <f t="shared" si="5"/>
        <v>64529.649999999994</v>
      </c>
      <c r="J44" s="134" t="b">
        <f t="shared" si="6"/>
        <v>1</v>
      </c>
    </row>
    <row r="45" spans="1:10" ht="17.100000000000001" customHeight="1">
      <c r="A45" s="174"/>
      <c r="B45" s="742">
        <f>B44+1</f>
        <v>37195</v>
      </c>
      <c r="C45" s="291">
        <f>'VNG Sheet'!AQ45</f>
        <v>23905.649999999994</v>
      </c>
      <c r="D45" s="756">
        <f>D44</f>
        <v>15771</v>
      </c>
      <c r="E45" s="756">
        <f>IF(C45&lt;$G$4,$G$4-C45,0)</f>
        <v>0</v>
      </c>
      <c r="F45" s="756">
        <f>IF(E45=0,IF((C45-D45)&lt;=$G$5,C45-D45,$G$5),0)</f>
        <v>2257.4300960177607</v>
      </c>
      <c r="G45" s="756">
        <f>IF(F45&gt;0,IF((C45-D45-F45)&gt;$G$12,$G$12,(C45-D45-F45)),0)</f>
        <v>5877.2199039822335</v>
      </c>
      <c r="H45" s="756">
        <f>IF(C45-$K$5&gt;0,C45-$K$5,0)</f>
        <v>0</v>
      </c>
      <c r="I45" s="378">
        <f>D45-E45+F45+G45+H45</f>
        <v>23905.649999999994</v>
      </c>
      <c r="J45" s="134" t="b">
        <f>C45=I45</f>
        <v>1</v>
      </c>
    </row>
    <row r="46" spans="1:10" ht="15" customHeight="1">
      <c r="A46" s="174"/>
      <c r="B46" s="740"/>
      <c r="F46" s="198"/>
      <c r="G46" s="179"/>
    </row>
    <row r="47" spans="1:10" ht="12.95" customHeight="1">
      <c r="A47" s="174"/>
      <c r="B47" s="740"/>
      <c r="F47" s="198"/>
      <c r="G47" s="179"/>
    </row>
    <row r="48" spans="1:10" ht="12.95" customHeight="1">
      <c r="A48" s="174"/>
      <c r="B48" s="762" t="s">
        <v>114</v>
      </c>
      <c r="C48" s="763">
        <f>SUM(C15:C45)</f>
        <v>1325112.1500000001</v>
      </c>
      <c r="D48" s="763">
        <f t="shared" ref="D48:I48" si="8">SUM(D15:D45)</f>
        <v>488901</v>
      </c>
      <c r="E48" s="763">
        <f t="shared" si="8"/>
        <v>0</v>
      </c>
      <c r="F48" s="763">
        <f t="shared" si="8"/>
        <v>69980.332976550635</v>
      </c>
      <c r="G48" s="763">
        <f t="shared" si="8"/>
        <v>766230.81702344946</v>
      </c>
      <c r="H48" s="763">
        <f t="shared" si="8"/>
        <v>0</v>
      </c>
      <c r="I48" s="764">
        <f t="shared" si="8"/>
        <v>1325112.1500000001</v>
      </c>
    </row>
    <row r="49" spans="1:7" ht="12.95" customHeight="1">
      <c r="A49" s="174"/>
      <c r="B49" s="740"/>
      <c r="F49" s="198"/>
      <c r="G49" s="179"/>
    </row>
    <row r="50" spans="1:7">
      <c r="A50" s="174"/>
      <c r="B50" s="740"/>
      <c r="F50" s="198"/>
      <c r="G50" s="179"/>
    </row>
    <row r="51" spans="1:7" s="179" customFormat="1">
      <c r="A51" s="174"/>
      <c r="B51" s="740"/>
      <c r="C51" s="292"/>
      <c r="D51" s="292"/>
      <c r="F51" s="198"/>
    </row>
    <row r="52" spans="1:7" s="179" customFormat="1">
      <c r="A52" s="174"/>
      <c r="B52" s="740"/>
      <c r="C52" s="292"/>
      <c r="D52" s="292"/>
      <c r="F52" s="198"/>
    </row>
    <row r="53" spans="1:7" s="179" customFormat="1">
      <c r="A53" s="174"/>
      <c r="B53" s="740"/>
      <c r="C53" s="292"/>
      <c r="D53" s="292"/>
    </row>
    <row r="54" spans="1:7" s="179" customFormat="1">
      <c r="A54" s="174"/>
      <c r="B54" s="740"/>
      <c r="C54" s="292"/>
      <c r="D54" s="292"/>
    </row>
    <row r="55" spans="1:7" s="179" customFormat="1">
      <c r="A55" s="174"/>
      <c r="B55" s="740"/>
      <c r="C55" s="292"/>
      <c r="D55" s="292"/>
    </row>
    <row r="56" spans="1:7" s="179" customFormat="1">
      <c r="A56" s="174"/>
      <c r="B56" s="740"/>
      <c r="C56" s="292"/>
      <c r="D56" s="292"/>
    </row>
    <row r="57" spans="1:7" s="179" customFormat="1">
      <c r="A57" s="174"/>
      <c r="B57" s="743"/>
      <c r="C57" s="292"/>
      <c r="D57" s="292"/>
    </row>
    <row r="58" spans="1:7" s="179" customFormat="1">
      <c r="A58" s="174"/>
      <c r="B58" s="743"/>
      <c r="C58" s="292"/>
      <c r="D58" s="292"/>
    </row>
    <row r="59" spans="1:7" s="179" customFormat="1">
      <c r="A59" s="174"/>
      <c r="B59" s="743"/>
      <c r="C59" s="292"/>
      <c r="D59" s="292"/>
    </row>
    <row r="60" spans="1:7" s="179" customFormat="1">
      <c r="A60" s="174"/>
      <c r="B60" s="743"/>
      <c r="C60" s="292"/>
      <c r="D60" s="292"/>
    </row>
    <row r="61" spans="1:7" s="179" customFormat="1">
      <c r="A61" s="174"/>
      <c r="B61" s="743"/>
      <c r="C61" s="292"/>
      <c r="D61" s="292"/>
    </row>
    <row r="62" spans="1:7" s="179" customFormat="1">
      <c r="A62" s="174"/>
      <c r="B62" s="743"/>
      <c r="C62" s="292"/>
      <c r="D62" s="292"/>
    </row>
    <row r="63" spans="1:7" s="179" customFormat="1">
      <c r="A63" s="174"/>
      <c r="B63" s="743"/>
      <c r="C63" s="292"/>
      <c r="D63" s="292"/>
    </row>
    <row r="64" spans="1:7" s="179" customFormat="1">
      <c r="A64" s="174"/>
      <c r="B64" s="743"/>
      <c r="C64" s="292"/>
      <c r="D64" s="292"/>
    </row>
    <row r="65" spans="1:4" s="179" customFormat="1">
      <c r="A65" s="174"/>
      <c r="B65" s="743"/>
      <c r="C65" s="292"/>
      <c r="D65" s="292"/>
    </row>
    <row r="66" spans="1:4" s="179" customFormat="1">
      <c r="A66" s="174"/>
      <c r="B66" s="743"/>
      <c r="C66" s="292"/>
      <c r="D66" s="292"/>
    </row>
    <row r="67" spans="1:4" s="179" customFormat="1">
      <c r="A67" s="174"/>
      <c r="B67" s="743"/>
      <c r="C67" s="292"/>
      <c r="D67" s="292"/>
    </row>
    <row r="68" spans="1:4" s="179" customFormat="1">
      <c r="A68" s="174"/>
      <c r="B68" s="743"/>
      <c r="C68" s="292"/>
      <c r="D68" s="292"/>
    </row>
    <row r="69" spans="1:4" s="179" customFormat="1">
      <c r="A69" s="174"/>
      <c r="B69" s="743"/>
      <c r="C69" s="292"/>
      <c r="D69" s="292"/>
    </row>
    <row r="70" spans="1:4" s="179" customFormat="1">
      <c r="A70" s="174"/>
      <c r="B70" s="743"/>
      <c r="C70" s="292"/>
      <c r="D70" s="292"/>
    </row>
    <row r="71" spans="1:4" s="179" customFormat="1">
      <c r="A71" s="174"/>
      <c r="B71" s="743"/>
      <c r="C71" s="292"/>
      <c r="D71" s="292"/>
    </row>
    <row r="72" spans="1:4" s="179" customFormat="1">
      <c r="A72" s="174"/>
      <c r="B72" s="743"/>
      <c r="C72" s="292"/>
      <c r="D72" s="292"/>
    </row>
    <row r="73" spans="1:4" s="179" customFormat="1">
      <c r="A73" s="174"/>
      <c r="B73" s="743"/>
      <c r="C73" s="292"/>
      <c r="D73" s="292"/>
    </row>
    <row r="74" spans="1:4" s="179" customFormat="1">
      <c r="A74" s="174"/>
      <c r="B74" s="743"/>
      <c r="C74" s="292"/>
      <c r="D74" s="292"/>
    </row>
    <row r="75" spans="1:4" s="179" customFormat="1">
      <c r="A75" s="174"/>
      <c r="B75" s="743"/>
      <c r="C75" s="292"/>
      <c r="D75" s="292"/>
    </row>
    <row r="76" spans="1:4" s="179" customFormat="1">
      <c r="A76" s="174"/>
      <c r="B76" s="743"/>
      <c r="C76" s="292"/>
      <c r="D76" s="292"/>
    </row>
    <row r="77" spans="1:4" s="179" customFormat="1">
      <c r="A77" s="174"/>
      <c r="B77" s="743"/>
      <c r="C77" s="292"/>
      <c r="D77" s="292"/>
    </row>
    <row r="78" spans="1:4" s="179" customFormat="1">
      <c r="A78" s="174"/>
      <c r="B78" s="743"/>
      <c r="C78" s="292"/>
      <c r="D78" s="292"/>
    </row>
    <row r="79" spans="1:4" s="179" customFormat="1">
      <c r="A79" s="174"/>
      <c r="B79" s="743"/>
      <c r="C79" s="292"/>
      <c r="D79" s="292"/>
    </row>
    <row r="80" spans="1:4" s="179" customFormat="1">
      <c r="A80" s="174"/>
      <c r="B80" s="743"/>
      <c r="C80" s="292"/>
      <c r="D80" s="292"/>
    </row>
    <row r="81" spans="1:4" s="179" customFormat="1">
      <c r="A81" s="174"/>
      <c r="B81" s="743"/>
      <c r="C81" s="292"/>
      <c r="D81" s="292"/>
    </row>
    <row r="82" spans="1:4" s="179" customFormat="1">
      <c r="A82" s="174"/>
      <c r="B82" s="743"/>
      <c r="C82" s="292"/>
      <c r="D82" s="292"/>
    </row>
    <row r="83" spans="1:4" s="179" customFormat="1">
      <c r="A83" s="174"/>
      <c r="B83" s="743"/>
      <c r="C83" s="292"/>
      <c r="D83" s="292"/>
    </row>
    <row r="84" spans="1:4">
      <c r="A84" s="174"/>
      <c r="B84" s="743"/>
    </row>
    <row r="85" spans="1:4">
      <c r="A85" s="174"/>
      <c r="B85" s="743"/>
    </row>
    <row r="86" spans="1:4">
      <c r="A86" s="174"/>
      <c r="B86" s="743"/>
    </row>
    <row r="87" spans="1:4">
      <c r="A87" s="174"/>
      <c r="B87" s="743"/>
    </row>
    <row r="88" spans="1:4">
      <c r="A88" s="174"/>
      <c r="B88" s="743"/>
    </row>
    <row r="89" spans="1:4">
      <c r="A89" s="174"/>
      <c r="B89" s="743"/>
    </row>
    <row r="90" spans="1:4">
      <c r="A90" s="174"/>
      <c r="B90" s="743"/>
    </row>
    <row r="91" spans="1:4">
      <c r="A91" s="174"/>
      <c r="B91" s="743"/>
    </row>
    <row r="92" spans="1:4">
      <c r="A92" s="174"/>
      <c r="B92" s="743"/>
    </row>
    <row r="93" spans="1:4">
      <c r="A93" s="174"/>
      <c r="B93" s="743"/>
    </row>
    <row r="94" spans="1:4">
      <c r="A94" s="174"/>
      <c r="B94" s="743"/>
    </row>
    <row r="95" spans="1:4">
      <c r="A95" s="174"/>
      <c r="B95" s="743"/>
    </row>
    <row r="96" spans="1:4">
      <c r="A96" s="174"/>
      <c r="B96" s="743"/>
    </row>
    <row r="97" spans="1:2">
      <c r="A97" s="174"/>
      <c r="B97" s="743"/>
    </row>
    <row r="98" spans="1:2">
      <c r="A98" s="174"/>
      <c r="B98" s="743"/>
    </row>
    <row r="99" spans="1:2">
      <c r="A99" s="174"/>
      <c r="B99" s="743"/>
    </row>
    <row r="100" spans="1:2">
      <c r="A100" s="174"/>
      <c r="B100" s="743"/>
    </row>
    <row r="101" spans="1:2">
      <c r="A101" s="174"/>
      <c r="B101" s="743"/>
    </row>
    <row r="102" spans="1:2">
      <c r="A102" s="174"/>
      <c r="B102" s="743"/>
    </row>
    <row r="103" spans="1:2">
      <c r="A103" s="174"/>
      <c r="B103" s="743"/>
    </row>
    <row r="104" spans="1:2">
      <c r="A104" s="174"/>
      <c r="B104" s="743"/>
    </row>
    <row r="105" spans="1:2">
      <c r="A105" s="174"/>
      <c r="B105" s="743"/>
    </row>
    <row r="106" spans="1:2">
      <c r="A106" s="174"/>
      <c r="B106" s="743"/>
    </row>
    <row r="107" spans="1:2">
      <c r="A107" s="174"/>
      <c r="B107" s="743"/>
    </row>
    <row r="108" spans="1:2">
      <c r="A108" s="174"/>
      <c r="B108" s="743"/>
    </row>
    <row r="109" spans="1:2">
      <c r="A109" s="174"/>
      <c r="B109" s="743"/>
    </row>
    <row r="110" spans="1:2">
      <c r="A110" s="174"/>
      <c r="B110" s="743"/>
    </row>
    <row r="111" spans="1:2">
      <c r="A111" s="174"/>
      <c r="B111" s="743"/>
    </row>
    <row r="112" spans="1:2">
      <c r="A112" s="174"/>
      <c r="B112" s="743"/>
    </row>
    <row r="113" spans="1:2">
      <c r="A113" s="174"/>
      <c r="B113" s="743"/>
    </row>
    <row r="114" spans="1:2">
      <c r="A114" s="174"/>
      <c r="B114" s="743"/>
    </row>
    <row r="115" spans="1:2">
      <c r="A115" s="174"/>
      <c r="B115" s="743"/>
    </row>
    <row r="116" spans="1:2">
      <c r="A116" s="174"/>
      <c r="B116" s="743"/>
    </row>
    <row r="117" spans="1:2">
      <c r="A117" s="174"/>
      <c r="B117" s="743"/>
    </row>
    <row r="118" spans="1:2">
      <c r="A118" s="174"/>
      <c r="B118" s="743"/>
    </row>
    <row r="119" spans="1:2">
      <c r="A119" s="174"/>
      <c r="B119" s="743"/>
    </row>
    <row r="120" spans="1:2">
      <c r="A120" s="174"/>
      <c r="B120" s="743"/>
    </row>
    <row r="121" spans="1:2">
      <c r="A121" s="174"/>
      <c r="B121" s="743"/>
    </row>
    <row r="122" spans="1:2">
      <c r="A122" s="174"/>
      <c r="B122" s="743"/>
    </row>
    <row r="123" spans="1:2">
      <c r="A123" s="174"/>
      <c r="B123" s="743"/>
    </row>
    <row r="124" spans="1:2">
      <c r="A124" s="174"/>
      <c r="B124" s="743"/>
    </row>
    <row r="125" spans="1:2">
      <c r="A125" s="174"/>
      <c r="B125" s="743"/>
    </row>
    <row r="126" spans="1:2">
      <c r="A126" s="174"/>
      <c r="B126" s="743"/>
    </row>
    <row r="127" spans="1:2">
      <c r="A127" s="174"/>
    </row>
    <row r="128" spans="1:2">
      <c r="A128" s="174"/>
    </row>
    <row r="129" spans="1:1">
      <c r="A129" s="174"/>
    </row>
    <row r="130" spans="1:1">
      <c r="A130" s="174"/>
    </row>
    <row r="131" spans="1:1">
      <c r="A131" s="174"/>
    </row>
    <row r="132" spans="1:1">
      <c r="A132" s="174"/>
    </row>
    <row r="133" spans="1:1">
      <c r="A133" s="174"/>
    </row>
    <row r="134" spans="1:1">
      <c r="A134" s="174"/>
    </row>
    <row r="135" spans="1:1">
      <c r="A135" s="174"/>
    </row>
    <row r="136" spans="1:1">
      <c r="A136" s="174"/>
    </row>
    <row r="137" spans="1:1">
      <c r="A137" s="174"/>
    </row>
    <row r="138" spans="1:1">
      <c r="A138" s="174"/>
    </row>
    <row r="139" spans="1:1">
      <c r="A139" s="174"/>
    </row>
    <row r="140" spans="1:1">
      <c r="A140" s="174"/>
    </row>
    <row r="141" spans="1:1">
      <c r="A141" s="174"/>
    </row>
    <row r="142" spans="1:1">
      <c r="A142" s="174"/>
    </row>
    <row r="143" spans="1:1">
      <c r="A143" s="174"/>
    </row>
    <row r="144" spans="1:1">
      <c r="A144" s="174"/>
    </row>
    <row r="145" spans="1:1">
      <c r="A145" s="174"/>
    </row>
    <row r="146" spans="1:1">
      <c r="A146" s="174"/>
    </row>
    <row r="147" spans="1:1">
      <c r="A147" s="174"/>
    </row>
    <row r="148" spans="1:1">
      <c r="A148" s="174"/>
    </row>
    <row r="149" spans="1:1">
      <c r="A149" s="174"/>
    </row>
    <row r="150" spans="1:1">
      <c r="A150" s="174"/>
    </row>
    <row r="151" spans="1:1">
      <c r="A151" s="174"/>
    </row>
    <row r="152" spans="1:1">
      <c r="A152" s="174"/>
    </row>
    <row r="153" spans="1:1">
      <c r="A153" s="174"/>
    </row>
    <row r="154" spans="1:1">
      <c r="A154" s="174"/>
    </row>
    <row r="155" spans="1:1">
      <c r="A155" s="174"/>
    </row>
    <row r="156" spans="1:1">
      <c r="A156" s="174"/>
    </row>
    <row r="157" spans="1:1">
      <c r="A157" s="174"/>
    </row>
    <row r="158" spans="1:1">
      <c r="A158" s="174"/>
    </row>
    <row r="159" spans="1:1">
      <c r="A159" s="174"/>
    </row>
    <row r="160" spans="1:1">
      <c r="A160" s="174"/>
    </row>
    <row r="161" spans="1:1">
      <c r="A161" s="174"/>
    </row>
    <row r="162" spans="1:1">
      <c r="A162" s="174"/>
    </row>
    <row r="163" spans="1:1">
      <c r="A163" s="174"/>
    </row>
    <row r="164" spans="1:1">
      <c r="A164" s="174"/>
    </row>
    <row r="165" spans="1:1">
      <c r="A165" s="174"/>
    </row>
    <row r="166" spans="1:1">
      <c r="A166" s="174"/>
    </row>
    <row r="167" spans="1:1">
      <c r="A167" s="174"/>
    </row>
    <row r="168" spans="1:1">
      <c r="A168" s="174"/>
    </row>
    <row r="169" spans="1:1">
      <c r="A169" s="174"/>
    </row>
    <row r="170" spans="1:1">
      <c r="A170" s="174"/>
    </row>
    <row r="171" spans="1:1">
      <c r="A171" s="174"/>
    </row>
    <row r="172" spans="1:1">
      <c r="A172" s="174"/>
    </row>
    <row r="173" spans="1:1">
      <c r="A173" s="174"/>
    </row>
    <row r="174" spans="1:1">
      <c r="A174" s="174"/>
    </row>
    <row r="175" spans="1:1">
      <c r="A175" s="174"/>
    </row>
    <row r="176" spans="1:1">
      <c r="A176" s="174"/>
    </row>
    <row r="177" spans="1:1">
      <c r="A177" s="174"/>
    </row>
    <row r="178" spans="1:1">
      <c r="A178" s="174"/>
    </row>
    <row r="179" spans="1:1">
      <c r="A179" s="174"/>
    </row>
    <row r="180" spans="1:1">
      <c r="A180" s="174"/>
    </row>
    <row r="181" spans="1:1">
      <c r="A181" s="174"/>
    </row>
    <row r="182" spans="1:1">
      <c r="A182" s="174"/>
    </row>
    <row r="183" spans="1:1">
      <c r="A183" s="174"/>
    </row>
    <row r="184" spans="1:1">
      <c r="A184" s="174"/>
    </row>
    <row r="185" spans="1:1">
      <c r="A185" s="174"/>
    </row>
    <row r="186" spans="1:1">
      <c r="A186" s="174"/>
    </row>
    <row r="187" spans="1:1">
      <c r="A187" s="174"/>
    </row>
    <row r="188" spans="1:1">
      <c r="A188" s="174"/>
    </row>
    <row r="189" spans="1:1">
      <c r="A189" s="174"/>
    </row>
    <row r="190" spans="1:1">
      <c r="A190" s="174"/>
    </row>
    <row r="191" spans="1:1">
      <c r="A191" s="174"/>
    </row>
    <row r="192" spans="1:1">
      <c r="A192" s="174"/>
    </row>
    <row r="193" spans="1:1">
      <c r="A193" s="174"/>
    </row>
    <row r="194" spans="1:1">
      <c r="A194" s="174"/>
    </row>
    <row r="195" spans="1:1">
      <c r="A195" s="174"/>
    </row>
    <row r="196" spans="1:1">
      <c r="A196" s="174"/>
    </row>
    <row r="197" spans="1:1">
      <c r="A197" s="174"/>
    </row>
    <row r="198" spans="1:1">
      <c r="A198" s="174"/>
    </row>
    <row r="199" spans="1:1">
      <c r="A199" s="174"/>
    </row>
    <row r="200" spans="1:1">
      <c r="A200" s="174"/>
    </row>
    <row r="201" spans="1:1">
      <c r="A201" s="174"/>
    </row>
    <row r="202" spans="1:1">
      <c r="A202" s="174"/>
    </row>
    <row r="203" spans="1:1">
      <c r="A203" s="174"/>
    </row>
    <row r="204" spans="1:1">
      <c r="A204" s="174"/>
    </row>
    <row r="205" spans="1:1">
      <c r="A205" s="174"/>
    </row>
    <row r="206" spans="1:1">
      <c r="A206" s="174"/>
    </row>
    <row r="207" spans="1:1">
      <c r="A207" s="174"/>
    </row>
    <row r="208" spans="1:1">
      <c r="A208" s="174"/>
    </row>
    <row r="209" spans="1:1">
      <c r="A209" s="174"/>
    </row>
    <row r="210" spans="1:1">
      <c r="A210" s="174"/>
    </row>
    <row r="211" spans="1:1">
      <c r="A211" s="174"/>
    </row>
    <row r="212" spans="1:1">
      <c r="A212" s="174"/>
    </row>
    <row r="213" spans="1:1">
      <c r="A213" s="174"/>
    </row>
    <row r="214" spans="1:1">
      <c r="A214" s="174"/>
    </row>
    <row r="215" spans="1:1">
      <c r="A215" s="174"/>
    </row>
    <row r="216" spans="1:1">
      <c r="A216" s="174"/>
    </row>
    <row r="217" spans="1:1">
      <c r="A217" s="174"/>
    </row>
    <row r="218" spans="1:1">
      <c r="A218" s="174"/>
    </row>
    <row r="219" spans="1:1">
      <c r="A219" s="174"/>
    </row>
    <row r="220" spans="1:1">
      <c r="A220" s="174"/>
    </row>
    <row r="221" spans="1:1">
      <c r="A221" s="174"/>
    </row>
    <row r="222" spans="1:1">
      <c r="A222" s="174"/>
    </row>
    <row r="223" spans="1:1">
      <c r="A223" s="174"/>
    </row>
    <row r="224" spans="1:1">
      <c r="A224" s="174"/>
    </row>
    <row r="225" spans="1:1">
      <c r="A225" s="174"/>
    </row>
    <row r="226" spans="1:1">
      <c r="A226" s="174"/>
    </row>
    <row r="227" spans="1:1">
      <c r="A227" s="174"/>
    </row>
    <row r="228" spans="1:1">
      <c r="A228" s="174"/>
    </row>
    <row r="229" spans="1:1">
      <c r="A229" s="174"/>
    </row>
    <row r="230" spans="1:1">
      <c r="A230" s="174"/>
    </row>
    <row r="231" spans="1:1">
      <c r="A231" s="174"/>
    </row>
    <row r="232" spans="1:1">
      <c r="A232" s="174"/>
    </row>
    <row r="233" spans="1:1">
      <c r="A233" s="174"/>
    </row>
    <row r="234" spans="1:1">
      <c r="A234" s="174"/>
    </row>
    <row r="235" spans="1:1">
      <c r="A235" s="174"/>
    </row>
    <row r="236" spans="1:1">
      <c r="A236" s="174"/>
    </row>
    <row r="237" spans="1:1">
      <c r="A237" s="174"/>
    </row>
    <row r="238" spans="1:1">
      <c r="A238" s="174"/>
    </row>
    <row r="239" spans="1:1">
      <c r="A239" s="174"/>
    </row>
    <row r="240" spans="1:1">
      <c r="A240" s="174"/>
    </row>
    <row r="241" spans="1:1">
      <c r="A241" s="174"/>
    </row>
    <row r="242" spans="1:1">
      <c r="A242" s="174"/>
    </row>
    <row r="243" spans="1:1">
      <c r="A243" s="174"/>
    </row>
    <row r="244" spans="1:1">
      <c r="A244" s="174"/>
    </row>
    <row r="245" spans="1:1">
      <c r="A245" s="174"/>
    </row>
    <row r="246" spans="1:1">
      <c r="A246" s="174"/>
    </row>
    <row r="247" spans="1:1">
      <c r="A247" s="174"/>
    </row>
    <row r="248" spans="1:1">
      <c r="A248" s="174"/>
    </row>
    <row r="249" spans="1:1">
      <c r="A249" s="174"/>
    </row>
    <row r="250" spans="1:1">
      <c r="A250" s="174"/>
    </row>
    <row r="251" spans="1:1">
      <c r="A251" s="174"/>
    </row>
    <row r="252" spans="1:1">
      <c r="A252" s="174"/>
    </row>
    <row r="253" spans="1:1">
      <c r="A253" s="174"/>
    </row>
    <row r="254" spans="1:1">
      <c r="A254" s="174"/>
    </row>
    <row r="255" spans="1:1">
      <c r="A255" s="174"/>
    </row>
    <row r="256" spans="1:1">
      <c r="A256" s="174"/>
    </row>
    <row r="257" spans="1:1">
      <c r="A257" s="174"/>
    </row>
    <row r="258" spans="1:1">
      <c r="A258" s="174"/>
    </row>
    <row r="259" spans="1:1">
      <c r="A259" s="174"/>
    </row>
    <row r="260" spans="1:1">
      <c r="A260" s="174"/>
    </row>
    <row r="261" spans="1:1">
      <c r="A261" s="174"/>
    </row>
    <row r="262" spans="1:1">
      <c r="A262" s="174"/>
    </row>
    <row r="263" spans="1:1">
      <c r="A263" s="174"/>
    </row>
    <row r="264" spans="1:1">
      <c r="A264" s="174"/>
    </row>
    <row r="265" spans="1:1">
      <c r="A265" s="174"/>
    </row>
    <row r="266" spans="1:1">
      <c r="A266" s="174"/>
    </row>
    <row r="267" spans="1:1">
      <c r="A267" s="174"/>
    </row>
    <row r="268" spans="1:1">
      <c r="A268" s="174"/>
    </row>
    <row r="269" spans="1:1">
      <c r="A269" s="174"/>
    </row>
    <row r="270" spans="1:1">
      <c r="A270" s="174"/>
    </row>
    <row r="271" spans="1:1">
      <c r="A271" s="174"/>
    </row>
    <row r="272" spans="1:1">
      <c r="A272" s="174"/>
    </row>
    <row r="273" spans="1:1">
      <c r="A273" s="174"/>
    </row>
    <row r="274" spans="1:1">
      <c r="A274" s="174"/>
    </row>
    <row r="275" spans="1:1">
      <c r="A275" s="174"/>
    </row>
    <row r="276" spans="1:1">
      <c r="A276" s="174"/>
    </row>
    <row r="277" spans="1:1">
      <c r="A277" s="174"/>
    </row>
    <row r="278" spans="1:1">
      <c r="A278" s="174"/>
    </row>
    <row r="279" spans="1:1">
      <c r="A279" s="174"/>
    </row>
    <row r="280" spans="1:1">
      <c r="A280" s="174"/>
    </row>
    <row r="281" spans="1:1">
      <c r="A281" s="174"/>
    </row>
    <row r="282" spans="1:1">
      <c r="A282" s="174"/>
    </row>
    <row r="283" spans="1:1">
      <c r="A283" s="174"/>
    </row>
    <row r="284" spans="1:1">
      <c r="A284" s="174"/>
    </row>
    <row r="285" spans="1:1">
      <c r="A285" s="174"/>
    </row>
    <row r="286" spans="1:1">
      <c r="A286" s="174"/>
    </row>
    <row r="287" spans="1:1">
      <c r="A287" s="174"/>
    </row>
    <row r="288" spans="1:1">
      <c r="A288" s="174"/>
    </row>
    <row r="289" spans="1:1">
      <c r="A289" s="174"/>
    </row>
    <row r="290" spans="1:1">
      <c r="A290" s="174"/>
    </row>
    <row r="291" spans="1:1">
      <c r="A291" s="174"/>
    </row>
    <row r="292" spans="1:1">
      <c r="A292" s="174"/>
    </row>
    <row r="293" spans="1:1">
      <c r="A293" s="174"/>
    </row>
    <row r="294" spans="1:1">
      <c r="A294" s="174"/>
    </row>
    <row r="295" spans="1:1">
      <c r="A295" s="174"/>
    </row>
    <row r="296" spans="1:1">
      <c r="A296" s="174"/>
    </row>
    <row r="297" spans="1:1">
      <c r="A297" s="174"/>
    </row>
    <row r="298" spans="1:1">
      <c r="A298" s="174"/>
    </row>
    <row r="299" spans="1:1">
      <c r="A299" s="174"/>
    </row>
    <row r="300" spans="1:1">
      <c r="A300" s="174"/>
    </row>
    <row r="301" spans="1:1">
      <c r="A301" s="174"/>
    </row>
    <row r="302" spans="1:1">
      <c r="A302" s="174"/>
    </row>
    <row r="303" spans="1:1">
      <c r="A303" s="174"/>
    </row>
    <row r="304" spans="1:1">
      <c r="A304" s="174"/>
    </row>
    <row r="305" spans="1:1">
      <c r="A305" s="174"/>
    </row>
    <row r="306" spans="1:1">
      <c r="A306" s="174"/>
    </row>
    <row r="307" spans="1:1">
      <c r="A307" s="174"/>
    </row>
    <row r="308" spans="1:1">
      <c r="A308" s="174"/>
    </row>
    <row r="309" spans="1:1">
      <c r="A309" s="174"/>
    </row>
    <row r="310" spans="1:1">
      <c r="A310" s="174"/>
    </row>
    <row r="311" spans="1:1">
      <c r="A311" s="174"/>
    </row>
    <row r="312" spans="1:1">
      <c r="A312" s="174"/>
    </row>
    <row r="313" spans="1:1">
      <c r="A313" s="174"/>
    </row>
    <row r="314" spans="1:1">
      <c r="A314" s="174"/>
    </row>
    <row r="315" spans="1:1">
      <c r="A315" s="174"/>
    </row>
    <row r="316" spans="1:1">
      <c r="A316" s="174"/>
    </row>
    <row r="317" spans="1:1">
      <c r="A317" s="174"/>
    </row>
    <row r="318" spans="1:1">
      <c r="A318" s="174"/>
    </row>
    <row r="319" spans="1:1">
      <c r="A319" s="174"/>
    </row>
    <row r="320" spans="1:1">
      <c r="A320" s="174"/>
    </row>
    <row r="321" spans="1:1">
      <c r="A321" s="174"/>
    </row>
    <row r="322" spans="1:1">
      <c r="A322" s="174"/>
    </row>
    <row r="323" spans="1:1">
      <c r="A323" s="174"/>
    </row>
    <row r="324" spans="1:1">
      <c r="A324" s="174"/>
    </row>
    <row r="325" spans="1:1">
      <c r="A325" s="174"/>
    </row>
    <row r="326" spans="1:1">
      <c r="A326" s="174"/>
    </row>
    <row r="327" spans="1:1">
      <c r="A327" s="174"/>
    </row>
    <row r="328" spans="1:1">
      <c r="A328" s="174"/>
    </row>
    <row r="329" spans="1:1">
      <c r="A329" s="174"/>
    </row>
    <row r="330" spans="1:1">
      <c r="A330" s="174"/>
    </row>
    <row r="331" spans="1:1">
      <c r="A331" s="174"/>
    </row>
    <row r="332" spans="1:1">
      <c r="A332" s="174"/>
    </row>
    <row r="333" spans="1:1">
      <c r="A333" s="174"/>
    </row>
    <row r="334" spans="1:1">
      <c r="A334" s="174"/>
    </row>
    <row r="335" spans="1:1">
      <c r="A335" s="174"/>
    </row>
    <row r="336" spans="1:1">
      <c r="A336" s="174"/>
    </row>
    <row r="337" spans="1:1">
      <c r="A337" s="174"/>
    </row>
    <row r="338" spans="1:1">
      <c r="A338" s="174"/>
    </row>
    <row r="339" spans="1:1">
      <c r="A339" s="174"/>
    </row>
    <row r="340" spans="1:1">
      <c r="A340" s="174"/>
    </row>
    <row r="341" spans="1:1">
      <c r="A341" s="174"/>
    </row>
    <row r="342" spans="1:1">
      <c r="A342" s="174"/>
    </row>
    <row r="343" spans="1:1">
      <c r="A343" s="174"/>
    </row>
    <row r="344" spans="1:1">
      <c r="A344" s="174"/>
    </row>
    <row r="345" spans="1:1">
      <c r="A345" s="174"/>
    </row>
    <row r="346" spans="1:1">
      <c r="A346" s="174"/>
    </row>
    <row r="347" spans="1:1">
      <c r="A347" s="174"/>
    </row>
    <row r="348" spans="1:1">
      <c r="A348" s="174"/>
    </row>
    <row r="349" spans="1:1">
      <c r="A349" s="174"/>
    </row>
    <row r="350" spans="1:1">
      <c r="A350" s="174"/>
    </row>
    <row r="351" spans="1:1">
      <c r="A351" s="174"/>
    </row>
    <row r="352" spans="1:1">
      <c r="A352" s="174"/>
    </row>
    <row r="353" spans="1:1">
      <c r="A353" s="174"/>
    </row>
    <row r="354" spans="1:1">
      <c r="A354" s="174"/>
    </row>
    <row r="355" spans="1:1">
      <c r="A355" s="174"/>
    </row>
    <row r="356" spans="1:1">
      <c r="A356" s="174"/>
    </row>
    <row r="357" spans="1:1">
      <c r="A357" s="174"/>
    </row>
    <row r="358" spans="1:1">
      <c r="A358" s="174"/>
    </row>
    <row r="359" spans="1:1">
      <c r="A359" s="174"/>
    </row>
    <row r="360" spans="1:1">
      <c r="A360" s="174"/>
    </row>
    <row r="361" spans="1:1">
      <c r="A361" s="174"/>
    </row>
    <row r="362" spans="1:1">
      <c r="A362" s="174"/>
    </row>
    <row r="363" spans="1:1">
      <c r="A363" s="174"/>
    </row>
    <row r="364" spans="1:1">
      <c r="A364" s="174"/>
    </row>
    <row r="365" spans="1:1">
      <c r="A365" s="174"/>
    </row>
    <row r="366" spans="1:1">
      <c r="A366" s="174"/>
    </row>
    <row r="367" spans="1:1">
      <c r="A367" s="174"/>
    </row>
    <row r="368" spans="1:1">
      <c r="A368" s="174"/>
    </row>
    <row r="369" spans="1:1">
      <c r="A369" s="174"/>
    </row>
    <row r="370" spans="1:1">
      <c r="A370" s="174"/>
    </row>
    <row r="371" spans="1:1">
      <c r="A371" s="174"/>
    </row>
    <row r="372" spans="1:1">
      <c r="A372" s="174"/>
    </row>
    <row r="373" spans="1:1">
      <c r="A373" s="174"/>
    </row>
    <row r="374" spans="1:1">
      <c r="A374" s="174"/>
    </row>
    <row r="375" spans="1:1">
      <c r="A375" s="174"/>
    </row>
    <row r="376" spans="1:1">
      <c r="A376" s="174"/>
    </row>
    <row r="377" spans="1:1">
      <c r="A377" s="174"/>
    </row>
    <row r="378" spans="1:1">
      <c r="A378" s="174"/>
    </row>
    <row r="379" spans="1:1">
      <c r="A379" s="174"/>
    </row>
    <row r="380" spans="1:1">
      <c r="A380" s="174"/>
    </row>
    <row r="381" spans="1:1">
      <c r="A381" s="174"/>
    </row>
    <row r="382" spans="1:1">
      <c r="A382" s="174"/>
    </row>
    <row r="383" spans="1:1">
      <c r="A383" s="174"/>
    </row>
    <row r="384" spans="1:1">
      <c r="A384" s="174"/>
    </row>
    <row r="385" spans="1:1">
      <c r="A385" s="174"/>
    </row>
    <row r="386" spans="1:1">
      <c r="A386" s="174"/>
    </row>
    <row r="387" spans="1:1">
      <c r="A387" s="174"/>
    </row>
    <row r="388" spans="1:1">
      <c r="A388" s="174"/>
    </row>
    <row r="389" spans="1:1">
      <c r="A389" s="174"/>
    </row>
    <row r="390" spans="1:1">
      <c r="A390" s="174"/>
    </row>
    <row r="391" spans="1:1">
      <c r="A391" s="174"/>
    </row>
    <row r="392" spans="1:1">
      <c r="A392" s="174"/>
    </row>
    <row r="393" spans="1:1">
      <c r="A393" s="174"/>
    </row>
    <row r="394" spans="1:1">
      <c r="A394" s="174"/>
    </row>
    <row r="395" spans="1:1">
      <c r="A395" s="174"/>
    </row>
    <row r="396" spans="1:1">
      <c r="A396" s="174"/>
    </row>
    <row r="397" spans="1:1">
      <c r="A397" s="174"/>
    </row>
    <row r="398" spans="1:1">
      <c r="A398" s="174"/>
    </row>
    <row r="399" spans="1:1">
      <c r="A399" s="174"/>
    </row>
    <row r="400" spans="1:1">
      <c r="A400" s="174"/>
    </row>
    <row r="401" spans="1:1">
      <c r="A401" s="174"/>
    </row>
    <row r="402" spans="1:1">
      <c r="A402" s="174"/>
    </row>
    <row r="403" spans="1:1">
      <c r="A403" s="174"/>
    </row>
    <row r="404" spans="1:1">
      <c r="A404" s="174"/>
    </row>
    <row r="405" spans="1:1">
      <c r="A405" s="174"/>
    </row>
    <row r="406" spans="1:1">
      <c r="A406" s="174"/>
    </row>
    <row r="407" spans="1:1">
      <c r="A407" s="174"/>
    </row>
    <row r="408" spans="1:1">
      <c r="A408" s="174"/>
    </row>
    <row r="409" spans="1:1">
      <c r="A409" s="174"/>
    </row>
    <row r="410" spans="1:1">
      <c r="A410" s="174"/>
    </row>
    <row r="411" spans="1:1">
      <c r="A411" s="174"/>
    </row>
    <row r="412" spans="1:1">
      <c r="A412" s="174"/>
    </row>
    <row r="413" spans="1:1">
      <c r="A413" s="174"/>
    </row>
    <row r="414" spans="1:1">
      <c r="A414" s="174"/>
    </row>
    <row r="415" spans="1:1">
      <c r="A415" s="174"/>
    </row>
    <row r="416" spans="1:1">
      <c r="A416" s="174"/>
    </row>
    <row r="417" spans="1:1">
      <c r="A417" s="174"/>
    </row>
    <row r="418" spans="1:1">
      <c r="A418" s="174"/>
    </row>
    <row r="419" spans="1:1">
      <c r="A419" s="174"/>
    </row>
    <row r="420" spans="1:1">
      <c r="A420" s="174"/>
    </row>
    <row r="421" spans="1:1">
      <c r="A421" s="174"/>
    </row>
    <row r="422" spans="1:1">
      <c r="A422" s="174"/>
    </row>
    <row r="423" spans="1:1">
      <c r="A423" s="174"/>
    </row>
    <row r="424" spans="1:1">
      <c r="A424" s="174"/>
    </row>
    <row r="425" spans="1:1">
      <c r="A425" s="174"/>
    </row>
    <row r="426" spans="1:1">
      <c r="A426" s="174"/>
    </row>
    <row r="427" spans="1:1">
      <c r="A427" s="174"/>
    </row>
    <row r="428" spans="1:1">
      <c r="A428" s="174"/>
    </row>
    <row r="429" spans="1:1">
      <c r="A429" s="174"/>
    </row>
    <row r="430" spans="1:1">
      <c r="A430" s="174"/>
    </row>
    <row r="431" spans="1:1">
      <c r="A431" s="174"/>
    </row>
    <row r="432" spans="1:1">
      <c r="A432" s="174"/>
    </row>
    <row r="433" spans="1:1">
      <c r="A433" s="174"/>
    </row>
    <row r="434" spans="1:1">
      <c r="A434" s="174"/>
    </row>
    <row r="435" spans="1:1">
      <c r="A435" s="174"/>
    </row>
    <row r="436" spans="1:1">
      <c r="A436" s="174"/>
    </row>
    <row r="437" spans="1:1">
      <c r="A437" s="174"/>
    </row>
    <row r="438" spans="1:1">
      <c r="A438" s="174"/>
    </row>
    <row r="439" spans="1:1">
      <c r="A439" s="174"/>
    </row>
    <row r="440" spans="1:1">
      <c r="A440" s="174"/>
    </row>
    <row r="441" spans="1:1">
      <c r="A441" s="174"/>
    </row>
    <row r="442" spans="1:1">
      <c r="A442" s="174"/>
    </row>
    <row r="443" spans="1:1">
      <c r="A443" s="174"/>
    </row>
    <row r="444" spans="1:1">
      <c r="A444" s="174"/>
    </row>
    <row r="445" spans="1:1">
      <c r="A445" s="174"/>
    </row>
    <row r="446" spans="1:1">
      <c r="A446" s="174"/>
    </row>
    <row r="447" spans="1:1">
      <c r="A447" s="174"/>
    </row>
    <row r="448" spans="1:1">
      <c r="A448" s="174"/>
    </row>
    <row r="449" spans="1:1">
      <c r="A449" s="174"/>
    </row>
    <row r="450" spans="1:1">
      <c r="A450" s="174"/>
    </row>
    <row r="451" spans="1:1">
      <c r="A451" s="174"/>
    </row>
    <row r="452" spans="1:1">
      <c r="A452" s="174"/>
    </row>
    <row r="453" spans="1:1">
      <c r="A453" s="174"/>
    </row>
    <row r="454" spans="1:1">
      <c r="A454" s="174"/>
    </row>
    <row r="455" spans="1:1">
      <c r="A455" s="174"/>
    </row>
    <row r="456" spans="1:1">
      <c r="A456" s="174"/>
    </row>
    <row r="457" spans="1:1">
      <c r="A457" s="174"/>
    </row>
    <row r="458" spans="1:1">
      <c r="A458" s="174"/>
    </row>
    <row r="459" spans="1:1">
      <c r="A459" s="174"/>
    </row>
    <row r="460" spans="1:1">
      <c r="A460" s="174"/>
    </row>
    <row r="461" spans="1:1">
      <c r="A461" s="174"/>
    </row>
    <row r="462" spans="1:1">
      <c r="A462" s="174"/>
    </row>
    <row r="463" spans="1:1">
      <c r="A463" s="174"/>
    </row>
    <row r="464" spans="1:1">
      <c r="A464" s="174"/>
    </row>
    <row r="465" spans="1:1">
      <c r="A465" s="174"/>
    </row>
    <row r="466" spans="1:1">
      <c r="A466" s="174"/>
    </row>
    <row r="467" spans="1:1">
      <c r="A467" s="174"/>
    </row>
    <row r="468" spans="1:1">
      <c r="A468" s="174"/>
    </row>
    <row r="469" spans="1:1">
      <c r="A469" s="174"/>
    </row>
    <row r="470" spans="1:1">
      <c r="A470" s="174"/>
    </row>
    <row r="471" spans="1:1">
      <c r="A471" s="174"/>
    </row>
    <row r="472" spans="1:1">
      <c r="A472" s="174"/>
    </row>
    <row r="473" spans="1:1">
      <c r="A473" s="174"/>
    </row>
    <row r="474" spans="1:1">
      <c r="A474" s="174"/>
    </row>
    <row r="475" spans="1:1">
      <c r="A475" s="174"/>
    </row>
    <row r="476" spans="1:1">
      <c r="A476" s="174"/>
    </row>
    <row r="477" spans="1:1">
      <c r="A477" s="174"/>
    </row>
    <row r="478" spans="1:1">
      <c r="A478" s="174"/>
    </row>
    <row r="479" spans="1:1">
      <c r="A479" s="174"/>
    </row>
    <row r="480" spans="1:1">
      <c r="A480" s="174"/>
    </row>
    <row r="481" spans="1:1">
      <c r="A481" s="174"/>
    </row>
    <row r="482" spans="1:1">
      <c r="A482" s="174"/>
    </row>
    <row r="483" spans="1:1">
      <c r="A483" s="174"/>
    </row>
    <row r="484" spans="1:1">
      <c r="A484" s="174"/>
    </row>
    <row r="485" spans="1:1">
      <c r="A485" s="174"/>
    </row>
    <row r="486" spans="1:1">
      <c r="A486" s="174"/>
    </row>
    <row r="487" spans="1:1">
      <c r="A487" s="174"/>
    </row>
    <row r="488" spans="1:1">
      <c r="A488" s="174"/>
    </row>
    <row r="489" spans="1:1">
      <c r="A489" s="174"/>
    </row>
    <row r="490" spans="1:1">
      <c r="A490" s="174"/>
    </row>
    <row r="491" spans="1:1">
      <c r="A491" s="174"/>
    </row>
    <row r="492" spans="1:1">
      <c r="A492" s="174"/>
    </row>
    <row r="493" spans="1:1">
      <c r="A493" s="174"/>
    </row>
    <row r="494" spans="1:1">
      <c r="A494" s="174"/>
    </row>
    <row r="495" spans="1:1">
      <c r="A495" s="174"/>
    </row>
    <row r="496" spans="1:1">
      <c r="A496" s="174"/>
    </row>
    <row r="497" spans="1:1">
      <c r="A497" s="174"/>
    </row>
    <row r="498" spans="1:1">
      <c r="A498" s="174"/>
    </row>
    <row r="499" spans="1:1">
      <c r="A499" s="174"/>
    </row>
    <row r="500" spans="1:1">
      <c r="A500" s="174"/>
    </row>
    <row r="501" spans="1:1">
      <c r="A501" s="174"/>
    </row>
    <row r="502" spans="1:1">
      <c r="A502" s="174"/>
    </row>
    <row r="503" spans="1:1">
      <c r="A503" s="174"/>
    </row>
    <row r="504" spans="1:1">
      <c r="A504" s="174"/>
    </row>
    <row r="505" spans="1:1">
      <c r="A505" s="174"/>
    </row>
    <row r="506" spans="1:1">
      <c r="A506" s="174"/>
    </row>
    <row r="507" spans="1:1">
      <c r="A507" s="174"/>
    </row>
    <row r="508" spans="1:1">
      <c r="A508" s="174"/>
    </row>
    <row r="509" spans="1:1">
      <c r="A509" s="174"/>
    </row>
    <row r="510" spans="1:1">
      <c r="A510" s="174"/>
    </row>
    <row r="511" spans="1:1">
      <c r="A511" s="174"/>
    </row>
    <row r="512" spans="1:1">
      <c r="A512" s="174"/>
    </row>
    <row r="513" spans="1:1">
      <c r="A513" s="174"/>
    </row>
    <row r="514" spans="1:1">
      <c r="A514" s="174"/>
    </row>
    <row r="515" spans="1:1">
      <c r="A515" s="174"/>
    </row>
    <row r="516" spans="1:1">
      <c r="A516" s="174"/>
    </row>
    <row r="517" spans="1:1">
      <c r="A517" s="174"/>
    </row>
    <row r="518" spans="1:1">
      <c r="A518" s="174"/>
    </row>
    <row r="519" spans="1:1">
      <c r="A519" s="174"/>
    </row>
    <row r="520" spans="1:1">
      <c r="A520" s="174"/>
    </row>
    <row r="521" spans="1:1">
      <c r="A521" s="174"/>
    </row>
    <row r="522" spans="1:1">
      <c r="A522" s="174"/>
    </row>
    <row r="523" spans="1:1">
      <c r="A523" s="174"/>
    </row>
    <row r="524" spans="1:1">
      <c r="A524" s="174"/>
    </row>
    <row r="525" spans="1:1">
      <c r="A525" s="174"/>
    </row>
    <row r="526" spans="1:1">
      <c r="A526" s="174"/>
    </row>
    <row r="527" spans="1:1">
      <c r="A527" s="174"/>
    </row>
    <row r="528" spans="1:1">
      <c r="A528" s="174"/>
    </row>
    <row r="529" spans="1:1">
      <c r="A529" s="174"/>
    </row>
    <row r="530" spans="1:1">
      <c r="A530" s="174"/>
    </row>
    <row r="531" spans="1:1">
      <c r="A531" s="174"/>
    </row>
    <row r="532" spans="1:1">
      <c r="A532" s="174"/>
    </row>
    <row r="533" spans="1:1">
      <c r="A533" s="174"/>
    </row>
    <row r="534" spans="1:1">
      <c r="A534" s="174"/>
    </row>
    <row r="535" spans="1:1">
      <c r="A535" s="174"/>
    </row>
    <row r="536" spans="1:1">
      <c r="A536" s="174"/>
    </row>
    <row r="537" spans="1:1">
      <c r="A537" s="174"/>
    </row>
    <row r="538" spans="1:1">
      <c r="A538" s="174"/>
    </row>
    <row r="539" spans="1:1">
      <c r="A539" s="174"/>
    </row>
    <row r="540" spans="1:1">
      <c r="A540" s="174"/>
    </row>
    <row r="541" spans="1:1">
      <c r="A541" s="174"/>
    </row>
    <row r="542" spans="1:1">
      <c r="A542" s="174"/>
    </row>
    <row r="543" spans="1:1">
      <c r="A543" s="174"/>
    </row>
    <row r="544" spans="1:1">
      <c r="A544" s="174"/>
    </row>
    <row r="545" spans="1:1">
      <c r="A545" s="174"/>
    </row>
    <row r="546" spans="1:1">
      <c r="A546" s="174"/>
    </row>
    <row r="547" spans="1:1">
      <c r="A547" s="174"/>
    </row>
    <row r="548" spans="1:1">
      <c r="A548" s="174"/>
    </row>
    <row r="549" spans="1:1">
      <c r="A549" s="174"/>
    </row>
    <row r="550" spans="1:1">
      <c r="A550" s="174"/>
    </row>
    <row r="551" spans="1:1">
      <c r="A551" s="174"/>
    </row>
    <row r="552" spans="1:1">
      <c r="A552" s="174"/>
    </row>
    <row r="553" spans="1:1">
      <c r="A553" s="174"/>
    </row>
    <row r="554" spans="1:1">
      <c r="A554" s="174"/>
    </row>
    <row r="555" spans="1:1">
      <c r="A555" s="174"/>
    </row>
    <row r="556" spans="1:1">
      <c r="A556" s="174"/>
    </row>
    <row r="557" spans="1:1">
      <c r="A557" s="174"/>
    </row>
    <row r="558" spans="1:1">
      <c r="A558" s="174"/>
    </row>
    <row r="559" spans="1:1">
      <c r="A559" s="174"/>
    </row>
    <row r="560" spans="1:1">
      <c r="A560" s="174"/>
    </row>
    <row r="561" spans="1:1">
      <c r="A561" s="174"/>
    </row>
    <row r="562" spans="1:1">
      <c r="A562" s="174"/>
    </row>
    <row r="563" spans="1:1">
      <c r="A563" s="174"/>
    </row>
    <row r="564" spans="1:1">
      <c r="A564" s="174"/>
    </row>
    <row r="565" spans="1:1">
      <c r="A565" s="174"/>
    </row>
    <row r="566" spans="1:1">
      <c r="A566" s="174"/>
    </row>
    <row r="567" spans="1:1">
      <c r="A567" s="174"/>
    </row>
    <row r="568" spans="1:1">
      <c r="A568" s="174"/>
    </row>
    <row r="569" spans="1:1">
      <c r="A569" s="174"/>
    </row>
    <row r="570" spans="1:1">
      <c r="A570" s="174"/>
    </row>
    <row r="571" spans="1:1">
      <c r="A571" s="174"/>
    </row>
    <row r="572" spans="1:1">
      <c r="A572" s="174"/>
    </row>
    <row r="573" spans="1:1">
      <c r="A573" s="174"/>
    </row>
    <row r="574" spans="1:1">
      <c r="A574" s="174"/>
    </row>
    <row r="575" spans="1:1">
      <c r="A575" s="174"/>
    </row>
    <row r="576" spans="1:1">
      <c r="A576" s="174"/>
    </row>
    <row r="577" spans="1:2">
      <c r="A577" s="174"/>
    </row>
    <row r="578" spans="1:2">
      <c r="A578" s="174"/>
    </row>
    <row r="579" spans="1:2">
      <c r="A579" s="174"/>
    </row>
    <row r="580" spans="1:2">
      <c r="A580" s="174"/>
    </row>
    <row r="581" spans="1:2">
      <c r="A581" s="174"/>
    </row>
    <row r="582" spans="1:2">
      <c r="A582" s="735"/>
      <c r="B582" s="745"/>
    </row>
    <row r="583" spans="1:2">
      <c r="A583" s="735"/>
      <c r="B583" s="745"/>
    </row>
    <row r="584" spans="1:2">
      <c r="A584" s="735"/>
      <c r="B584" s="745"/>
    </row>
    <row r="585" spans="1:2">
      <c r="A585" s="735"/>
      <c r="B585" s="745"/>
    </row>
    <row r="586" spans="1:2">
      <c r="A586" s="735"/>
      <c r="B586" s="745"/>
    </row>
    <row r="587" spans="1:2">
      <c r="A587" s="735"/>
      <c r="B587" s="745"/>
    </row>
    <row r="588" spans="1:2">
      <c r="A588" s="735"/>
      <c r="B588" s="745"/>
    </row>
    <row r="589" spans="1:2">
      <c r="A589" s="735"/>
      <c r="B589" s="745"/>
    </row>
    <row r="590" spans="1:2">
      <c r="A590" s="735"/>
      <c r="B590" s="745"/>
    </row>
    <row r="591" spans="1:2">
      <c r="A591" s="735"/>
      <c r="B591" s="745"/>
    </row>
    <row r="592" spans="1:2">
      <c r="A592" s="735"/>
      <c r="B592" s="745"/>
    </row>
    <row r="593" spans="1:2">
      <c r="A593" s="735"/>
      <c r="B593" s="745"/>
    </row>
    <row r="594" spans="1:2">
      <c r="A594" s="735"/>
      <c r="B594" s="745"/>
    </row>
    <row r="595" spans="1:2">
      <c r="A595" s="735"/>
      <c r="B595" s="745"/>
    </row>
    <row r="596" spans="1:2">
      <c r="A596" s="735"/>
      <c r="B596" s="745"/>
    </row>
    <row r="597" spans="1:2">
      <c r="A597" s="735"/>
    </row>
  </sheetData>
  <phoneticPr fontId="0" type="noConversion"/>
  <printOptions horizontalCentered="1" verticalCentered="1"/>
  <pageMargins left="8.1944444000000005E-2" right="0.164583333" top="0.25" bottom="0.25" header="0.5" footer="0.5"/>
  <pageSetup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zoomScale="80" workbookViewId="0">
      <selection activeCell="A22" sqref="A22"/>
    </sheetView>
  </sheetViews>
  <sheetFormatPr defaultRowHeight="12.75"/>
  <cols>
    <col min="1" max="4" width="9.140625" style="1"/>
    <col min="5" max="5" width="10.28515625" style="1" customWidth="1"/>
    <col min="6" max="6" width="11.28515625" style="1" customWidth="1"/>
    <col min="7" max="7" width="12.28515625" style="1" customWidth="1"/>
    <col min="8" max="8" width="12.140625" style="1" customWidth="1"/>
    <col min="9" max="9" width="11.42578125" style="1" customWidth="1"/>
    <col min="10" max="10" width="11.28515625" style="1" customWidth="1"/>
    <col min="11" max="16384" width="9.140625" style="1"/>
  </cols>
  <sheetData>
    <row r="3" spans="1:12">
      <c r="F3" s="2" t="s">
        <v>356</v>
      </c>
    </row>
    <row r="4" spans="1:12">
      <c r="E4" s="2" t="s">
        <v>357</v>
      </c>
      <c r="J4" s="728"/>
    </row>
    <row r="5" spans="1:12">
      <c r="E5" s="2"/>
      <c r="F5" s="2" t="s">
        <v>358</v>
      </c>
      <c r="H5" s="1" t="s">
        <v>359</v>
      </c>
      <c r="J5" s="728"/>
    </row>
    <row r="6" spans="1:12">
      <c r="E6" s="2" t="s">
        <v>376</v>
      </c>
      <c r="F6" s="2"/>
    </row>
    <row r="7" spans="1:12">
      <c r="C7" s="3"/>
      <c r="E7" s="3"/>
      <c r="G7" s="3"/>
    </row>
    <row r="8" spans="1:12">
      <c r="B8" s="729" t="s">
        <v>355</v>
      </c>
      <c r="C8" s="3" t="s">
        <v>360</v>
      </c>
      <c r="E8" s="3" t="s">
        <v>361</v>
      </c>
      <c r="G8" s="3" t="s">
        <v>362</v>
      </c>
      <c r="I8" s="3" t="s">
        <v>363</v>
      </c>
    </row>
    <row r="9" spans="1:12">
      <c r="C9" s="730" t="s">
        <v>364</v>
      </c>
      <c r="D9" s="730" t="s">
        <v>365</v>
      </c>
      <c r="E9" s="730" t="s">
        <v>364</v>
      </c>
      <c r="F9" s="730" t="s">
        <v>365</v>
      </c>
      <c r="G9" s="730" t="s">
        <v>364</v>
      </c>
      <c r="H9" s="730" t="s">
        <v>365</v>
      </c>
      <c r="I9" s="730" t="s">
        <v>364</v>
      </c>
      <c r="J9" s="730" t="s">
        <v>365</v>
      </c>
    </row>
    <row r="10" spans="1:12">
      <c r="A10" s="731">
        <v>36800</v>
      </c>
      <c r="B10" s="29">
        <v>15771</v>
      </c>
      <c r="C10" s="732">
        <v>0</v>
      </c>
      <c r="D10" s="29">
        <v>1496.9539048097031</v>
      </c>
      <c r="E10" s="287">
        <v>1497.9539048097031</v>
      </c>
      <c r="F10" s="733">
        <v>112811</v>
      </c>
      <c r="G10" s="287">
        <v>112812</v>
      </c>
      <c r="H10" s="733">
        <v>142130.68287242172</v>
      </c>
      <c r="I10" s="728">
        <v>142131.68287242172</v>
      </c>
      <c r="J10" s="728">
        <v>142131.68287242172</v>
      </c>
      <c r="K10" s="728"/>
    </row>
    <row r="11" spans="1:12">
      <c r="A11" s="731">
        <v>36831</v>
      </c>
      <c r="B11" s="29">
        <v>15771</v>
      </c>
      <c r="C11" s="732">
        <v>0</v>
      </c>
      <c r="D11" s="29">
        <v>19134.11942981738</v>
      </c>
      <c r="E11" s="287">
        <v>19135.11942981738</v>
      </c>
      <c r="F11" s="733">
        <v>84421.500259220687</v>
      </c>
      <c r="G11" s="287">
        <v>84422.500259220687</v>
      </c>
      <c r="H11" s="733">
        <v>271159.50025922072</v>
      </c>
      <c r="I11" s="728">
        <v>271160.50025922072</v>
      </c>
      <c r="J11" s="728">
        <v>322985.50025922072</v>
      </c>
      <c r="K11" s="728"/>
    </row>
    <row r="12" spans="1:12">
      <c r="A12" s="731">
        <v>36861</v>
      </c>
      <c r="B12" s="29">
        <v>15771</v>
      </c>
      <c r="C12" s="732">
        <v>0</v>
      </c>
      <c r="D12" s="29">
        <v>22387.470154022158</v>
      </c>
      <c r="E12" s="287">
        <v>22388.470154022158</v>
      </c>
      <c r="F12" s="733">
        <v>112811</v>
      </c>
      <c r="G12" s="287">
        <v>112812</v>
      </c>
      <c r="H12" s="733">
        <v>309549</v>
      </c>
      <c r="I12" s="728">
        <v>309550</v>
      </c>
      <c r="J12" s="728">
        <v>361375</v>
      </c>
      <c r="K12" s="728"/>
      <c r="L12" s="728"/>
    </row>
    <row r="13" spans="1:12">
      <c r="A13" s="731">
        <v>36892</v>
      </c>
      <c r="B13" s="29">
        <v>15771</v>
      </c>
      <c r="C13" s="732">
        <v>0</v>
      </c>
      <c r="D13" s="29">
        <v>34721.930557424261</v>
      </c>
      <c r="E13" s="287">
        <v>34722.930557424261</v>
      </c>
      <c r="F13" s="733">
        <v>112811</v>
      </c>
      <c r="G13" s="287">
        <v>112812</v>
      </c>
      <c r="H13" s="733">
        <v>309549</v>
      </c>
      <c r="I13" s="728">
        <v>309550</v>
      </c>
      <c r="J13" s="728">
        <v>361375</v>
      </c>
      <c r="K13" s="728"/>
      <c r="L13" s="728"/>
    </row>
    <row r="14" spans="1:12">
      <c r="A14" s="731">
        <v>36923</v>
      </c>
      <c r="B14" s="29">
        <v>15771</v>
      </c>
      <c r="C14" s="732">
        <v>0</v>
      </c>
      <c r="D14" s="29">
        <v>30234.626643736454</v>
      </c>
      <c r="E14" s="287">
        <v>30235.626643736454</v>
      </c>
      <c r="F14" s="733">
        <v>112811</v>
      </c>
      <c r="G14" s="287">
        <v>112812</v>
      </c>
      <c r="H14" s="733">
        <v>309549</v>
      </c>
      <c r="I14" s="728">
        <v>309550</v>
      </c>
      <c r="J14" s="728">
        <v>361375</v>
      </c>
      <c r="K14" s="728"/>
      <c r="L14" s="728"/>
    </row>
    <row r="15" spans="1:12">
      <c r="A15" s="731">
        <v>36951</v>
      </c>
      <c r="B15" s="29">
        <v>15771</v>
      </c>
      <c r="C15" s="732">
        <v>0</v>
      </c>
      <c r="D15" s="29">
        <v>28763.454523829241</v>
      </c>
      <c r="E15" s="287">
        <v>28764.454523829241</v>
      </c>
      <c r="F15" s="733">
        <v>106120.12618559402</v>
      </c>
      <c r="G15" s="287">
        <v>106121.12618559402</v>
      </c>
      <c r="H15" s="733">
        <v>292858.12618559401</v>
      </c>
      <c r="I15" s="728">
        <v>292859.12618559401</v>
      </c>
      <c r="J15" s="728">
        <v>344684.12618559401</v>
      </c>
      <c r="K15" s="728"/>
      <c r="L15" s="728"/>
    </row>
    <row r="16" spans="1:12">
      <c r="A16" s="731">
        <v>36982</v>
      </c>
      <c r="B16" s="29">
        <v>15771</v>
      </c>
      <c r="C16" s="732">
        <v>0</v>
      </c>
      <c r="D16" s="29">
        <v>10957.832849539405</v>
      </c>
      <c r="E16" s="287">
        <v>10958.832849539405</v>
      </c>
      <c r="F16" s="733">
        <v>112811</v>
      </c>
      <c r="G16" s="287">
        <v>112812</v>
      </c>
      <c r="H16" s="733">
        <v>157906.74927564661</v>
      </c>
      <c r="I16" s="728">
        <v>157907.74927564661</v>
      </c>
      <c r="J16" s="728">
        <v>157907.74927564661</v>
      </c>
      <c r="K16" s="728"/>
      <c r="L16" s="728"/>
    </row>
    <row r="17" spans="1:12">
      <c r="A17" s="731">
        <v>37012</v>
      </c>
      <c r="B17" s="29">
        <v>15771</v>
      </c>
      <c r="C17" s="732">
        <v>0</v>
      </c>
      <c r="D17" s="29">
        <v>8963.2729130103726</v>
      </c>
      <c r="E17" s="287">
        <v>8964.2729130103726</v>
      </c>
      <c r="F17" s="733">
        <v>95694.968406975095</v>
      </c>
      <c r="G17" s="287">
        <v>95695.968406975095</v>
      </c>
      <c r="H17" s="733">
        <v>95694.968406975095</v>
      </c>
      <c r="I17" s="728">
        <v>95695.968406975095</v>
      </c>
      <c r="J17" s="728">
        <v>95695.968406975095</v>
      </c>
      <c r="K17" s="728"/>
      <c r="L17" s="728"/>
    </row>
    <row r="18" spans="1:12">
      <c r="A18" s="731">
        <v>37043</v>
      </c>
      <c r="B18" s="29">
        <v>15771</v>
      </c>
      <c r="C18" s="732">
        <v>0</v>
      </c>
      <c r="D18" s="29">
        <v>10105.128860392932</v>
      </c>
      <c r="E18" s="287">
        <v>10106.128860392932</v>
      </c>
      <c r="F18" s="733">
        <v>49788.33107881964</v>
      </c>
      <c r="G18" s="287">
        <v>49789.33107881964</v>
      </c>
      <c r="H18" s="733">
        <v>49788.33107881964</v>
      </c>
      <c r="I18" s="728">
        <v>49789.33107881964</v>
      </c>
      <c r="J18" s="728">
        <v>49789.33107881964</v>
      </c>
      <c r="K18" s="728"/>
      <c r="L18" s="728"/>
    </row>
    <row r="19" spans="1:12">
      <c r="A19" s="731">
        <v>37073</v>
      </c>
      <c r="B19" s="29">
        <v>15771</v>
      </c>
      <c r="C19" s="732">
        <v>0</v>
      </c>
      <c r="D19" s="29">
        <v>9754.5128905766178</v>
      </c>
      <c r="E19" s="287">
        <v>9755.5128905766178</v>
      </c>
      <c r="F19" s="733">
        <v>15981.042742155121</v>
      </c>
      <c r="G19" s="287">
        <v>15982.042742155121</v>
      </c>
      <c r="H19" s="733">
        <v>15981.042742155121</v>
      </c>
      <c r="I19" s="728">
        <v>15982.042742155121</v>
      </c>
      <c r="J19" s="728">
        <v>15982.042742155121</v>
      </c>
      <c r="K19" s="728"/>
      <c r="L19" s="728"/>
    </row>
    <row r="20" spans="1:12">
      <c r="A20" s="731">
        <v>37104</v>
      </c>
      <c r="B20" s="29">
        <v>15771</v>
      </c>
      <c r="C20" s="732">
        <v>0</v>
      </c>
      <c r="D20" s="29">
        <v>10907.48078759505</v>
      </c>
      <c r="E20" s="287">
        <v>10908.48078759505</v>
      </c>
      <c r="F20" s="733">
        <v>16995.242748253648</v>
      </c>
      <c r="G20" s="287">
        <v>16996.242748253648</v>
      </c>
      <c r="H20" s="733">
        <v>16995.242748253648</v>
      </c>
      <c r="I20" s="728">
        <v>16996.242748253648</v>
      </c>
      <c r="J20" s="728">
        <v>16996.242748253648</v>
      </c>
      <c r="K20" s="728"/>
      <c r="L20" s="728"/>
    </row>
    <row r="21" spans="1:12" s="19" customFormat="1">
      <c r="A21" s="776">
        <v>37135</v>
      </c>
      <c r="B21" s="777">
        <v>15771</v>
      </c>
      <c r="C21" s="778">
        <v>0</v>
      </c>
      <c r="D21" s="777">
        <v>3150.3517233528</v>
      </c>
      <c r="E21" s="779">
        <v>3151.3517233528</v>
      </c>
      <c r="F21" s="780">
        <v>50436.606552535464</v>
      </c>
      <c r="G21" s="779">
        <v>50437.606552535464</v>
      </c>
      <c r="H21" s="780">
        <v>50436.606552535464</v>
      </c>
      <c r="I21" s="781">
        <v>50437.606552535464</v>
      </c>
      <c r="J21" s="781">
        <v>50437.606552535464</v>
      </c>
      <c r="K21" s="781"/>
      <c r="L21" s="781"/>
    </row>
    <row r="22" spans="1:12" s="19" customFormat="1">
      <c r="A22" s="767">
        <v>37165</v>
      </c>
      <c r="B22" s="768">
        <v>15771</v>
      </c>
      <c r="C22" s="769">
        <v>0</v>
      </c>
      <c r="D22" s="768">
        <v>2257.4300960177607</v>
      </c>
      <c r="E22" s="770">
        <v>2258.4300960177607</v>
      </c>
      <c r="F22" s="771">
        <v>112811</v>
      </c>
      <c r="G22" s="770">
        <v>112812</v>
      </c>
      <c r="H22" s="771">
        <v>147657.24177295648</v>
      </c>
      <c r="I22" s="772">
        <v>147658.24177295648</v>
      </c>
      <c r="J22" s="772">
        <v>147658.24177295648</v>
      </c>
      <c r="K22" s="781"/>
      <c r="L22" s="781"/>
    </row>
    <row r="23" spans="1:12">
      <c r="A23" s="731">
        <v>37196</v>
      </c>
      <c r="B23" s="29">
        <v>15771</v>
      </c>
      <c r="C23" s="732">
        <v>0</v>
      </c>
      <c r="D23" s="29">
        <v>19725.615792902652</v>
      </c>
      <c r="E23" s="287">
        <v>19726.615792902652</v>
      </c>
      <c r="F23" s="733">
        <v>87753.237768293402</v>
      </c>
      <c r="G23" s="287">
        <v>87754.237768293402</v>
      </c>
      <c r="H23" s="733">
        <v>274491.23776829342</v>
      </c>
      <c r="I23" s="728">
        <v>274492.23776829342</v>
      </c>
      <c r="J23" s="728">
        <v>326317.23776829342</v>
      </c>
      <c r="K23" s="728"/>
      <c r="L23" s="728"/>
    </row>
    <row r="24" spans="1:12">
      <c r="A24" s="731">
        <v>37226</v>
      </c>
      <c r="B24" s="29">
        <v>15771</v>
      </c>
      <c r="C24" s="732">
        <v>0</v>
      </c>
      <c r="D24" s="29">
        <v>22988.419896621264</v>
      </c>
      <c r="E24" s="287">
        <v>22989.419896621264</v>
      </c>
      <c r="F24" s="733">
        <v>116163.87</v>
      </c>
      <c r="G24" s="287">
        <v>116164.87</v>
      </c>
      <c r="H24" s="733">
        <v>312901.87</v>
      </c>
      <c r="I24" s="728">
        <v>312902.87</v>
      </c>
      <c r="J24" s="728">
        <v>364727.87</v>
      </c>
      <c r="K24" s="728"/>
      <c r="L24" s="728"/>
    </row>
    <row r="25" spans="1:12">
      <c r="A25" s="731">
        <v>37257</v>
      </c>
      <c r="B25" s="29">
        <v>15771</v>
      </c>
      <c r="C25" s="732">
        <v>0</v>
      </c>
      <c r="D25" s="29">
        <v>35712.820855809099</v>
      </c>
      <c r="E25" s="287">
        <v>35713.820855809099</v>
      </c>
      <c r="F25" s="733">
        <v>116163.87</v>
      </c>
      <c r="G25" s="287">
        <v>116164.87</v>
      </c>
      <c r="H25" s="733">
        <v>312901.87</v>
      </c>
      <c r="I25" s="728">
        <v>312902.87</v>
      </c>
      <c r="J25" s="728">
        <v>364727.87</v>
      </c>
      <c r="K25" s="728"/>
      <c r="L25" s="728"/>
    </row>
    <row r="26" spans="1:12">
      <c r="A26" s="731">
        <v>37288</v>
      </c>
      <c r="B26" s="29">
        <v>15771</v>
      </c>
      <c r="C26" s="732">
        <v>0</v>
      </c>
      <c r="D26" s="29">
        <v>31068.46130514222</v>
      </c>
      <c r="E26" s="287">
        <v>31069.46130514222</v>
      </c>
      <c r="F26" s="733">
        <v>116163.87</v>
      </c>
      <c r="G26" s="287">
        <v>116164.87</v>
      </c>
      <c r="H26" s="733">
        <v>312901.87</v>
      </c>
      <c r="I26" s="728">
        <v>312902.87</v>
      </c>
      <c r="J26" s="728">
        <v>364727.87</v>
      </c>
      <c r="K26" s="728"/>
      <c r="L26" s="728"/>
    </row>
    <row r="27" spans="1:12">
      <c r="A27" s="731">
        <v>37316</v>
      </c>
      <c r="B27" s="29">
        <v>15771</v>
      </c>
      <c r="C27" s="732">
        <v>0</v>
      </c>
      <c r="D27" s="29">
        <v>29545.798161038263</v>
      </c>
      <c r="E27" s="287">
        <v>29546.798161038263</v>
      </c>
      <c r="F27" s="733">
        <v>110211.3156020898</v>
      </c>
      <c r="G27" s="287">
        <v>110212.3156020898</v>
      </c>
      <c r="H27" s="733">
        <v>296949.3156020898</v>
      </c>
      <c r="I27" s="728">
        <v>296950.3156020898</v>
      </c>
      <c r="J27" s="728">
        <v>348775.3156020898</v>
      </c>
      <c r="K27" s="728"/>
      <c r="L27" s="728"/>
    </row>
    <row r="28" spans="1:12">
      <c r="A28" s="731">
        <v>37347</v>
      </c>
      <c r="B28" s="29">
        <v>15771</v>
      </c>
      <c r="C28" s="732">
        <v>0</v>
      </c>
      <c r="D28" s="29">
        <v>11462.530836158912</v>
      </c>
      <c r="E28" s="287">
        <v>11463.530836158912</v>
      </c>
      <c r="F28" s="733">
        <v>116163.87</v>
      </c>
      <c r="G28" s="287">
        <v>116164.87</v>
      </c>
      <c r="H28" s="733">
        <v>163985.47050029424</v>
      </c>
      <c r="I28" s="728">
        <v>163986.47050029424</v>
      </c>
      <c r="J28" s="728">
        <v>163986.47050029424</v>
      </c>
      <c r="K28" s="728"/>
      <c r="L28" s="728"/>
    </row>
    <row r="29" spans="1:12">
      <c r="A29" s="731">
        <v>37377</v>
      </c>
      <c r="B29" s="29">
        <v>15771</v>
      </c>
      <c r="C29" s="732">
        <v>0</v>
      </c>
      <c r="D29" s="29">
        <v>9653.9724649657364</v>
      </c>
      <c r="E29" s="287">
        <v>9654.9724649657364</v>
      </c>
      <c r="F29" s="733">
        <v>99596.277301219219</v>
      </c>
      <c r="G29" s="287">
        <v>99597.277301219219</v>
      </c>
      <c r="H29" s="733">
        <v>99596.277301219219</v>
      </c>
      <c r="I29" s="728">
        <v>99597.277301219219</v>
      </c>
      <c r="J29" s="728">
        <v>99597.277301219219</v>
      </c>
      <c r="K29" s="728"/>
      <c r="L29" s="728"/>
    </row>
    <row r="30" spans="1:12">
      <c r="A30" s="731">
        <v>37408</v>
      </c>
      <c r="B30" s="29">
        <v>15771</v>
      </c>
      <c r="C30" s="732">
        <v>0</v>
      </c>
      <c r="D30" s="29">
        <v>10835.793370506683</v>
      </c>
      <c r="E30" s="287">
        <v>10836.793370506683</v>
      </c>
      <c r="F30" s="733">
        <v>52082.907666578321</v>
      </c>
      <c r="G30" s="287">
        <v>52083.907666578321</v>
      </c>
      <c r="H30" s="733">
        <v>52082.907666578321</v>
      </c>
      <c r="I30" s="728">
        <v>52083.907666578321</v>
      </c>
      <c r="J30" s="728">
        <v>52083.907666578321</v>
      </c>
      <c r="K30" s="728"/>
      <c r="L30" s="728"/>
    </row>
    <row r="31" spans="1:12">
      <c r="A31" s="731">
        <v>37438</v>
      </c>
      <c r="B31" s="29">
        <v>15771</v>
      </c>
      <c r="C31" s="732">
        <v>0</v>
      </c>
      <c r="D31" s="29">
        <v>10472.905841746797</v>
      </c>
      <c r="E31" s="287">
        <v>10473.905841746797</v>
      </c>
      <c r="F31" s="733">
        <v>17092.364238130547</v>
      </c>
      <c r="G31" s="287">
        <v>17093.364238130547</v>
      </c>
      <c r="H31" s="733">
        <v>17092.364238130547</v>
      </c>
      <c r="I31" s="728">
        <v>17093.364238130547</v>
      </c>
      <c r="J31" s="728">
        <v>17093.364238130547</v>
      </c>
      <c r="K31" s="728"/>
      <c r="L31" s="728"/>
    </row>
    <row r="32" spans="1:12">
      <c r="A32" s="731">
        <v>37469</v>
      </c>
      <c r="B32" s="29">
        <v>15771</v>
      </c>
      <c r="C32" s="732">
        <v>0</v>
      </c>
      <c r="D32" s="29">
        <v>11666.227615160875</v>
      </c>
      <c r="E32" s="287">
        <v>11667.227615160875</v>
      </c>
      <c r="F32" s="733">
        <v>18142.061244442521</v>
      </c>
      <c r="G32" s="287">
        <v>18143.061244442521</v>
      </c>
      <c r="H32" s="733">
        <v>18142.061244442521</v>
      </c>
      <c r="I32" s="728">
        <v>18143.061244442521</v>
      </c>
      <c r="J32" s="728">
        <v>18143.061244442521</v>
      </c>
      <c r="K32" s="728"/>
      <c r="L32" s="728"/>
    </row>
    <row r="33" spans="1:12">
      <c r="A33" s="731">
        <v>37500</v>
      </c>
      <c r="B33" s="29">
        <v>15771</v>
      </c>
      <c r="C33" s="732">
        <v>0</v>
      </c>
      <c r="D33" s="29">
        <v>3557.8214349232767</v>
      </c>
      <c r="E33" s="287">
        <v>3558.8214349232767</v>
      </c>
      <c r="F33" s="733">
        <v>52753.872781874205</v>
      </c>
      <c r="G33" s="287">
        <v>52754.872781874205</v>
      </c>
      <c r="H33" s="733">
        <v>52753.872781874205</v>
      </c>
      <c r="I33" s="728">
        <v>52754.872781874205</v>
      </c>
      <c r="J33" s="728">
        <v>52754.872781874205</v>
      </c>
      <c r="K33" s="728"/>
      <c r="L33" s="728"/>
    </row>
    <row r="34" spans="1:12">
      <c r="A34" s="731">
        <v>37530</v>
      </c>
      <c r="B34" s="29">
        <v>15771</v>
      </c>
      <c r="C34" s="732">
        <v>0</v>
      </c>
      <c r="D34" s="29">
        <v>2699.6917793231005</v>
      </c>
      <c r="E34" s="287">
        <v>2700.6917793231005</v>
      </c>
      <c r="F34" s="733">
        <v>116163.87</v>
      </c>
      <c r="G34" s="287">
        <v>116164.87</v>
      </c>
      <c r="H34" s="733">
        <v>153377.23023500995</v>
      </c>
      <c r="I34" s="728">
        <v>153378.23023500995</v>
      </c>
      <c r="J34" s="728">
        <v>153378.23023500995</v>
      </c>
      <c r="K34" s="728"/>
      <c r="L34" s="728"/>
    </row>
    <row r="35" spans="1:12">
      <c r="A35" s="791">
        <v>37561</v>
      </c>
      <c r="B35" s="792">
        <v>15771</v>
      </c>
      <c r="C35" s="793">
        <v>0</v>
      </c>
      <c r="D35" s="792">
        <v>20337.814528695904</v>
      </c>
      <c r="E35" s="794">
        <v>20338.814528695904</v>
      </c>
      <c r="F35" s="795">
        <v>91201.586090183657</v>
      </c>
      <c r="G35" s="794">
        <v>91202.586090183657</v>
      </c>
      <c r="H35" s="795">
        <v>277939.58609018364</v>
      </c>
      <c r="I35" s="796">
        <v>277940.58609018364</v>
      </c>
      <c r="J35" s="797">
        <v>329765.58609018364</v>
      </c>
      <c r="K35" s="728"/>
      <c r="L35" s="728"/>
    </row>
    <row r="36" spans="1:12">
      <c r="A36" s="798">
        <v>37591</v>
      </c>
      <c r="B36" s="799">
        <v>15771</v>
      </c>
      <c r="C36" s="800">
        <v>0</v>
      </c>
      <c r="D36" s="799">
        <v>23610.402880211339</v>
      </c>
      <c r="E36" s="801">
        <v>23611.402880211339</v>
      </c>
      <c r="F36" s="802">
        <v>123863.87</v>
      </c>
      <c r="G36" s="801">
        <v>123864.87</v>
      </c>
      <c r="H36" s="802">
        <v>320601.87</v>
      </c>
      <c r="I36" s="803">
        <v>320602.87</v>
      </c>
      <c r="J36" s="804">
        <v>372427.87</v>
      </c>
      <c r="K36" s="728"/>
      <c r="L36" s="728"/>
    </row>
    <row r="37" spans="1:12">
      <c r="A37" s="805">
        <v>37622</v>
      </c>
      <c r="B37" s="806">
        <v>15771</v>
      </c>
      <c r="C37" s="807">
        <v>0</v>
      </c>
      <c r="D37" s="806">
        <v>36738.392314637415</v>
      </c>
      <c r="E37" s="808">
        <v>36739.392314637415</v>
      </c>
      <c r="F37" s="809">
        <v>123863.87</v>
      </c>
      <c r="G37" s="808">
        <v>123864.87</v>
      </c>
      <c r="H37" s="809">
        <v>320601.87</v>
      </c>
      <c r="I37" s="810">
        <v>320602.87</v>
      </c>
      <c r="J37" s="811">
        <v>372427.87</v>
      </c>
      <c r="K37" s="728"/>
      <c r="L37" s="728"/>
    </row>
    <row r="38" spans="1:12">
      <c r="A38" s="731"/>
      <c r="B38" s="29"/>
      <c r="C38" s="732"/>
      <c r="D38" s="29"/>
      <c r="E38" s="287"/>
      <c r="F38" s="733"/>
      <c r="G38" s="287"/>
      <c r="H38" s="733"/>
      <c r="I38" s="728"/>
      <c r="J38" s="728"/>
      <c r="K38" s="728"/>
      <c r="L38" s="728"/>
    </row>
    <row r="39" spans="1:12">
      <c r="A39" s="731"/>
      <c r="B39" s="29"/>
      <c r="C39" s="732"/>
      <c r="D39" s="29"/>
      <c r="E39" s="287"/>
      <c r="F39" s="733"/>
      <c r="G39" s="287"/>
      <c r="H39" s="733"/>
      <c r="I39" s="728"/>
      <c r="J39" s="728"/>
      <c r="K39" s="728"/>
      <c r="L39" s="728"/>
    </row>
    <row r="40" spans="1:12">
      <c r="A40" s="731"/>
      <c r="B40" s="29"/>
      <c r="C40" s="732"/>
      <c r="D40" s="29"/>
      <c r="E40" s="287"/>
      <c r="F40" s="733"/>
      <c r="G40" s="287"/>
      <c r="H40" s="733"/>
      <c r="I40" s="728"/>
      <c r="J40" s="728"/>
      <c r="K40" s="728"/>
      <c r="L40" s="728"/>
    </row>
    <row r="41" spans="1:12">
      <c r="A41" s="731"/>
      <c r="B41" s="29"/>
      <c r="C41" s="732"/>
      <c r="D41" s="29"/>
      <c r="E41" s="287"/>
      <c r="F41" s="733"/>
      <c r="G41" s="287"/>
      <c r="H41" s="733"/>
      <c r="I41" s="728"/>
      <c r="J41" s="728"/>
      <c r="K41" s="728"/>
      <c r="L41" s="728"/>
    </row>
    <row r="42" spans="1:12">
      <c r="A42" s="731"/>
      <c r="B42" s="29"/>
      <c r="C42" s="732"/>
      <c r="D42" s="29"/>
      <c r="E42" s="287"/>
      <c r="F42" s="733"/>
      <c r="G42" s="287"/>
      <c r="H42" s="733"/>
      <c r="I42" s="728"/>
      <c r="J42" s="728"/>
      <c r="K42" s="728"/>
      <c r="L42" s="728"/>
    </row>
    <row r="43" spans="1:12">
      <c r="A43" s="731"/>
      <c r="B43" s="29"/>
      <c r="C43" s="732"/>
      <c r="D43" s="29"/>
      <c r="E43" s="287"/>
      <c r="F43" s="733"/>
      <c r="G43" s="287"/>
      <c r="H43" s="733"/>
      <c r="I43" s="728"/>
      <c r="J43" s="728"/>
      <c r="K43" s="728"/>
      <c r="L43" s="728"/>
    </row>
    <row r="44" spans="1:12">
      <c r="A44" s="731"/>
      <c r="B44" s="29"/>
      <c r="C44" s="732"/>
      <c r="D44" s="29"/>
      <c r="E44" s="287"/>
      <c r="F44" s="733"/>
      <c r="G44" s="287"/>
      <c r="H44" s="733"/>
      <c r="I44" s="728"/>
      <c r="J44" s="728"/>
      <c r="K44" s="728"/>
      <c r="L44" s="728"/>
    </row>
    <row r="45" spans="1:12">
      <c r="A45" s="731"/>
      <c r="B45" s="29"/>
      <c r="C45" s="732"/>
      <c r="D45" s="29"/>
      <c r="E45" s="287"/>
      <c r="F45" s="733"/>
      <c r="G45" s="287"/>
      <c r="H45" s="733"/>
      <c r="I45" s="728"/>
      <c r="J45" s="728"/>
      <c r="K45" s="728"/>
      <c r="L45" s="728"/>
    </row>
    <row r="46" spans="1:12">
      <c r="A46" s="731"/>
      <c r="B46" s="29"/>
      <c r="C46" s="732"/>
      <c r="D46" s="29"/>
      <c r="E46" s="287"/>
      <c r="F46" s="733"/>
      <c r="G46" s="287"/>
      <c r="H46" s="733"/>
      <c r="I46" s="728"/>
      <c r="J46" s="728"/>
      <c r="K46" s="728"/>
      <c r="L46" s="728"/>
    </row>
    <row r="47" spans="1:12">
      <c r="A47" s="731"/>
      <c r="B47" s="731"/>
      <c r="D47" s="728"/>
      <c r="E47" s="728"/>
      <c r="F47" s="532"/>
      <c r="L47" s="728"/>
    </row>
    <row r="48" spans="1:12">
      <c r="A48" s="1" t="s">
        <v>366</v>
      </c>
      <c r="C48" s="1" t="s">
        <v>367</v>
      </c>
      <c r="L48" s="728"/>
    </row>
    <row r="49" spans="3:3">
      <c r="C49" s="1" t="s">
        <v>368</v>
      </c>
    </row>
    <row r="50" spans="3:3">
      <c r="C50" s="1" t="s">
        <v>369</v>
      </c>
    </row>
    <row r="51" spans="3:3">
      <c r="C51" s="1" t="s">
        <v>370</v>
      </c>
    </row>
    <row r="52" spans="3:3">
      <c r="C52" s="1" t="s">
        <v>371</v>
      </c>
    </row>
    <row r="53" spans="3:3">
      <c r="C53" s="1" t="s">
        <v>372</v>
      </c>
    </row>
    <row r="54" spans="3:3">
      <c r="C54" s="1" t="s">
        <v>373</v>
      </c>
    </row>
  </sheetData>
  <phoneticPr fontId="0" type="noConversion"/>
  <pageMargins left="0.35" right="0.26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9"/>
  <sheetViews>
    <sheetView showGridLines="0" workbookViewId="0">
      <pane xSplit="1" topLeftCell="U1" activePane="topRight" state="frozen"/>
      <selection pane="topRight" activeCell="AF27" sqref="AF27"/>
    </sheetView>
  </sheetViews>
  <sheetFormatPr defaultRowHeight="12.75"/>
  <cols>
    <col min="1" max="1" width="21.7109375" customWidth="1"/>
    <col min="3" max="3" width="11.7109375" customWidth="1"/>
    <col min="13" max="13" width="11.42578125" customWidth="1"/>
    <col min="14" max="14" width="10.85546875" customWidth="1"/>
  </cols>
  <sheetData>
    <row r="1" spans="1:36">
      <c r="A1" s="11"/>
      <c r="B1" s="22"/>
    </row>
    <row r="2" spans="1:36">
      <c r="A2" s="726" t="s">
        <v>354</v>
      </c>
      <c r="B2" s="727">
        <v>1.83</v>
      </c>
    </row>
    <row r="3" spans="1:36">
      <c r="A3" s="9" t="s">
        <v>6</v>
      </c>
      <c r="B3" s="24">
        <v>37165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36">
      <c r="A4" s="8" t="s">
        <v>13</v>
      </c>
      <c r="B4" s="20">
        <v>1.75</v>
      </c>
    </row>
    <row r="5" spans="1:36">
      <c r="A5" s="8" t="s">
        <v>14</v>
      </c>
      <c r="B5" s="20">
        <v>1.73</v>
      </c>
    </row>
    <row r="6" spans="1:36">
      <c r="A6" s="8" t="s">
        <v>15</v>
      </c>
      <c r="B6" s="20">
        <v>2.02</v>
      </c>
    </row>
    <row r="7" spans="1:36">
      <c r="A7" s="8" t="s">
        <v>16</v>
      </c>
      <c r="B7" s="30">
        <v>2.02</v>
      </c>
    </row>
    <row r="8" spans="1:36">
      <c r="A8" s="8" t="s">
        <v>18</v>
      </c>
      <c r="B8" s="20">
        <v>1.76</v>
      </c>
    </row>
    <row r="9" spans="1:36">
      <c r="A9" s="8" t="s">
        <v>19</v>
      </c>
      <c r="B9" s="20">
        <v>1.78</v>
      </c>
    </row>
    <row r="10" spans="1:36">
      <c r="A10" s="8" t="s">
        <v>20</v>
      </c>
      <c r="B10" s="20">
        <v>1.86</v>
      </c>
    </row>
    <row r="11" spans="1:36">
      <c r="A11" s="8" t="s">
        <v>36</v>
      </c>
      <c r="B11" s="20">
        <v>1.81</v>
      </c>
    </row>
    <row r="12" spans="1:36">
      <c r="A12" s="8" t="s">
        <v>17</v>
      </c>
      <c r="B12" s="20">
        <v>2.0499999999999998</v>
      </c>
    </row>
    <row r="13" spans="1:36">
      <c r="C13" s="648" t="s">
        <v>341</v>
      </c>
      <c r="D13" s="647" t="s">
        <v>340</v>
      </c>
    </row>
    <row r="14" spans="1:36">
      <c r="A14" s="126" t="s">
        <v>46</v>
      </c>
      <c r="B14" s="17">
        <f>B3</f>
        <v>37165</v>
      </c>
      <c r="C14" s="17">
        <f>B14+1</f>
        <v>37166</v>
      </c>
      <c r="D14" s="17">
        <f t="shared" ref="D14:AF14" si="0">C14+1</f>
        <v>37167</v>
      </c>
      <c r="E14" s="17">
        <f t="shared" si="0"/>
        <v>37168</v>
      </c>
      <c r="F14" s="17">
        <f t="shared" si="0"/>
        <v>37169</v>
      </c>
      <c r="G14" s="17">
        <f t="shared" si="0"/>
        <v>37170</v>
      </c>
      <c r="H14" s="17">
        <f t="shared" si="0"/>
        <v>37171</v>
      </c>
      <c r="I14" s="17">
        <f t="shared" si="0"/>
        <v>37172</v>
      </c>
      <c r="J14" s="17">
        <f t="shared" si="0"/>
        <v>37173</v>
      </c>
      <c r="K14" s="17">
        <f t="shared" si="0"/>
        <v>37174</v>
      </c>
      <c r="L14" s="17">
        <f t="shared" si="0"/>
        <v>37175</v>
      </c>
      <c r="M14" s="17">
        <f t="shared" si="0"/>
        <v>37176</v>
      </c>
      <c r="N14" s="17">
        <f t="shared" si="0"/>
        <v>37177</v>
      </c>
      <c r="O14" s="17">
        <f t="shared" si="0"/>
        <v>37178</v>
      </c>
      <c r="P14" s="17">
        <f t="shared" si="0"/>
        <v>37179</v>
      </c>
      <c r="Q14" s="17">
        <f t="shared" si="0"/>
        <v>37180</v>
      </c>
      <c r="R14" s="17">
        <f t="shared" si="0"/>
        <v>37181</v>
      </c>
      <c r="S14" s="17">
        <f t="shared" si="0"/>
        <v>37182</v>
      </c>
      <c r="T14" s="17">
        <f t="shared" si="0"/>
        <v>37183</v>
      </c>
      <c r="U14" s="17">
        <f t="shared" si="0"/>
        <v>37184</v>
      </c>
      <c r="V14" s="17">
        <f t="shared" si="0"/>
        <v>37185</v>
      </c>
      <c r="W14" s="17">
        <f t="shared" si="0"/>
        <v>37186</v>
      </c>
      <c r="X14" s="17">
        <f t="shared" si="0"/>
        <v>37187</v>
      </c>
      <c r="Y14" s="17">
        <f t="shared" si="0"/>
        <v>37188</v>
      </c>
      <c r="Z14" s="17">
        <f t="shared" si="0"/>
        <v>37189</v>
      </c>
      <c r="AA14" s="17">
        <f t="shared" si="0"/>
        <v>37190</v>
      </c>
      <c r="AB14" s="17">
        <f t="shared" si="0"/>
        <v>37191</v>
      </c>
      <c r="AC14" s="17">
        <f t="shared" si="0"/>
        <v>37192</v>
      </c>
      <c r="AD14" s="17">
        <f t="shared" si="0"/>
        <v>37193</v>
      </c>
      <c r="AE14" s="355">
        <f t="shared" si="0"/>
        <v>37194</v>
      </c>
      <c r="AF14" s="355">
        <f t="shared" si="0"/>
        <v>37195</v>
      </c>
    </row>
    <row r="15" spans="1:36">
      <c r="A15" s="8"/>
      <c r="B15" s="419" t="s">
        <v>251</v>
      </c>
      <c r="C15" s="419" t="s">
        <v>252</v>
      </c>
      <c r="D15" s="419" t="s">
        <v>253</v>
      </c>
      <c r="E15" s="418" t="s">
        <v>247</v>
      </c>
      <c r="F15" s="419" t="s">
        <v>248</v>
      </c>
      <c r="G15" s="419" t="s">
        <v>249</v>
      </c>
      <c r="H15" s="419" t="s">
        <v>250</v>
      </c>
      <c r="I15" s="419" t="s">
        <v>251</v>
      </c>
      <c r="J15" s="419" t="s">
        <v>252</v>
      </c>
      <c r="K15" s="419" t="s">
        <v>253</v>
      </c>
      <c r="L15" s="418" t="s">
        <v>247</v>
      </c>
      <c r="M15" s="419" t="s">
        <v>248</v>
      </c>
      <c r="N15" s="419" t="s">
        <v>249</v>
      </c>
      <c r="O15" s="419" t="s">
        <v>250</v>
      </c>
      <c r="P15" s="419" t="s">
        <v>251</v>
      </c>
      <c r="Q15" s="419" t="s">
        <v>252</v>
      </c>
      <c r="R15" s="419" t="s">
        <v>253</v>
      </c>
      <c r="S15" s="419" t="s">
        <v>247</v>
      </c>
      <c r="T15" s="419" t="s">
        <v>248</v>
      </c>
      <c r="U15" s="419" t="s">
        <v>249</v>
      </c>
      <c r="V15" s="419" t="s">
        <v>250</v>
      </c>
      <c r="W15" s="419" t="s">
        <v>251</v>
      </c>
      <c r="X15" s="419" t="s">
        <v>252</v>
      </c>
      <c r="Y15" s="419" t="s">
        <v>253</v>
      </c>
      <c r="Z15" s="419" t="s">
        <v>247</v>
      </c>
      <c r="AA15" s="419" t="s">
        <v>248</v>
      </c>
      <c r="AB15" s="419" t="s">
        <v>249</v>
      </c>
      <c r="AC15" s="419" t="s">
        <v>250</v>
      </c>
      <c r="AD15" s="419" t="s">
        <v>251</v>
      </c>
      <c r="AE15" s="419" t="s">
        <v>252</v>
      </c>
      <c r="AF15" s="419" t="s">
        <v>253</v>
      </c>
      <c r="AG15" s="419" t="s">
        <v>247</v>
      </c>
      <c r="AH15" s="419" t="s">
        <v>248</v>
      </c>
      <c r="AI15" s="419" t="s">
        <v>249</v>
      </c>
      <c r="AJ15" s="419" t="s">
        <v>250</v>
      </c>
    </row>
    <row r="16" spans="1:36">
      <c r="A16" s="8" t="s">
        <v>165</v>
      </c>
      <c r="B16" s="43">
        <v>1.76</v>
      </c>
      <c r="C16" s="43">
        <v>1.72</v>
      </c>
      <c r="D16" s="43">
        <v>1.79</v>
      </c>
      <c r="E16" s="43">
        <v>1.96</v>
      </c>
      <c r="F16" s="43">
        <v>2.0950000000000002</v>
      </c>
      <c r="G16" s="43">
        <v>2.0950000000000002</v>
      </c>
      <c r="H16" s="43">
        <v>2.0950000000000002</v>
      </c>
      <c r="I16" s="43">
        <v>2.0950000000000002</v>
      </c>
      <c r="J16" s="43">
        <v>2</v>
      </c>
      <c r="K16" s="43">
        <v>2.08</v>
      </c>
      <c r="L16" s="43">
        <v>2.21</v>
      </c>
      <c r="M16" s="43">
        <v>2.3650000000000002</v>
      </c>
      <c r="N16" s="43">
        <v>2.2799999999999998</v>
      </c>
      <c r="O16" s="43">
        <v>2.2799999999999998</v>
      </c>
      <c r="P16" s="43">
        <v>2.2799999999999998</v>
      </c>
      <c r="Q16" s="43">
        <v>2.2349999999999999</v>
      </c>
      <c r="R16" s="43">
        <v>2.5</v>
      </c>
      <c r="S16" s="43">
        <v>2.645</v>
      </c>
      <c r="T16" s="43">
        <v>2.39</v>
      </c>
      <c r="U16" s="43">
        <v>2.31</v>
      </c>
      <c r="V16" s="43">
        <v>2.31</v>
      </c>
      <c r="W16" s="43">
        <v>2.31</v>
      </c>
      <c r="X16" s="43">
        <v>2.585</v>
      </c>
      <c r="Y16" s="43">
        <v>2.8</v>
      </c>
      <c r="Z16" s="43">
        <v>2.665</v>
      </c>
      <c r="AA16" s="43">
        <v>3.1349999999999998</v>
      </c>
      <c r="AB16" s="43">
        <v>3.04</v>
      </c>
      <c r="AC16" s="43">
        <v>3.04</v>
      </c>
      <c r="AD16" s="43">
        <v>3.04</v>
      </c>
      <c r="AE16" s="43">
        <v>3.2</v>
      </c>
      <c r="AF16" s="43">
        <v>3.085</v>
      </c>
      <c r="AG16" s="43"/>
    </row>
    <row r="18" spans="1:32">
      <c r="A18" s="12" t="s">
        <v>101</v>
      </c>
      <c r="B18" s="43">
        <v>1.98</v>
      </c>
      <c r="C18" s="43">
        <v>1.93</v>
      </c>
      <c r="D18" s="43">
        <v>1.98</v>
      </c>
      <c r="E18" s="43">
        <v>2.1949999999999998</v>
      </c>
      <c r="F18" s="43">
        <v>2.3450000000000002</v>
      </c>
      <c r="G18" s="43">
        <v>2.39</v>
      </c>
      <c r="H18" s="43">
        <v>2.39</v>
      </c>
      <c r="I18" s="43">
        <v>2.39</v>
      </c>
      <c r="J18" s="43">
        <v>2.2799999999999998</v>
      </c>
      <c r="K18" s="43">
        <v>2.3199999999999998</v>
      </c>
      <c r="L18" s="43">
        <v>2.35</v>
      </c>
      <c r="M18" s="43">
        <v>2.4700000000000002</v>
      </c>
      <c r="N18" s="43">
        <v>2.3849999999999998</v>
      </c>
      <c r="O18" s="43">
        <v>2.3849999999999998</v>
      </c>
      <c r="P18" s="43">
        <v>2.3849999999999998</v>
      </c>
      <c r="Q18" s="43">
        <v>2.42</v>
      </c>
      <c r="R18" s="43">
        <v>2.77</v>
      </c>
      <c r="S18" s="43">
        <v>2.95</v>
      </c>
      <c r="T18" s="43">
        <v>2.6</v>
      </c>
      <c r="U18" s="43">
        <v>2.4849999999999999</v>
      </c>
      <c r="V18" s="43">
        <v>2.4849999999999999</v>
      </c>
      <c r="W18" s="43">
        <v>2.4849999999999999</v>
      </c>
      <c r="X18" s="43">
        <v>2.74</v>
      </c>
      <c r="Y18" s="43">
        <v>2.99</v>
      </c>
      <c r="Z18" s="43">
        <v>2.9449999999999998</v>
      </c>
      <c r="AA18" s="43">
        <v>3.51</v>
      </c>
      <c r="AB18" s="43">
        <v>3.415</v>
      </c>
      <c r="AC18" s="43">
        <v>3.415</v>
      </c>
      <c r="AD18" s="43">
        <v>3.415</v>
      </c>
      <c r="AE18" s="43">
        <v>3.5750000000000002</v>
      </c>
      <c r="AF18" s="43">
        <v>3.3450000000000002</v>
      </c>
    </row>
    <row r="20" spans="1:32">
      <c r="A20" s="12" t="s">
        <v>269</v>
      </c>
      <c r="B20" s="43">
        <v>1.7949999999999999</v>
      </c>
      <c r="C20" s="43">
        <v>1.7250000000000001</v>
      </c>
      <c r="D20" s="43">
        <v>1.77</v>
      </c>
      <c r="E20" s="43">
        <v>1.95</v>
      </c>
      <c r="F20" s="43">
        <v>2.1</v>
      </c>
      <c r="G20" s="43">
        <v>2.1150000000000002</v>
      </c>
      <c r="H20" s="43">
        <v>2.1150000000000002</v>
      </c>
      <c r="I20" s="43">
        <v>2.1150000000000002</v>
      </c>
      <c r="J20" s="43">
        <v>2.02</v>
      </c>
      <c r="K20" s="43">
        <v>2.085</v>
      </c>
      <c r="L20" s="43">
        <v>2.1800000000000002</v>
      </c>
      <c r="M20" s="43">
        <v>2.335</v>
      </c>
      <c r="N20" s="43">
        <v>2.2349999999999999</v>
      </c>
      <c r="O20" s="43">
        <v>2.2349999999999999</v>
      </c>
      <c r="P20" s="43">
        <v>2.2349999999999999</v>
      </c>
      <c r="Q20" s="43">
        <v>2.165</v>
      </c>
      <c r="R20" s="43">
        <v>2.4449999999999998</v>
      </c>
      <c r="S20" s="43">
        <v>2.625</v>
      </c>
      <c r="T20" s="43">
        <v>2.355</v>
      </c>
      <c r="U20" s="43">
        <v>2.2749999999999999</v>
      </c>
      <c r="V20" s="43">
        <v>2.2749999999999999</v>
      </c>
      <c r="W20" s="43">
        <v>2.2749999999999999</v>
      </c>
      <c r="X20" s="43">
        <v>2.54</v>
      </c>
      <c r="Y20" s="43">
        <v>2.7850000000000001</v>
      </c>
      <c r="Z20" s="43">
        <v>2.6349999999999998</v>
      </c>
      <c r="AA20" s="43">
        <v>3.145</v>
      </c>
      <c r="AB20" s="43">
        <v>3.04</v>
      </c>
      <c r="AC20" s="43">
        <v>3.04</v>
      </c>
      <c r="AD20" s="43">
        <v>3.04</v>
      </c>
      <c r="AE20" s="43">
        <v>3.1949999999999998</v>
      </c>
      <c r="AF20" s="43">
        <v>3.07</v>
      </c>
    </row>
    <row r="21" spans="1:32">
      <c r="A21" s="12"/>
    </row>
    <row r="22" spans="1:32">
      <c r="A22" s="8" t="s">
        <v>270</v>
      </c>
      <c r="B22" s="43">
        <v>1.68</v>
      </c>
      <c r="C22" s="43">
        <v>1.65</v>
      </c>
      <c r="D22" s="43">
        <v>1.74</v>
      </c>
      <c r="E22" s="43">
        <v>1.92</v>
      </c>
      <c r="F22" s="43">
        <v>2.04</v>
      </c>
      <c r="G22" s="43">
        <v>2.04</v>
      </c>
      <c r="H22" s="43">
        <v>2.04</v>
      </c>
      <c r="I22" s="43">
        <v>2.04</v>
      </c>
      <c r="J22" s="43">
        <v>1.9450000000000001</v>
      </c>
      <c r="K22" s="43">
        <v>2.0299999999999998</v>
      </c>
      <c r="L22" s="43">
        <v>2.125</v>
      </c>
      <c r="M22" s="43">
        <v>2.3050000000000002</v>
      </c>
      <c r="N22" s="43">
        <v>2.2200000000000002</v>
      </c>
      <c r="O22" s="43">
        <v>2.2200000000000002</v>
      </c>
      <c r="P22" s="43">
        <v>2.2200000000000002</v>
      </c>
      <c r="Q22" s="43">
        <v>2.1549999999999998</v>
      </c>
      <c r="R22" s="43">
        <v>2.4249999999999998</v>
      </c>
      <c r="S22" s="43">
        <v>2.59</v>
      </c>
      <c r="T22" s="43">
        <v>2.33</v>
      </c>
      <c r="U22" s="43">
        <v>2.23</v>
      </c>
      <c r="V22" s="43">
        <v>2.23</v>
      </c>
      <c r="W22" s="43">
        <v>2.23</v>
      </c>
      <c r="X22" s="43">
        <v>2.5499999999999998</v>
      </c>
      <c r="Y22" s="43">
        <v>2.78</v>
      </c>
      <c r="Z22" s="43">
        <v>2.6349999999999998</v>
      </c>
      <c r="AA22" s="43">
        <v>3.11</v>
      </c>
      <c r="AB22" s="43">
        <v>2.99</v>
      </c>
      <c r="AC22" s="43">
        <v>2.99</v>
      </c>
      <c r="AD22" s="43">
        <v>2.99</v>
      </c>
      <c r="AE22" s="43">
        <v>3.18</v>
      </c>
      <c r="AF22" s="43">
        <v>3.05</v>
      </c>
    </row>
    <row r="23" spans="1:32">
      <c r="Q23" s="790" t="s">
        <v>146</v>
      </c>
    </row>
    <row r="24" spans="1:32">
      <c r="A24" s="8" t="s">
        <v>103</v>
      </c>
      <c r="B24" s="43">
        <v>1.865</v>
      </c>
      <c r="C24" s="43">
        <v>1.7949999999999999</v>
      </c>
      <c r="D24" s="43">
        <v>1.825</v>
      </c>
      <c r="E24" s="43">
        <v>1.99</v>
      </c>
      <c r="F24" s="43">
        <v>2.165</v>
      </c>
      <c r="G24" s="43">
        <v>2.1749999999999998</v>
      </c>
      <c r="H24" s="43">
        <v>2.1749999999999998</v>
      </c>
      <c r="I24" s="43">
        <v>2.1749999999999998</v>
      </c>
      <c r="J24" s="43">
        <v>2.1</v>
      </c>
      <c r="K24" s="43">
        <v>2.19</v>
      </c>
      <c r="L24" s="43">
        <v>2.2850000000000001</v>
      </c>
      <c r="M24" s="43">
        <v>2.4449999999999998</v>
      </c>
      <c r="N24" s="43">
        <v>2.31</v>
      </c>
      <c r="O24" s="43">
        <v>2.31</v>
      </c>
      <c r="P24" s="43">
        <v>2.31</v>
      </c>
      <c r="Q24" s="43">
        <v>2.2599999999999998</v>
      </c>
      <c r="R24" s="43">
        <v>2.5499999999999998</v>
      </c>
      <c r="S24" s="43">
        <v>2.72</v>
      </c>
      <c r="T24" s="43">
        <v>2.4249999999999998</v>
      </c>
      <c r="U24" s="43">
        <v>2.3650000000000002</v>
      </c>
      <c r="V24" s="43">
        <v>2.3650000000000002</v>
      </c>
      <c r="W24" s="43">
        <v>2.3650000000000002</v>
      </c>
      <c r="X24" s="43">
        <v>2.645</v>
      </c>
      <c r="Y24" s="43">
        <v>2.87</v>
      </c>
      <c r="Z24" s="43">
        <v>2.7250000000000001</v>
      </c>
      <c r="AA24" s="43">
        <v>3.21</v>
      </c>
      <c r="AB24" s="43">
        <v>3.1</v>
      </c>
      <c r="AC24" s="43">
        <v>3.1</v>
      </c>
      <c r="AD24" s="43">
        <v>3.1</v>
      </c>
      <c r="AE24" s="43">
        <v>3.23</v>
      </c>
      <c r="AF24" s="43">
        <v>3.1150000000000002</v>
      </c>
    </row>
    <row r="26" spans="1:32">
      <c r="A26" s="8" t="s">
        <v>104</v>
      </c>
      <c r="B26" s="43">
        <v>2.0249999999999999</v>
      </c>
      <c r="C26" s="43">
        <v>1.93</v>
      </c>
      <c r="D26" s="43">
        <v>1.93</v>
      </c>
      <c r="E26" s="43">
        <v>2.105</v>
      </c>
      <c r="F26" s="43">
        <v>2.2749999999999999</v>
      </c>
      <c r="G26" s="43">
        <v>2.3050000000000002</v>
      </c>
      <c r="H26" s="43">
        <v>2.3050000000000002</v>
      </c>
      <c r="I26" s="43">
        <v>2.3050000000000002</v>
      </c>
      <c r="J26" s="43">
        <v>2.2450000000000001</v>
      </c>
      <c r="K26" s="43">
        <v>2.29</v>
      </c>
      <c r="L26" s="43">
        <v>2.35</v>
      </c>
      <c r="M26" s="43">
        <v>2.48</v>
      </c>
      <c r="N26" s="43">
        <v>2.415</v>
      </c>
      <c r="O26" s="43">
        <v>2.415</v>
      </c>
      <c r="P26" s="43">
        <v>2.415</v>
      </c>
      <c r="Q26" s="43">
        <v>2.38</v>
      </c>
      <c r="R26" s="43">
        <v>2.65</v>
      </c>
      <c r="S26" s="43">
        <v>2.81</v>
      </c>
      <c r="T26" s="43">
        <v>2.5499999999999998</v>
      </c>
      <c r="U26" s="43">
        <v>2.4449999999999998</v>
      </c>
      <c r="V26" s="43">
        <v>2.4449999999999998</v>
      </c>
      <c r="W26" s="43">
        <v>2.4449999999999998</v>
      </c>
      <c r="X26" s="43">
        <v>2.7450000000000001</v>
      </c>
      <c r="Y26" s="43">
        <v>2.9449999999999998</v>
      </c>
      <c r="Z26" s="43">
        <v>2.88</v>
      </c>
      <c r="AA26" s="43">
        <v>3.4649999999999999</v>
      </c>
      <c r="AB26" s="43">
        <v>3.415</v>
      </c>
      <c r="AC26" s="43">
        <v>3.415</v>
      </c>
      <c r="AD26" s="43">
        <v>3.415</v>
      </c>
      <c r="AE26" s="43">
        <v>3.585</v>
      </c>
      <c r="AF26" s="43">
        <v>3.33</v>
      </c>
    </row>
    <row r="29" spans="1:32">
      <c r="B29" t="s">
        <v>223</v>
      </c>
    </row>
  </sheetData>
  <phoneticPr fontId="0" type="noConversion"/>
  <pageMargins left="0.27" right="0.5" top="1" bottom="1" header="0.5" footer="0.5"/>
  <pageSetup paperSize="5"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8"/>
  <sheetViews>
    <sheetView showGridLines="0" zoomScale="6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36" sqref="G36"/>
    </sheetView>
  </sheetViews>
  <sheetFormatPr defaultRowHeight="12.75"/>
  <cols>
    <col min="1" max="1" width="21.85546875" customWidth="1"/>
    <col min="2" max="2" width="11.7109375" customWidth="1"/>
    <col min="3" max="3" width="11.7109375" style="438" customWidth="1"/>
    <col min="4" max="4" width="14.42578125" style="419" customWidth="1"/>
    <col min="5" max="5" width="15.42578125" customWidth="1"/>
    <col min="6" max="6" width="16.5703125" customWidth="1"/>
    <col min="7" max="7" width="25.42578125" customWidth="1"/>
    <col min="8" max="8" width="37.7109375" customWidth="1"/>
    <col min="9" max="9" width="19.42578125" customWidth="1"/>
    <col min="10" max="10" width="17.28515625" customWidth="1"/>
    <col min="11" max="11" width="9.28515625" customWidth="1"/>
    <col min="14" max="14" width="8.5703125" customWidth="1"/>
    <col min="15" max="15" width="13.85546875" customWidth="1"/>
  </cols>
  <sheetData>
    <row r="1" spans="1:15" ht="18">
      <c r="A1" s="55" t="s">
        <v>64</v>
      </c>
    </row>
    <row r="2" spans="1:15">
      <c r="I2" s="413" t="s">
        <v>244</v>
      </c>
      <c r="J2" s="413"/>
      <c r="K2" s="413"/>
    </row>
    <row r="3" spans="1:15">
      <c r="A3" s="56"/>
      <c r="B3" s="56"/>
      <c r="C3" s="439"/>
      <c r="E3" s="56"/>
      <c r="F3" s="47"/>
      <c r="G3" s="56"/>
      <c r="H3" s="56"/>
      <c r="I3" s="56"/>
      <c r="J3" s="56"/>
      <c r="K3" s="56"/>
      <c r="L3" s="56"/>
      <c r="M3" s="56"/>
      <c r="N3" s="56"/>
      <c r="O3" s="56"/>
    </row>
    <row r="4" spans="1:15" ht="15.75">
      <c r="A4" s="57" t="s">
        <v>65</v>
      </c>
      <c r="B4" s="59" t="s">
        <v>68</v>
      </c>
      <c r="C4" s="440" t="s">
        <v>68</v>
      </c>
      <c r="D4" s="458"/>
      <c r="E4" s="59" t="s">
        <v>66</v>
      </c>
      <c r="F4" s="59" t="s">
        <v>67</v>
      </c>
      <c r="G4" s="59" t="s">
        <v>69</v>
      </c>
      <c r="H4" s="59" t="s">
        <v>70</v>
      </c>
      <c r="I4" s="59" t="s">
        <v>71</v>
      </c>
      <c r="J4" s="59" t="s">
        <v>72</v>
      </c>
      <c r="K4" s="60"/>
      <c r="L4" s="61"/>
      <c r="M4" s="59"/>
      <c r="N4" s="58"/>
      <c r="O4" s="59"/>
    </row>
    <row r="5" spans="1:15" ht="15.75">
      <c r="A5" s="62"/>
      <c r="B5" s="64" t="s">
        <v>119</v>
      </c>
      <c r="C5" s="441" t="s">
        <v>272</v>
      </c>
      <c r="D5" s="459" t="s">
        <v>277</v>
      </c>
      <c r="E5" s="63"/>
      <c r="F5" s="64" t="s">
        <v>73</v>
      </c>
      <c r="G5" s="65" t="s">
        <v>74</v>
      </c>
      <c r="H5" s="65"/>
      <c r="I5" s="63"/>
      <c r="J5" s="63"/>
      <c r="K5" s="65"/>
      <c r="L5" s="66"/>
      <c r="M5" s="65"/>
      <c r="N5" s="63"/>
      <c r="O5" s="65"/>
    </row>
    <row r="6" spans="1:15" ht="15.75">
      <c r="A6" s="16"/>
      <c r="B6" s="56"/>
      <c r="C6" s="439"/>
      <c r="D6" s="237"/>
      <c r="E6" s="56"/>
      <c r="F6" s="44"/>
      <c r="G6" s="69"/>
      <c r="H6" s="69"/>
      <c r="I6" s="12"/>
      <c r="J6" s="54"/>
      <c r="K6" s="70"/>
      <c r="L6" s="71"/>
      <c r="M6" s="72"/>
      <c r="N6" s="56"/>
      <c r="O6" s="56"/>
    </row>
    <row r="7" spans="1:15" ht="15.75">
      <c r="A7" s="73" t="s">
        <v>283</v>
      </c>
      <c r="B7" s="95">
        <v>100007</v>
      </c>
      <c r="C7" s="442">
        <v>523666</v>
      </c>
      <c r="D7" s="460">
        <v>2</v>
      </c>
      <c r="E7" s="95" t="s">
        <v>75</v>
      </c>
      <c r="F7" s="96">
        <v>58352</v>
      </c>
      <c r="G7" s="97">
        <v>42825</v>
      </c>
      <c r="H7" s="97" t="s">
        <v>76</v>
      </c>
      <c r="I7" s="658">
        <v>1.1876500000000001</v>
      </c>
      <c r="J7" s="98">
        <f>F7*I7</f>
        <v>69301.752800000002</v>
      </c>
      <c r="K7" s="99"/>
      <c r="L7" s="41"/>
      <c r="M7" s="77"/>
      <c r="N7" s="41"/>
      <c r="O7" s="41"/>
    </row>
    <row r="8" spans="1:15" ht="15.75">
      <c r="A8" s="73"/>
      <c r="B8" s="502">
        <v>100007</v>
      </c>
      <c r="C8" s="503">
        <v>523664</v>
      </c>
      <c r="D8" s="504"/>
      <c r="E8" s="502" t="s">
        <v>75</v>
      </c>
      <c r="F8" s="505">
        <v>15225</v>
      </c>
      <c r="G8" s="506">
        <v>42825</v>
      </c>
      <c r="H8" s="506" t="s">
        <v>77</v>
      </c>
      <c r="I8" s="659">
        <v>5.7215999999999996</v>
      </c>
      <c r="J8" s="507">
        <f>F8*I8</f>
        <v>87111.360000000001</v>
      </c>
      <c r="K8" s="99"/>
      <c r="L8" s="41"/>
      <c r="M8" s="77"/>
      <c r="N8" s="41"/>
      <c r="O8" s="41"/>
    </row>
    <row r="9" spans="1:15" ht="15.75">
      <c r="A9" s="73"/>
      <c r="B9" s="95"/>
      <c r="C9" s="442"/>
      <c r="D9" s="460"/>
      <c r="E9" s="95"/>
      <c r="F9" s="96"/>
      <c r="G9" s="95"/>
      <c r="H9" s="95"/>
      <c r="I9" s="660"/>
      <c r="J9" s="97"/>
      <c r="K9" s="99"/>
      <c r="L9" s="78"/>
      <c r="M9" s="77"/>
      <c r="N9" s="41"/>
      <c r="O9" s="41"/>
    </row>
    <row r="10" spans="1:15" ht="14.25">
      <c r="A10" s="79"/>
      <c r="B10" s="100">
        <v>300107</v>
      </c>
      <c r="C10" s="443"/>
      <c r="D10" s="461">
        <v>9</v>
      </c>
      <c r="E10" s="100" t="s">
        <v>78</v>
      </c>
      <c r="F10" s="101">
        <v>761250</v>
      </c>
      <c r="G10" s="97">
        <v>42308</v>
      </c>
      <c r="H10" s="102" t="s">
        <v>79</v>
      </c>
      <c r="I10" s="658">
        <v>1.4E-2</v>
      </c>
      <c r="J10" s="98">
        <f>F10*I10</f>
        <v>10657.5</v>
      </c>
      <c r="K10" s="103"/>
      <c r="L10" s="41"/>
      <c r="M10" s="81"/>
      <c r="N10" s="41"/>
      <c r="O10" s="81"/>
    </row>
    <row r="11" spans="1:15" ht="14.25">
      <c r="A11" s="79"/>
      <c r="B11" s="100">
        <v>300107</v>
      </c>
      <c r="C11" s="443"/>
      <c r="D11" s="461">
        <v>8</v>
      </c>
      <c r="E11" s="100" t="s">
        <v>78</v>
      </c>
      <c r="F11" s="96">
        <v>15225</v>
      </c>
      <c r="G11" s="97">
        <v>42308</v>
      </c>
      <c r="H11" s="95" t="s">
        <v>80</v>
      </c>
      <c r="I11" s="658">
        <v>1.8548899999999999</v>
      </c>
      <c r="J11" s="98">
        <f>F11*I11</f>
        <v>28240.700249999998</v>
      </c>
      <c r="K11" s="103"/>
      <c r="L11" s="41"/>
      <c r="M11" s="81"/>
      <c r="N11" s="41"/>
      <c r="O11" s="81"/>
    </row>
    <row r="12" spans="1:15" ht="15.75">
      <c r="A12" s="82"/>
      <c r="B12" s="95"/>
      <c r="C12" s="442"/>
      <c r="D12" s="461"/>
      <c r="E12" s="95"/>
      <c r="F12" s="96"/>
      <c r="G12" s="95"/>
      <c r="H12" s="95"/>
      <c r="I12" s="660"/>
      <c r="J12" s="97"/>
      <c r="K12" s="103"/>
      <c r="L12" s="41"/>
      <c r="M12" s="123" t="s">
        <v>99</v>
      </c>
      <c r="N12" s="41"/>
      <c r="O12" s="81"/>
    </row>
    <row r="13" spans="1:15" ht="15.75">
      <c r="A13" s="82"/>
      <c r="B13" s="100">
        <v>300008</v>
      </c>
      <c r="C13" s="443"/>
      <c r="D13" s="461">
        <v>6</v>
      </c>
      <c r="E13" s="100" t="s">
        <v>78</v>
      </c>
      <c r="F13" s="96">
        <v>2791000</v>
      </c>
      <c r="G13" s="102" t="s">
        <v>81</v>
      </c>
      <c r="H13" s="102" t="s">
        <v>79</v>
      </c>
      <c r="I13" s="658">
        <v>1.4E-2</v>
      </c>
      <c r="J13" s="98">
        <f>F13*I13</f>
        <v>39074</v>
      </c>
      <c r="K13" s="103"/>
      <c r="L13" s="41"/>
      <c r="M13" s="81"/>
      <c r="N13" s="41"/>
      <c r="O13" s="81"/>
    </row>
    <row r="14" spans="1:15" ht="15.75">
      <c r="A14" s="82"/>
      <c r="B14" s="100">
        <v>300008</v>
      </c>
      <c r="C14" s="443"/>
      <c r="D14" s="461">
        <v>7</v>
      </c>
      <c r="E14" s="100" t="s">
        <v>78</v>
      </c>
      <c r="F14" s="96">
        <v>53648</v>
      </c>
      <c r="G14" s="102" t="s">
        <v>81</v>
      </c>
      <c r="H14" s="95" t="s">
        <v>80</v>
      </c>
      <c r="I14" s="658">
        <v>1.8549</v>
      </c>
      <c r="J14" s="98">
        <f>F14*I14</f>
        <v>99511.675199999998</v>
      </c>
      <c r="K14" s="103"/>
      <c r="L14" s="41"/>
      <c r="M14" s="81"/>
      <c r="N14" s="41"/>
      <c r="O14" s="81"/>
    </row>
    <row r="15" spans="1:15" ht="15.75">
      <c r="A15" s="82"/>
      <c r="B15" s="100"/>
      <c r="C15" s="443"/>
      <c r="D15" s="460"/>
      <c r="E15" s="101"/>
      <c r="F15" s="101"/>
      <c r="G15" s="100"/>
      <c r="H15" s="100"/>
      <c r="I15" s="660"/>
      <c r="J15" s="102"/>
      <c r="K15" s="104"/>
      <c r="L15" s="83"/>
      <c r="M15" s="73"/>
      <c r="N15" s="67"/>
      <c r="O15" s="67"/>
    </row>
    <row r="16" spans="1:15" ht="15.75">
      <c r="A16" s="82"/>
      <c r="B16" s="95">
        <v>700005</v>
      </c>
      <c r="C16" s="442">
        <v>571492</v>
      </c>
      <c r="D16" s="460">
        <v>5</v>
      </c>
      <c r="E16" s="95" t="s">
        <v>82</v>
      </c>
      <c r="F16" s="101">
        <v>40148</v>
      </c>
      <c r="G16" s="97" t="s">
        <v>83</v>
      </c>
      <c r="H16" s="97" t="s">
        <v>76</v>
      </c>
      <c r="I16" s="658">
        <v>5.70899</v>
      </c>
      <c r="J16" s="98">
        <f>F16*I16</f>
        <v>229204.53052</v>
      </c>
      <c r="K16" s="105"/>
      <c r="L16" s="41"/>
      <c r="M16" s="85"/>
      <c r="N16" s="67"/>
      <c r="O16" s="85"/>
    </row>
    <row r="17" spans="1:15" ht="15.75">
      <c r="A17" s="82"/>
      <c r="B17" s="100"/>
      <c r="C17" s="443"/>
      <c r="D17" s="460"/>
      <c r="E17" s="101"/>
      <c r="F17" s="101"/>
      <c r="G17" s="100"/>
      <c r="H17" s="100"/>
      <c r="I17" s="660"/>
      <c r="J17" s="102"/>
      <c r="K17" s="105"/>
      <c r="L17" s="67"/>
      <c r="M17" s="85"/>
      <c r="N17" s="67"/>
      <c r="O17" s="85"/>
    </row>
    <row r="18" spans="1:15" ht="15.75">
      <c r="A18" s="82"/>
      <c r="B18" s="95">
        <v>200088</v>
      </c>
      <c r="C18" s="442">
        <v>523667</v>
      </c>
      <c r="D18" s="460">
        <v>4</v>
      </c>
      <c r="E18" s="106" t="s">
        <v>84</v>
      </c>
      <c r="F18" s="96">
        <v>10000</v>
      </c>
      <c r="G18" s="97">
        <v>38411</v>
      </c>
      <c r="H18" s="97" t="s">
        <v>76</v>
      </c>
      <c r="I18" s="658">
        <v>5.6097000000000001</v>
      </c>
      <c r="J18" s="98">
        <f>F18*I18</f>
        <v>56097</v>
      </c>
      <c r="K18" s="105" t="s">
        <v>100</v>
      </c>
      <c r="L18" s="67"/>
      <c r="M18" s="85"/>
      <c r="N18" s="67"/>
      <c r="O18" s="85"/>
    </row>
    <row r="19" spans="1:15" ht="15.75">
      <c r="A19" s="82"/>
      <c r="B19" s="95"/>
      <c r="C19" s="442"/>
      <c r="D19" s="460"/>
      <c r="E19" s="106"/>
      <c r="F19" s="96"/>
      <c r="G19" s="97"/>
      <c r="H19" s="97"/>
      <c r="I19" s="428"/>
      <c r="J19" s="98"/>
      <c r="K19" s="105"/>
      <c r="L19" s="67"/>
      <c r="M19" s="85"/>
      <c r="N19" s="67"/>
      <c r="O19" s="85"/>
    </row>
    <row r="20" spans="1:15" s="306" customFormat="1" ht="15.75">
      <c r="A20" s="469"/>
      <c r="B20" s="470"/>
      <c r="C20" s="471"/>
      <c r="D20" s="472"/>
      <c r="E20" s="473"/>
      <c r="F20" s="474"/>
      <c r="G20" s="475"/>
      <c r="H20" s="475"/>
      <c r="I20" s="437"/>
      <c r="J20" s="478">
        <f>SUM(J7:J19)</f>
        <v>619198.51876999997</v>
      </c>
      <c r="K20" s="479" t="s">
        <v>282</v>
      </c>
      <c r="L20" s="476"/>
      <c r="M20" s="477"/>
      <c r="N20" s="476"/>
      <c r="O20" s="477"/>
    </row>
    <row r="21" spans="1:15" ht="15.75">
      <c r="A21" s="82"/>
      <c r="D21" s="460"/>
      <c r="I21" s="430"/>
      <c r="M21" s="35"/>
      <c r="N21" s="84"/>
      <c r="O21" s="67"/>
    </row>
    <row r="22" spans="1:15" ht="15.75">
      <c r="A22" s="82" t="s">
        <v>95</v>
      </c>
      <c r="B22" s="95">
        <v>200088</v>
      </c>
      <c r="C22" s="442"/>
      <c r="D22" s="460"/>
      <c r="E22" s="106" t="s">
        <v>94</v>
      </c>
      <c r="F22" s="96">
        <v>100000</v>
      </c>
      <c r="G22" s="97">
        <v>37195</v>
      </c>
      <c r="H22" s="102" t="s">
        <v>79</v>
      </c>
      <c r="I22" s="428">
        <v>0</v>
      </c>
      <c r="J22" s="124">
        <f>F22*I22</f>
        <v>0</v>
      </c>
      <c r="K22" s="35"/>
      <c r="L22" s="35"/>
      <c r="M22" s="35"/>
      <c r="N22" s="84"/>
      <c r="O22" s="67"/>
    </row>
    <row r="23" spans="1:15" ht="14.25">
      <c r="B23" s="95">
        <v>200088</v>
      </c>
      <c r="C23" s="444"/>
      <c r="D23" s="461">
        <v>21</v>
      </c>
      <c r="E23" s="12" t="s">
        <v>278</v>
      </c>
      <c r="F23" s="96">
        <v>10000</v>
      </c>
      <c r="G23" s="97">
        <v>37195</v>
      </c>
      <c r="H23" s="95" t="s">
        <v>80</v>
      </c>
      <c r="I23" s="428">
        <v>4.9473000000000003</v>
      </c>
      <c r="J23" s="98">
        <f>F23*I23</f>
        <v>49473</v>
      </c>
      <c r="K23" s="125"/>
      <c r="L23" s="92"/>
      <c r="M23" s="85"/>
      <c r="N23" s="41"/>
      <c r="O23" s="81"/>
    </row>
    <row r="24" spans="1:15" ht="14.25">
      <c r="B24" s="389">
        <v>100104</v>
      </c>
      <c r="C24" s="445">
        <v>523664</v>
      </c>
      <c r="D24" s="461">
        <v>3</v>
      </c>
      <c r="F24" s="96">
        <v>15225</v>
      </c>
      <c r="G24" s="97">
        <v>37195</v>
      </c>
      <c r="H24" s="95" t="s">
        <v>80</v>
      </c>
      <c r="I24" s="428">
        <v>0</v>
      </c>
      <c r="J24" s="98">
        <f>F24*I24</f>
        <v>0</v>
      </c>
      <c r="K24" s="125"/>
      <c r="L24" s="92"/>
      <c r="M24" s="85"/>
      <c r="N24" s="41"/>
      <c r="O24" s="81"/>
    </row>
    <row r="25" spans="1:15" ht="15.75">
      <c r="A25" s="82"/>
      <c r="B25" s="95"/>
      <c r="C25" s="442"/>
      <c r="D25" s="461"/>
      <c r="E25" s="95"/>
      <c r="F25" s="96"/>
      <c r="G25" s="95"/>
      <c r="H25" s="95"/>
      <c r="I25" s="429"/>
      <c r="J25" s="97"/>
      <c r="K25" s="103"/>
      <c r="L25" s="41"/>
      <c r="M25" s="81"/>
      <c r="N25" s="41"/>
      <c r="O25" s="81"/>
    </row>
    <row r="26" spans="1:15" s="306" customFormat="1" ht="15.75">
      <c r="A26" s="469"/>
      <c r="B26" s="470"/>
      <c r="C26" s="471"/>
      <c r="D26" s="480"/>
      <c r="E26" s="470"/>
      <c r="F26" s="474"/>
      <c r="G26" s="470"/>
      <c r="H26" s="470"/>
      <c r="I26" s="481"/>
      <c r="J26" s="482">
        <f>SUM(J22:J25)</f>
        <v>49473</v>
      </c>
      <c r="K26" s="479" t="s">
        <v>284</v>
      </c>
      <c r="L26" s="476"/>
      <c r="M26" s="477"/>
      <c r="N26" s="476"/>
      <c r="O26" s="477"/>
    </row>
    <row r="27" spans="1:15" ht="15.75">
      <c r="A27" s="82"/>
      <c r="B27" s="107"/>
      <c r="C27" s="446"/>
      <c r="D27" s="461"/>
      <c r="E27" s="107"/>
      <c r="F27" s="107"/>
      <c r="G27" s="107"/>
      <c r="H27" s="107"/>
      <c r="I27" s="431"/>
      <c r="J27" s="107"/>
      <c r="K27" s="107"/>
    </row>
    <row r="28" spans="1:15" ht="15.75">
      <c r="A28" s="73" t="s">
        <v>63</v>
      </c>
      <c r="B28" s="95">
        <v>38115</v>
      </c>
      <c r="C28" s="442"/>
      <c r="D28" s="460">
        <v>10</v>
      </c>
      <c r="E28" s="95" t="s">
        <v>85</v>
      </c>
      <c r="F28" s="96">
        <v>57970</v>
      </c>
      <c r="G28" s="97">
        <v>38291</v>
      </c>
      <c r="H28" s="97" t="s">
        <v>76</v>
      </c>
      <c r="I28" s="428">
        <v>2.6886000000000001</v>
      </c>
      <c r="J28" s="98">
        <f>F28*I28</f>
        <v>155858.14199999999</v>
      </c>
      <c r="K28" s="103"/>
      <c r="L28" s="41"/>
      <c r="M28" s="81"/>
      <c r="N28" s="41"/>
      <c r="O28" s="81"/>
    </row>
    <row r="29" spans="1:15" ht="15.75">
      <c r="A29" s="73"/>
      <c r="B29" s="95">
        <v>38115</v>
      </c>
      <c r="C29" s="442"/>
      <c r="D29" s="460"/>
      <c r="E29" s="95" t="s">
        <v>85</v>
      </c>
      <c r="F29" s="96">
        <v>57970</v>
      </c>
      <c r="G29" s="97">
        <v>38291</v>
      </c>
      <c r="H29" s="97" t="s">
        <v>225</v>
      </c>
      <c r="I29" s="432">
        <v>-0.84399999999999997</v>
      </c>
      <c r="J29" s="484">
        <f>F29*I29</f>
        <v>-48926.68</v>
      </c>
      <c r="K29" s="103" t="s">
        <v>286</v>
      </c>
      <c r="L29" s="41"/>
      <c r="M29" s="81"/>
      <c r="N29" s="41"/>
      <c r="O29" s="81"/>
    </row>
    <row r="30" spans="1:15" ht="15.75">
      <c r="A30" s="73"/>
      <c r="B30" s="95">
        <v>38115</v>
      </c>
      <c r="C30" s="442"/>
      <c r="D30" s="460"/>
      <c r="E30" s="95" t="s">
        <v>85</v>
      </c>
      <c r="F30" s="96">
        <v>57970</v>
      </c>
      <c r="G30" s="97">
        <v>38291</v>
      </c>
      <c r="H30" s="97" t="s">
        <v>225</v>
      </c>
      <c r="I30" s="428">
        <v>0</v>
      </c>
      <c r="J30" s="98">
        <f>F30*I30</f>
        <v>0</v>
      </c>
      <c r="K30" s="103"/>
      <c r="L30" s="41"/>
      <c r="M30" s="81"/>
      <c r="N30" s="41"/>
      <c r="O30" s="81"/>
    </row>
    <row r="31" spans="1:15" ht="15.75">
      <c r="A31" s="73"/>
      <c r="B31" s="95">
        <v>38115</v>
      </c>
      <c r="C31" s="442"/>
      <c r="D31" s="460"/>
      <c r="E31" s="95" t="s">
        <v>85</v>
      </c>
      <c r="F31" s="96">
        <v>57970</v>
      </c>
      <c r="G31" s="97">
        <v>38291</v>
      </c>
      <c r="H31" s="97" t="s">
        <v>226</v>
      </c>
      <c r="I31" s="428">
        <v>0</v>
      </c>
      <c r="J31" s="98">
        <f>F31*I31</f>
        <v>0</v>
      </c>
      <c r="K31" s="103"/>
      <c r="L31" s="41"/>
      <c r="M31" s="81"/>
      <c r="N31" s="41"/>
      <c r="O31" s="81"/>
    </row>
    <row r="32" spans="1:15" ht="15.75">
      <c r="A32" s="73"/>
      <c r="B32" s="95"/>
      <c r="C32" s="442"/>
      <c r="D32" s="460"/>
      <c r="E32" s="95"/>
      <c r="F32" s="96"/>
      <c r="G32" s="97"/>
      <c r="H32" s="97"/>
      <c r="I32" s="428"/>
      <c r="J32" s="98"/>
      <c r="K32" s="103"/>
      <c r="L32" s="41"/>
      <c r="M32" s="81"/>
      <c r="N32" s="41"/>
      <c r="O32" s="81"/>
    </row>
    <row r="33" spans="1:15" ht="15.75">
      <c r="A33" s="73"/>
      <c r="B33" s="116">
        <v>35889</v>
      </c>
      <c r="C33" s="447"/>
      <c r="D33" s="460">
        <v>16</v>
      </c>
      <c r="E33" s="100" t="s">
        <v>92</v>
      </c>
      <c r="F33" s="101">
        <v>52090</v>
      </c>
      <c r="G33" s="102">
        <v>38077</v>
      </c>
      <c r="H33" s="95" t="s">
        <v>80</v>
      </c>
      <c r="I33" s="428">
        <v>0.76</v>
      </c>
      <c r="J33" s="98">
        <f>F33*I33</f>
        <v>39588.400000000001</v>
      </c>
      <c r="K33" s="107"/>
      <c r="M33" s="81"/>
      <c r="N33" s="41"/>
      <c r="O33" s="81"/>
    </row>
    <row r="34" spans="1:15" ht="15.75">
      <c r="A34" s="73"/>
      <c r="B34" s="116">
        <v>35889</v>
      </c>
      <c r="C34" s="447"/>
      <c r="D34" s="460">
        <v>17</v>
      </c>
      <c r="E34" s="100" t="s">
        <v>92</v>
      </c>
      <c r="F34" s="101">
        <v>778500</v>
      </c>
      <c r="G34" s="102">
        <v>38077</v>
      </c>
      <c r="H34" s="102" t="s">
        <v>79</v>
      </c>
      <c r="I34" s="428">
        <v>0.30399999999999999</v>
      </c>
      <c r="J34" s="122">
        <f>F34*I34</f>
        <v>236664</v>
      </c>
      <c r="K34" s="121"/>
      <c r="L34" s="48"/>
      <c r="M34" s="85"/>
      <c r="N34" s="41"/>
      <c r="O34" s="81"/>
    </row>
    <row r="35" spans="1:15" ht="15.75">
      <c r="A35" s="73"/>
      <c r="B35" s="95"/>
      <c r="C35" s="442"/>
      <c r="D35" s="460"/>
      <c r="E35" s="95"/>
      <c r="F35" s="96"/>
      <c r="G35" s="95"/>
      <c r="H35" s="95"/>
      <c r="I35" s="429"/>
      <c r="J35" s="97"/>
      <c r="K35" s="105"/>
      <c r="L35" s="67"/>
      <c r="M35" s="85"/>
      <c r="N35" s="41"/>
      <c r="O35" s="81"/>
    </row>
    <row r="36" spans="1:15" ht="15.75">
      <c r="A36" s="73"/>
      <c r="B36" s="95"/>
      <c r="C36" s="442"/>
      <c r="D36" s="460"/>
      <c r="E36" s="95"/>
      <c r="F36" s="96"/>
      <c r="G36" s="97"/>
      <c r="H36" s="95"/>
      <c r="I36" s="429"/>
      <c r="J36" s="107"/>
      <c r="K36" s="231"/>
      <c r="L36" s="67"/>
      <c r="M36" s="67"/>
      <c r="N36" s="41"/>
      <c r="O36" s="41"/>
    </row>
    <row r="37" spans="1:15" ht="15.75">
      <c r="A37" s="73"/>
      <c r="B37" s="100">
        <v>53004</v>
      </c>
      <c r="C37" s="443"/>
      <c r="D37" s="460">
        <v>14</v>
      </c>
      <c r="E37" s="100" t="s">
        <v>90</v>
      </c>
      <c r="F37" s="101">
        <v>2848655</v>
      </c>
      <c r="G37" s="102">
        <v>38291</v>
      </c>
      <c r="H37" s="102" t="s">
        <v>79</v>
      </c>
      <c r="I37" s="428">
        <v>2.93E-2</v>
      </c>
      <c r="J37" s="98">
        <f>F37*I37</f>
        <v>83465.591499999995</v>
      </c>
      <c r="K37" s="121"/>
      <c r="L37" s="92"/>
      <c r="M37" s="84"/>
      <c r="N37" s="67"/>
      <c r="O37" s="85"/>
    </row>
    <row r="38" spans="1:15" ht="15.75">
      <c r="A38" s="73"/>
      <c r="B38" s="100">
        <v>53004</v>
      </c>
      <c r="C38" s="443"/>
      <c r="D38" s="460">
        <v>15</v>
      </c>
      <c r="E38" s="100" t="s">
        <v>90</v>
      </c>
      <c r="F38" s="101">
        <v>49030</v>
      </c>
      <c r="G38" s="102">
        <v>38291</v>
      </c>
      <c r="H38" s="102" t="s">
        <v>79</v>
      </c>
      <c r="I38" s="428">
        <v>1.524</v>
      </c>
      <c r="J38" s="98">
        <f>F38*I38</f>
        <v>74721.72</v>
      </c>
      <c r="K38" s="121"/>
      <c r="L38" s="92"/>
      <c r="M38" s="84"/>
      <c r="N38" s="67"/>
      <c r="O38" s="85"/>
    </row>
    <row r="39" spans="1:15" ht="15.75">
      <c r="A39" s="86"/>
      <c r="B39" s="95">
        <v>38088</v>
      </c>
      <c r="C39" s="442"/>
      <c r="D39" s="460">
        <v>12</v>
      </c>
      <c r="E39" s="95" t="s">
        <v>86</v>
      </c>
      <c r="F39" s="96">
        <v>49030</v>
      </c>
      <c r="G39" s="97">
        <v>38291</v>
      </c>
      <c r="H39" s="95" t="s">
        <v>80</v>
      </c>
      <c r="I39" s="428">
        <v>1.524</v>
      </c>
      <c r="J39" s="98">
        <f>F39*I39</f>
        <v>74721.72</v>
      </c>
      <c r="K39" s="121"/>
      <c r="L39" s="67"/>
      <c r="M39" s="85"/>
      <c r="N39" s="41"/>
      <c r="O39" s="87"/>
    </row>
    <row r="40" spans="1:15" ht="15.75">
      <c r="A40" s="86"/>
      <c r="B40" s="95">
        <v>38088</v>
      </c>
      <c r="C40" s="442"/>
      <c r="D40" s="460">
        <v>11</v>
      </c>
      <c r="E40" s="95" t="s">
        <v>86</v>
      </c>
      <c r="F40" s="96">
        <v>49030</v>
      </c>
      <c r="G40" s="97">
        <v>38291</v>
      </c>
      <c r="H40" s="95" t="s">
        <v>80</v>
      </c>
      <c r="I40" s="428">
        <v>6.0590000000000002</v>
      </c>
      <c r="J40" s="98">
        <f>F40*I40</f>
        <v>297072.77</v>
      </c>
      <c r="K40" s="121"/>
      <c r="L40" s="67"/>
      <c r="M40" s="85"/>
      <c r="N40" s="41"/>
      <c r="O40" s="87"/>
    </row>
    <row r="41" spans="1:15" ht="15.75">
      <c r="A41" s="86"/>
      <c r="B41" s="107"/>
      <c r="C41" s="446"/>
      <c r="D41" s="460"/>
      <c r="E41" s="107"/>
      <c r="F41" s="107"/>
      <c r="G41" s="107"/>
      <c r="H41" s="107"/>
      <c r="I41" s="431"/>
      <c r="J41" s="107"/>
      <c r="K41" s="107"/>
    </row>
    <row r="42" spans="1:15" ht="15.75">
      <c r="A42" s="86"/>
      <c r="B42" s="100">
        <v>60537</v>
      </c>
      <c r="C42" s="443"/>
      <c r="D42" s="460">
        <v>18</v>
      </c>
      <c r="E42" s="100" t="s">
        <v>90</v>
      </c>
      <c r="F42" s="101">
        <v>731250</v>
      </c>
      <c r="G42" s="102">
        <v>41943</v>
      </c>
      <c r="H42" s="102" t="s">
        <v>79</v>
      </c>
      <c r="I42" s="428">
        <v>2.93E-2</v>
      </c>
      <c r="J42" s="98">
        <f>F42*I42</f>
        <v>21425.625</v>
      </c>
      <c r="K42" s="107"/>
      <c r="L42" s="92"/>
      <c r="M42" s="84"/>
      <c r="N42" s="67"/>
      <c r="O42" s="85"/>
    </row>
    <row r="43" spans="1:15" ht="15.75">
      <c r="A43" s="86"/>
      <c r="B43" s="100">
        <v>60537</v>
      </c>
      <c r="C43" s="443"/>
      <c r="D43" s="460">
        <v>19</v>
      </c>
      <c r="E43" s="100" t="s">
        <v>90</v>
      </c>
      <c r="F43" s="101">
        <v>14625</v>
      </c>
      <c r="G43" s="102">
        <v>41943</v>
      </c>
      <c r="H43" s="102" t="s">
        <v>79</v>
      </c>
      <c r="I43" s="428">
        <v>1.524</v>
      </c>
      <c r="J43" s="98">
        <f>F43*I43</f>
        <v>22288.5</v>
      </c>
      <c r="K43" s="107"/>
      <c r="L43" s="92"/>
      <c r="M43" s="84"/>
      <c r="N43" s="67"/>
      <c r="O43" s="85"/>
    </row>
    <row r="44" spans="1:15" ht="15.75">
      <c r="A44" s="86"/>
      <c r="B44" s="95">
        <v>60536</v>
      </c>
      <c r="C44" s="442"/>
      <c r="D44" s="460">
        <v>13</v>
      </c>
      <c r="E44" s="95" t="s">
        <v>86</v>
      </c>
      <c r="F44" s="96">
        <v>14625</v>
      </c>
      <c r="G44" s="97">
        <v>41943</v>
      </c>
      <c r="H44" s="95" t="s">
        <v>80</v>
      </c>
      <c r="I44" s="428">
        <v>1.524</v>
      </c>
      <c r="J44" s="98">
        <f>F44*I44</f>
        <v>22288.5</v>
      </c>
      <c r="K44" s="103"/>
      <c r="L44" s="81"/>
    </row>
    <row r="45" spans="1:15" ht="15" customHeight="1">
      <c r="A45" s="86"/>
      <c r="B45" s="95">
        <v>65065</v>
      </c>
      <c r="C45" s="442"/>
      <c r="D45" s="460"/>
      <c r="E45" s="95" t="s">
        <v>85</v>
      </c>
      <c r="F45" s="96">
        <v>38000</v>
      </c>
      <c r="G45" s="97" t="s">
        <v>273</v>
      </c>
      <c r="H45" s="95" t="s">
        <v>80</v>
      </c>
      <c r="I45" s="428">
        <v>1.4</v>
      </c>
      <c r="J45" s="98">
        <f>F45*I45</f>
        <v>53200</v>
      </c>
      <c r="K45" s="103"/>
      <c r="L45" s="81"/>
    </row>
    <row r="46" spans="1:15" ht="15" customHeight="1">
      <c r="A46" s="86"/>
      <c r="B46" s="95">
        <v>65066</v>
      </c>
      <c r="C46" s="442"/>
      <c r="D46" s="460">
        <v>20</v>
      </c>
      <c r="E46" s="95" t="s">
        <v>85</v>
      </c>
      <c r="F46" s="96">
        <v>38000</v>
      </c>
      <c r="G46" s="97" t="s">
        <v>273</v>
      </c>
      <c r="H46" s="95" t="s">
        <v>80</v>
      </c>
      <c r="I46" s="428">
        <v>0</v>
      </c>
      <c r="J46" s="98">
        <f>F46*I46</f>
        <v>0</v>
      </c>
      <c r="K46" s="103" t="s">
        <v>290</v>
      </c>
      <c r="L46" s="81"/>
    </row>
    <row r="47" spans="1:15" ht="15.75">
      <c r="A47" s="86"/>
      <c r="B47" s="95"/>
      <c r="C47" s="442"/>
      <c r="D47" s="460"/>
      <c r="E47" s="95"/>
      <c r="F47" s="96"/>
      <c r="G47" s="97"/>
      <c r="H47" s="95"/>
      <c r="I47" s="428"/>
      <c r="J47" s="98"/>
      <c r="K47" s="103"/>
      <c r="L47" s="81"/>
    </row>
    <row r="48" spans="1:15" s="306" customFormat="1" ht="15.75">
      <c r="A48" s="483"/>
      <c r="B48" s="470"/>
      <c r="C48" s="471"/>
      <c r="D48" s="472"/>
      <c r="E48" s="470"/>
      <c r="F48" s="474"/>
      <c r="G48" s="475"/>
      <c r="H48" s="470"/>
      <c r="I48" s="437"/>
      <c r="J48" s="478">
        <f>SUM(J28:J47)</f>
        <v>1032368.2884999999</v>
      </c>
      <c r="K48" s="479" t="s">
        <v>285</v>
      </c>
      <c r="L48" s="477"/>
    </row>
    <row r="49" spans="1:19" ht="15.75">
      <c r="A49" s="86"/>
      <c r="B49" s="95"/>
      <c r="C49" s="442"/>
      <c r="D49" s="460"/>
      <c r="E49" s="95"/>
      <c r="F49" s="96"/>
      <c r="G49" s="97"/>
      <c r="H49" s="95"/>
      <c r="I49" s="428"/>
      <c r="J49" s="98"/>
      <c r="K49" s="103"/>
      <c r="L49" s="81"/>
    </row>
    <row r="50" spans="1:19" ht="15.75">
      <c r="A50" s="73"/>
      <c r="B50" s="95"/>
      <c r="C50" s="442"/>
      <c r="D50" s="460"/>
      <c r="E50" s="95"/>
      <c r="F50" s="101"/>
      <c r="G50" s="95"/>
      <c r="H50" s="95"/>
      <c r="I50" s="429"/>
      <c r="J50" s="108"/>
      <c r="K50" s="108"/>
      <c r="L50" s="16"/>
      <c r="M50" s="16"/>
      <c r="N50" s="16"/>
      <c r="O50" s="16"/>
    </row>
    <row r="51" spans="1:19" ht="15.75">
      <c r="A51" s="73" t="s">
        <v>87</v>
      </c>
      <c r="B51" s="95">
        <v>38070</v>
      </c>
      <c r="C51" s="442">
        <v>70198</v>
      </c>
      <c r="D51" s="460">
        <v>1</v>
      </c>
      <c r="E51" s="95" t="s">
        <v>85</v>
      </c>
      <c r="F51" s="96">
        <v>51479</v>
      </c>
      <c r="G51" s="97">
        <v>38291</v>
      </c>
      <c r="H51" s="97" t="s">
        <v>76</v>
      </c>
      <c r="I51" s="428">
        <v>3.145</v>
      </c>
      <c r="J51" s="98">
        <f>F51*I51</f>
        <v>161901.45499999999</v>
      </c>
      <c r="K51" s="103"/>
      <c r="L51" s="41"/>
      <c r="M51" s="81"/>
      <c r="N51" s="16"/>
      <c r="O51" s="16"/>
    </row>
    <row r="52" spans="1:19" ht="14.25">
      <c r="A52" s="88"/>
      <c r="B52" s="95"/>
      <c r="C52" s="442"/>
      <c r="D52" s="460"/>
      <c r="E52" s="95"/>
      <c r="F52" s="96"/>
      <c r="G52" s="95"/>
      <c r="H52" s="95"/>
      <c r="I52" s="429"/>
      <c r="J52" s="97"/>
      <c r="K52" s="103"/>
      <c r="L52" s="41"/>
      <c r="M52" s="41"/>
      <c r="N52" s="16"/>
      <c r="O52" s="16"/>
    </row>
    <row r="53" spans="1:19" s="306" customFormat="1" ht="15">
      <c r="A53" s="485"/>
      <c r="B53" s="486"/>
      <c r="C53" s="487"/>
      <c r="D53" s="472"/>
      <c r="E53" s="470"/>
      <c r="F53" s="486"/>
      <c r="G53" s="486"/>
      <c r="H53" s="486"/>
      <c r="I53" s="488"/>
      <c r="J53" s="482">
        <f>SUM(J51:J52)</f>
        <v>161901.45499999999</v>
      </c>
      <c r="K53" s="490" t="s">
        <v>287</v>
      </c>
      <c r="L53" s="476"/>
      <c r="M53" s="476"/>
      <c r="N53" s="476"/>
      <c r="O53" s="489"/>
    </row>
    <row r="54" spans="1:19" ht="14.25">
      <c r="A54" s="67"/>
      <c r="B54" s="109"/>
      <c r="C54" s="448"/>
      <c r="D54" s="460"/>
      <c r="E54" s="95"/>
      <c r="F54" s="109"/>
      <c r="G54" s="109"/>
      <c r="H54" s="109"/>
      <c r="I54" s="427"/>
      <c r="J54" s="109"/>
      <c r="K54" s="109"/>
      <c r="L54" s="41"/>
      <c r="M54" s="41"/>
      <c r="N54" s="41"/>
      <c r="O54" s="41"/>
    </row>
    <row r="55" spans="1:19" ht="15.75">
      <c r="A55" s="73" t="s">
        <v>88</v>
      </c>
      <c r="B55" s="110">
        <v>21882</v>
      </c>
      <c r="C55" s="449">
        <v>35876</v>
      </c>
      <c r="D55" s="460">
        <v>24</v>
      </c>
      <c r="E55" s="95" t="s">
        <v>89</v>
      </c>
      <c r="F55" s="96">
        <v>4599</v>
      </c>
      <c r="G55" s="97">
        <v>36981</v>
      </c>
      <c r="H55" s="97" t="s">
        <v>76</v>
      </c>
      <c r="I55" s="428">
        <v>7.8150000000000004</v>
      </c>
      <c r="J55" s="98">
        <f>F55*I55</f>
        <v>35941.185000000005</v>
      </c>
      <c r="K55" s="103"/>
      <c r="L55" s="41"/>
      <c r="M55" s="81"/>
      <c r="N55" s="41"/>
      <c r="O55" s="90"/>
    </row>
    <row r="56" spans="1:19" ht="15.75">
      <c r="A56" s="73"/>
      <c r="B56" s="110"/>
      <c r="C56" s="449"/>
      <c r="D56" s="460"/>
      <c r="E56" s="95"/>
      <c r="F56" s="96"/>
      <c r="G56" s="97"/>
      <c r="H56" s="97"/>
      <c r="I56" s="428"/>
      <c r="J56" s="98"/>
      <c r="K56" s="103"/>
      <c r="L56" s="41"/>
      <c r="M56" s="81"/>
      <c r="N56" s="41"/>
      <c r="O56" s="90"/>
    </row>
    <row r="57" spans="1:19" s="306" customFormat="1" ht="15.75">
      <c r="A57" s="491"/>
      <c r="B57" s="492"/>
      <c r="C57" s="493"/>
      <c r="D57" s="472"/>
      <c r="E57" s="470"/>
      <c r="F57" s="474"/>
      <c r="G57" s="475"/>
      <c r="H57" s="475"/>
      <c r="I57" s="437"/>
      <c r="J57" s="478">
        <f>SUM(J55:J56)</f>
        <v>35941.185000000005</v>
      </c>
      <c r="K57" s="479" t="s">
        <v>288</v>
      </c>
      <c r="L57" s="476"/>
      <c r="M57" s="477"/>
      <c r="N57" s="476"/>
      <c r="O57" s="494"/>
    </row>
    <row r="58" spans="1:19" ht="15.75">
      <c r="A58" s="73"/>
      <c r="B58" s="110"/>
      <c r="C58" s="449"/>
      <c r="D58" s="460"/>
      <c r="E58" s="95"/>
      <c r="F58" s="96"/>
      <c r="G58" s="97"/>
      <c r="H58" s="97"/>
      <c r="I58" s="428"/>
      <c r="J58" s="98"/>
      <c r="K58" s="103"/>
      <c r="L58" s="41"/>
      <c r="M58" s="81"/>
      <c r="N58" s="41"/>
      <c r="O58" s="90"/>
    </row>
    <row r="59" spans="1:19" ht="15.75">
      <c r="A59" s="86"/>
      <c r="B59" s="109"/>
      <c r="C59" s="448"/>
      <c r="D59" s="460"/>
      <c r="E59" s="95"/>
      <c r="F59" s="109"/>
      <c r="G59" s="109"/>
      <c r="H59" s="109"/>
      <c r="I59" s="427"/>
      <c r="J59" s="95"/>
      <c r="K59" s="95"/>
      <c r="L59" s="41"/>
      <c r="M59" s="89"/>
      <c r="N59" s="41"/>
      <c r="O59" s="41"/>
    </row>
    <row r="60" spans="1:19" ht="15.75">
      <c r="A60" s="73" t="s">
        <v>62</v>
      </c>
      <c r="B60" s="111">
        <v>0.65069999999999995</v>
      </c>
      <c r="C60" s="450"/>
      <c r="D60" s="460">
        <v>26</v>
      </c>
      <c r="E60" s="95" t="s">
        <v>84</v>
      </c>
      <c r="F60" s="96">
        <v>543</v>
      </c>
      <c r="G60" s="97">
        <v>37560</v>
      </c>
      <c r="H60" s="97" t="s">
        <v>76</v>
      </c>
      <c r="I60" s="428">
        <v>10.855399999999999</v>
      </c>
      <c r="J60" s="98">
        <f t="shared" ref="J60:J67" si="0">F60*I60</f>
        <v>5894.4821999999995</v>
      </c>
      <c r="K60" s="107"/>
      <c r="N60" s="41"/>
      <c r="P60" s="80"/>
      <c r="Q60" s="41"/>
      <c r="R60" s="81"/>
      <c r="S60" s="41"/>
    </row>
    <row r="61" spans="1:19" ht="15.75">
      <c r="A61" s="73"/>
      <c r="B61" s="111">
        <v>0.65069999999999995</v>
      </c>
      <c r="C61" s="450"/>
      <c r="D61" s="460">
        <v>27</v>
      </c>
      <c r="E61" s="95" t="s">
        <v>84</v>
      </c>
      <c r="F61" s="96">
        <v>13</v>
      </c>
      <c r="G61" s="97">
        <v>37560</v>
      </c>
      <c r="H61" s="97" t="s">
        <v>76</v>
      </c>
      <c r="I61" s="428">
        <v>10.1875</v>
      </c>
      <c r="J61" s="98">
        <f t="shared" si="0"/>
        <v>132.4375</v>
      </c>
      <c r="K61" s="107"/>
      <c r="N61" s="41"/>
      <c r="P61" s="80"/>
      <c r="Q61" s="41"/>
      <c r="R61" s="81"/>
      <c r="S61" s="41"/>
    </row>
    <row r="62" spans="1:19" ht="15.75">
      <c r="A62" s="86"/>
      <c r="B62" s="111">
        <v>0.39240000000000003</v>
      </c>
      <c r="C62" s="450"/>
      <c r="D62" s="460">
        <v>28</v>
      </c>
      <c r="E62" s="95" t="s">
        <v>84</v>
      </c>
      <c r="F62" s="96">
        <v>6108</v>
      </c>
      <c r="G62" s="97">
        <v>38442</v>
      </c>
      <c r="H62" s="97" t="s">
        <v>76</v>
      </c>
      <c r="I62" s="428">
        <v>9.9682999999999993</v>
      </c>
      <c r="J62" s="98">
        <f t="shared" si="0"/>
        <v>60886.376399999994</v>
      </c>
      <c r="K62" s="107"/>
      <c r="N62" s="41"/>
      <c r="P62" s="74"/>
      <c r="Q62" s="41"/>
      <c r="R62" s="81"/>
      <c r="S62" s="41"/>
    </row>
    <row r="63" spans="1:19" ht="15.75">
      <c r="A63" s="86"/>
      <c r="B63" s="111">
        <v>0.39240000000000003</v>
      </c>
      <c r="C63" s="450"/>
      <c r="D63" s="460">
        <v>29</v>
      </c>
      <c r="E63" s="95" t="s">
        <v>84</v>
      </c>
      <c r="F63" s="96">
        <v>8983</v>
      </c>
      <c r="G63" s="97">
        <v>38442</v>
      </c>
      <c r="H63" s="97" t="s">
        <v>76</v>
      </c>
      <c r="I63" s="428">
        <v>9.4033999999999995</v>
      </c>
      <c r="J63" s="98">
        <f t="shared" si="0"/>
        <v>84470.742199999993</v>
      </c>
      <c r="K63" s="107"/>
      <c r="N63" s="41"/>
      <c r="P63" s="74"/>
      <c r="Q63" s="41"/>
      <c r="R63" s="81"/>
      <c r="S63" s="41"/>
    </row>
    <row r="64" spans="1:19" ht="15.75">
      <c r="A64" s="86"/>
      <c r="B64" s="111">
        <v>0.39240000000000003</v>
      </c>
      <c r="C64" s="450"/>
      <c r="D64" s="460">
        <v>30</v>
      </c>
      <c r="E64" s="95" t="s">
        <v>84</v>
      </c>
      <c r="F64" s="96">
        <v>20839</v>
      </c>
      <c r="G64" s="97">
        <v>38442</v>
      </c>
      <c r="H64" s="97" t="s">
        <v>76</v>
      </c>
      <c r="I64" s="428">
        <v>8.7355</v>
      </c>
      <c r="J64" s="98">
        <f t="shared" si="0"/>
        <v>182039.0845</v>
      </c>
      <c r="K64" s="107"/>
      <c r="N64" s="41"/>
      <c r="P64" s="74"/>
      <c r="Q64" s="41"/>
      <c r="R64" s="81"/>
      <c r="S64" s="41"/>
    </row>
    <row r="65" spans="1:19" ht="15.75">
      <c r="A65" s="86"/>
      <c r="B65" s="111">
        <v>3.1212</v>
      </c>
      <c r="C65" s="450"/>
      <c r="D65" s="460">
        <v>31</v>
      </c>
      <c r="E65" s="95" t="s">
        <v>84</v>
      </c>
      <c r="F65" s="96">
        <v>14625</v>
      </c>
      <c r="G65" s="97">
        <v>38564</v>
      </c>
      <c r="H65" s="97" t="s">
        <v>76</v>
      </c>
      <c r="I65" s="428">
        <v>3.8376999999999999</v>
      </c>
      <c r="J65" s="98">
        <f t="shared" si="0"/>
        <v>56126.362499999996</v>
      </c>
      <c r="K65" s="107"/>
      <c r="N65" s="41"/>
      <c r="P65" s="80"/>
      <c r="Q65" s="41"/>
      <c r="R65" s="81"/>
      <c r="S65" s="41"/>
    </row>
    <row r="66" spans="1:19" ht="15.75">
      <c r="A66" s="86"/>
      <c r="B66" s="116">
        <v>0.39240000000000003</v>
      </c>
      <c r="C66" s="446"/>
      <c r="D66" s="460" t="s">
        <v>281</v>
      </c>
      <c r="E66" s="107" t="s">
        <v>58</v>
      </c>
      <c r="F66" s="96">
        <v>15930</v>
      </c>
      <c r="G66" s="279">
        <v>36981</v>
      </c>
      <c r="H66" s="107" t="s">
        <v>240</v>
      </c>
      <c r="I66" s="428">
        <v>0</v>
      </c>
      <c r="J66" s="98">
        <f t="shared" si="0"/>
        <v>0</v>
      </c>
      <c r="K66" s="107"/>
      <c r="O66" s="81"/>
    </row>
    <row r="67" spans="1:19" ht="15.75">
      <c r="A67" s="86"/>
      <c r="B67" s="508"/>
      <c r="C67" s="509"/>
      <c r="D67" s="504"/>
      <c r="E67" s="508" t="s">
        <v>58</v>
      </c>
      <c r="F67" s="505">
        <v>15930</v>
      </c>
      <c r="G67" s="510">
        <v>36981</v>
      </c>
      <c r="H67" s="508" t="s">
        <v>241</v>
      </c>
      <c r="I67" s="511">
        <f>'Williams FS Price'!P11</f>
        <v>1.951310560954324</v>
      </c>
      <c r="J67" s="507">
        <f t="shared" si="0"/>
        <v>31084.37723600238</v>
      </c>
      <c r="K67" s="107"/>
      <c r="O67" s="81"/>
    </row>
    <row r="68" spans="1:19" ht="15.75">
      <c r="A68" s="86"/>
      <c r="B68" s="113"/>
      <c r="C68" s="451"/>
      <c r="D68" s="460"/>
      <c r="E68" s="112"/>
      <c r="F68" s="113"/>
      <c r="G68" s="114"/>
      <c r="H68" s="114"/>
      <c r="I68" s="427"/>
      <c r="J68" s="114"/>
      <c r="K68" s="100"/>
      <c r="L68" s="94"/>
      <c r="M68" s="67"/>
      <c r="N68" s="94"/>
      <c r="O68" s="67"/>
      <c r="P68" s="67"/>
      <c r="Q68" s="93"/>
    </row>
    <row r="69" spans="1:19" ht="15.75">
      <c r="A69" s="73"/>
      <c r="B69" s="468" t="s">
        <v>279</v>
      </c>
      <c r="C69" s="443"/>
      <c r="D69" s="460">
        <v>33</v>
      </c>
      <c r="E69" s="100" t="s">
        <v>91</v>
      </c>
      <c r="F69" s="101">
        <v>724500</v>
      </c>
      <c r="G69" s="115">
        <v>35885</v>
      </c>
      <c r="H69" s="102" t="s">
        <v>79</v>
      </c>
      <c r="I69" s="428">
        <v>7.9006000000000007E-3</v>
      </c>
      <c r="J69" s="98">
        <f>F69*I69</f>
        <v>5723.9847000000009</v>
      </c>
      <c r="K69" s="107"/>
      <c r="P69" s="67"/>
      <c r="Q69" s="19"/>
    </row>
    <row r="70" spans="1:19" ht="14.25">
      <c r="A70" s="35"/>
      <c r="B70" s="468" t="s">
        <v>279</v>
      </c>
      <c r="C70" s="446"/>
      <c r="D70" s="460">
        <v>32</v>
      </c>
      <c r="E70" s="100" t="s">
        <v>91</v>
      </c>
      <c r="F70" s="101">
        <v>8523</v>
      </c>
      <c r="G70" s="115">
        <v>35885</v>
      </c>
      <c r="H70" s="95" t="s">
        <v>80</v>
      </c>
      <c r="I70" s="428">
        <v>0.66725000000000001</v>
      </c>
      <c r="J70" s="98">
        <f>F70*I70</f>
        <v>5686.9717499999997</v>
      </c>
      <c r="K70" s="107"/>
      <c r="Q70" s="19"/>
    </row>
    <row r="71" spans="1:19" ht="14.25">
      <c r="B71" s="107"/>
      <c r="C71" s="446"/>
      <c r="E71" s="107"/>
      <c r="F71" s="107"/>
      <c r="G71" s="107"/>
      <c r="H71" s="107"/>
      <c r="I71" s="429"/>
      <c r="J71" s="107"/>
      <c r="K71" s="107"/>
      <c r="R71" s="19"/>
      <c r="S71" s="19"/>
    </row>
    <row r="72" spans="1:19" ht="15.75">
      <c r="A72" s="73"/>
      <c r="B72" s="468" t="s">
        <v>280</v>
      </c>
      <c r="C72" s="443"/>
      <c r="D72" s="419">
        <v>36</v>
      </c>
      <c r="E72" s="100" t="s">
        <v>93</v>
      </c>
      <c r="F72" s="101">
        <v>90254</v>
      </c>
      <c r="H72" s="102" t="s">
        <v>79</v>
      </c>
      <c r="I72" s="428">
        <v>4.8099999999999997E-2</v>
      </c>
      <c r="J72" s="98">
        <f>F72*I72</f>
        <v>4341.2173999999995</v>
      </c>
      <c r="K72" s="107"/>
      <c r="L72" s="67"/>
      <c r="M72" s="67"/>
      <c r="N72" s="67"/>
      <c r="O72" s="67"/>
      <c r="P72" s="67"/>
      <c r="R72" s="19"/>
      <c r="S72" s="19"/>
    </row>
    <row r="73" spans="1:19" ht="15.75">
      <c r="A73" s="73"/>
      <c r="B73" s="468" t="s">
        <v>280</v>
      </c>
      <c r="C73" s="444"/>
      <c r="D73" s="419">
        <v>37</v>
      </c>
      <c r="E73" s="100" t="s">
        <v>93</v>
      </c>
      <c r="F73" s="101">
        <v>8970</v>
      </c>
      <c r="G73" s="100"/>
      <c r="H73" s="95" t="s">
        <v>80</v>
      </c>
      <c r="I73" s="428">
        <v>0.48399999999999999</v>
      </c>
      <c r="J73" s="98">
        <f>F73*I73</f>
        <v>4341.4799999999996</v>
      </c>
      <c r="K73" s="107"/>
      <c r="L73" s="67"/>
      <c r="M73" s="67"/>
      <c r="N73" s="67"/>
      <c r="O73" s="67"/>
      <c r="P73" s="67"/>
      <c r="R73" s="19"/>
      <c r="S73" s="19"/>
    </row>
    <row r="74" spans="1:19" ht="14.25">
      <c r="B74" s="107"/>
      <c r="C74" s="446"/>
      <c r="E74" s="107"/>
      <c r="F74" s="107"/>
      <c r="G74" s="107"/>
      <c r="H74" s="107"/>
      <c r="I74" s="429"/>
      <c r="J74" s="107"/>
      <c r="K74" s="107"/>
      <c r="R74" s="35"/>
      <c r="S74" s="35"/>
    </row>
    <row r="75" spans="1:19" ht="14.25">
      <c r="B75" s="117">
        <v>0.37680000000000002</v>
      </c>
      <c r="C75" s="452"/>
      <c r="D75" s="419">
        <v>35</v>
      </c>
      <c r="E75" s="100" t="s">
        <v>78</v>
      </c>
      <c r="F75" s="101">
        <v>98790</v>
      </c>
      <c r="G75" s="115">
        <v>41364</v>
      </c>
      <c r="H75" s="102" t="s">
        <v>79</v>
      </c>
      <c r="I75" s="428">
        <v>1.6199999999999999E-2</v>
      </c>
      <c r="J75" s="98">
        <f>F75*I75</f>
        <v>1600.3979999999999</v>
      </c>
      <c r="K75" s="107"/>
      <c r="L75" s="67"/>
      <c r="M75" s="67"/>
      <c r="N75" s="67"/>
      <c r="O75" s="67"/>
      <c r="R75" s="35"/>
      <c r="S75" s="35"/>
    </row>
    <row r="76" spans="1:19" ht="14.25">
      <c r="B76" s="117">
        <v>0.37680000000000002</v>
      </c>
      <c r="C76" s="446"/>
      <c r="D76" s="419">
        <v>34</v>
      </c>
      <c r="E76" s="100" t="s">
        <v>78</v>
      </c>
      <c r="F76" s="101">
        <v>2070</v>
      </c>
      <c r="G76" s="107"/>
      <c r="H76" s="95" t="s">
        <v>80</v>
      </c>
      <c r="I76" s="428">
        <v>2.4169</v>
      </c>
      <c r="J76" s="98">
        <f>F76*I76</f>
        <v>5002.9830000000002</v>
      </c>
      <c r="K76" s="107"/>
      <c r="R76" s="35"/>
      <c r="S76" s="35"/>
    </row>
    <row r="77" spans="1:19" ht="14.25">
      <c r="B77" s="117"/>
      <c r="C77" s="446"/>
      <c r="E77" s="100"/>
      <c r="F77" s="101"/>
      <c r="G77" s="107"/>
      <c r="H77" s="95"/>
      <c r="I77" s="495"/>
      <c r="J77" s="98"/>
      <c r="K77" s="107"/>
      <c r="R77" s="35"/>
      <c r="S77" s="35"/>
    </row>
    <row r="78" spans="1:19" s="306" customFormat="1" ht="15">
      <c r="B78" s="496"/>
      <c r="C78" s="497"/>
      <c r="D78" s="480"/>
      <c r="E78" s="470"/>
      <c r="F78" s="474"/>
      <c r="G78" s="498"/>
      <c r="H78" s="470"/>
      <c r="I78" s="499"/>
      <c r="J78" s="478">
        <f>SUM(J60:J77)</f>
        <v>447330.89738600235</v>
      </c>
      <c r="K78" s="501" t="s">
        <v>289</v>
      </c>
      <c r="R78" s="500"/>
      <c r="S78" s="500"/>
    </row>
    <row r="79" spans="1:19" ht="14.25">
      <c r="B79" s="117"/>
      <c r="C79" s="446"/>
      <c r="E79" s="100"/>
      <c r="F79" s="101"/>
      <c r="G79" s="107"/>
      <c r="H79" s="95"/>
      <c r="I79" s="495"/>
      <c r="J79" s="98"/>
      <c r="K79" s="107"/>
      <c r="R79" s="35"/>
      <c r="S79" s="35"/>
    </row>
    <row r="80" spans="1:19" ht="15">
      <c r="B80" s="107"/>
      <c r="C80" s="446"/>
      <c r="E80" s="118"/>
      <c r="F80" s="118"/>
      <c r="G80" s="107"/>
      <c r="H80" s="107"/>
      <c r="I80" s="107"/>
      <c r="J80" s="107"/>
      <c r="K80" s="107"/>
      <c r="R80" s="35"/>
      <c r="S80" s="35"/>
    </row>
    <row r="81" spans="1:19" ht="15">
      <c r="B81" s="107"/>
      <c r="C81" s="446"/>
      <c r="E81" s="107"/>
      <c r="F81" s="107"/>
      <c r="G81" s="107"/>
      <c r="H81" s="107"/>
      <c r="I81" s="107"/>
      <c r="J81" s="120">
        <f>SUM(J78,J57,J53,J48,J26,J20)</f>
        <v>2346213.3446560022</v>
      </c>
      <c r="K81" s="107"/>
      <c r="R81" s="35"/>
      <c r="S81" s="35"/>
    </row>
    <row r="82" spans="1:19" ht="15.75">
      <c r="A82" s="68"/>
      <c r="B82" s="119"/>
      <c r="C82" s="453"/>
      <c r="D82" s="462"/>
      <c r="E82" s="119"/>
      <c r="F82" s="119"/>
      <c r="G82" s="107"/>
      <c r="H82" s="107"/>
      <c r="I82" s="107"/>
      <c r="K82" s="107"/>
      <c r="R82" s="35"/>
      <c r="S82" s="35"/>
    </row>
    <row r="83" spans="1:19" ht="14.25">
      <c r="A83" s="35"/>
      <c r="B83" s="108"/>
      <c r="C83" s="454"/>
      <c r="D83" s="460"/>
      <c r="E83" s="108"/>
      <c r="F83" s="108"/>
      <c r="G83" s="108"/>
      <c r="H83" s="108"/>
      <c r="I83" s="108"/>
      <c r="J83" s="108"/>
      <c r="K83" s="108"/>
      <c r="L83" s="16"/>
      <c r="M83" s="16"/>
      <c r="N83" s="16"/>
      <c r="O83" s="16"/>
    </row>
    <row r="84" spans="1:19" ht="15.75">
      <c r="A84" s="73"/>
      <c r="B84" s="111"/>
      <c r="C84" s="450"/>
      <c r="E84" s="95"/>
      <c r="F84" s="96"/>
      <c r="G84" s="95"/>
      <c r="H84" s="95"/>
      <c r="I84" s="109"/>
      <c r="J84" s="97"/>
      <c r="K84" s="103"/>
      <c r="L84" s="41"/>
      <c r="M84" s="81"/>
      <c r="N84" s="41"/>
    </row>
    <row r="85" spans="1:19">
      <c r="A85" s="35"/>
      <c r="B85" s="91"/>
      <c r="C85" s="455"/>
      <c r="E85" s="74"/>
      <c r="F85" s="75"/>
      <c r="G85" s="74"/>
      <c r="H85" s="74"/>
      <c r="I85" s="41"/>
      <c r="J85" s="76"/>
      <c r="K85" s="80"/>
      <c r="L85" s="41"/>
      <c r="M85" s="81"/>
      <c r="N85" s="41"/>
    </row>
    <row r="86" spans="1:19">
      <c r="A86" s="35"/>
      <c r="B86" s="91"/>
      <c r="C86" s="455"/>
      <c r="E86" s="74"/>
      <c r="F86" s="75"/>
      <c r="G86" s="74"/>
      <c r="H86" s="74"/>
      <c r="I86" s="41"/>
      <c r="J86" s="76"/>
      <c r="K86" s="80"/>
      <c r="L86" s="41"/>
      <c r="M86" s="81"/>
      <c r="N86" s="41"/>
    </row>
    <row r="87" spans="1:19">
      <c r="A87" s="35"/>
      <c r="B87" s="41"/>
      <c r="C87" s="456"/>
      <c r="D87" s="237"/>
      <c r="E87" s="45"/>
      <c r="F87" s="41"/>
      <c r="G87" s="41"/>
      <c r="H87" s="41"/>
      <c r="I87" s="76"/>
      <c r="J87" s="80"/>
      <c r="K87" s="41"/>
      <c r="L87" s="81"/>
      <c r="M87" s="41"/>
      <c r="N87" s="16"/>
    </row>
    <row r="88" spans="1:19">
      <c r="A88" s="35"/>
      <c r="D88" s="237"/>
      <c r="E88" s="40"/>
      <c r="F88" s="40"/>
      <c r="G88" s="16"/>
      <c r="H88" s="16"/>
      <c r="I88" s="16"/>
      <c r="J88" s="16"/>
      <c r="K88" s="16"/>
      <c r="L88" s="16"/>
      <c r="M88" s="16"/>
      <c r="N88" s="16"/>
    </row>
    <row r="89" spans="1:19">
      <c r="A89" s="35"/>
      <c r="B89" s="16"/>
      <c r="C89" s="457"/>
      <c r="D89" s="460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9">
      <c r="A90" s="35"/>
      <c r="B90" s="16"/>
      <c r="C90" s="457"/>
      <c r="D90" s="460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9">
      <c r="A91" s="35"/>
      <c r="B91" s="16"/>
      <c r="C91" s="457"/>
      <c r="D91" s="460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19">
      <c r="A92" s="35"/>
      <c r="B92" s="16"/>
      <c r="C92" s="457"/>
      <c r="D92" s="460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19">
      <c r="A93" s="35"/>
      <c r="B93" s="16"/>
      <c r="C93" s="457"/>
      <c r="D93" s="460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19">
      <c r="A94" s="35"/>
      <c r="B94" s="16"/>
      <c r="C94" s="457"/>
      <c r="D94" s="460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19">
      <c r="A95" s="35"/>
      <c r="B95" s="16"/>
      <c r="C95" s="457"/>
      <c r="D95" s="460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9">
      <c r="A96" s="35"/>
      <c r="B96" s="16"/>
      <c r="C96" s="457"/>
      <c r="D96" s="460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>
      <c r="A97" s="35"/>
      <c r="B97" s="16"/>
      <c r="C97" s="457"/>
      <c r="D97" s="460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>
      <c r="A98" s="35"/>
      <c r="B98" s="16"/>
      <c r="C98" s="457"/>
      <c r="D98" s="460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>
      <c r="A99" s="35"/>
      <c r="B99" s="16"/>
      <c r="C99" s="457"/>
      <c r="D99" s="460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>
      <c r="A100" s="35"/>
      <c r="B100" s="16"/>
      <c r="C100" s="457"/>
      <c r="D100" s="460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>
      <c r="A101" s="35"/>
      <c r="B101" s="16"/>
      <c r="C101" s="457"/>
      <c r="D101" s="460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>
      <c r="A102" s="35"/>
      <c r="B102" s="16"/>
      <c r="C102" s="457"/>
      <c r="D102" s="460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>
      <c r="A103" s="35"/>
      <c r="B103" s="16"/>
      <c r="C103" s="457"/>
      <c r="D103" s="460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>
      <c r="A104" s="35"/>
      <c r="B104" s="16"/>
      <c r="C104" s="457"/>
      <c r="D104" s="460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>
      <c r="A105" s="35"/>
      <c r="B105" s="16"/>
      <c r="C105" s="457"/>
      <c r="D105" s="460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>
      <c r="A106" s="35"/>
      <c r="B106" s="16"/>
      <c r="C106" s="457"/>
      <c r="D106" s="460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>
      <c r="A107" s="35"/>
      <c r="B107" s="16"/>
      <c r="C107" s="457"/>
      <c r="D107" s="460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>
      <c r="A108" s="35"/>
      <c r="B108" s="16"/>
      <c r="C108" s="457"/>
      <c r="D108" s="460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>
      <c r="A109" s="35"/>
      <c r="B109" s="16"/>
      <c r="C109" s="457"/>
      <c r="D109" s="460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>
      <c r="A110" s="35"/>
      <c r="B110" s="16"/>
      <c r="C110" s="457"/>
      <c r="D110" s="460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>
      <c r="A111" s="35"/>
      <c r="B111" s="16"/>
      <c r="C111" s="457"/>
      <c r="D111" s="460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>
      <c r="A112" s="35"/>
      <c r="B112" s="16"/>
      <c r="C112" s="457"/>
      <c r="D112" s="460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>
      <c r="A113" s="35"/>
      <c r="B113" s="16"/>
      <c r="C113" s="457"/>
      <c r="D113" s="460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>
      <c r="A114" s="35"/>
      <c r="B114" s="16"/>
      <c r="C114" s="457"/>
      <c r="D114" s="460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>
      <c r="A115" s="35"/>
      <c r="B115" s="16"/>
      <c r="C115" s="457"/>
      <c r="D115" s="460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>
      <c r="A116" s="35"/>
      <c r="B116" s="16"/>
      <c r="C116" s="457"/>
      <c r="D116" s="46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1:15">
      <c r="A117" s="35"/>
      <c r="B117" s="16"/>
      <c r="C117" s="457"/>
      <c r="D117" s="460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1:15">
      <c r="A118" s="35"/>
      <c r="B118" s="16"/>
      <c r="C118" s="457"/>
      <c r="D118" s="460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1:15">
      <c r="A119" s="35"/>
      <c r="B119" s="16"/>
      <c r="C119" s="457"/>
      <c r="D119" s="460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1:15">
      <c r="A120" s="35"/>
      <c r="B120" s="16"/>
      <c r="C120" s="457"/>
      <c r="D120" s="460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>
      <c r="A121" s="35"/>
      <c r="B121" s="16"/>
      <c r="C121" s="457"/>
      <c r="D121" s="460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>
      <c r="A122" s="35"/>
      <c r="B122" s="16"/>
      <c r="C122" s="457"/>
      <c r="D122" s="460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1:15">
      <c r="A123" s="35"/>
      <c r="B123" s="16"/>
      <c r="C123" s="457"/>
      <c r="D123" s="460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1:15">
      <c r="A124" s="35"/>
      <c r="B124" s="16"/>
      <c r="C124" s="457"/>
      <c r="D124" s="460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1:15">
      <c r="A125" s="35"/>
      <c r="B125" s="16"/>
      <c r="C125" s="457"/>
      <c r="D125" s="460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1:15">
      <c r="A126" s="35"/>
      <c r="B126" s="16"/>
      <c r="C126" s="457"/>
      <c r="D126" s="460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1:15">
      <c r="A127" s="35"/>
      <c r="B127" s="16"/>
      <c r="C127" s="457"/>
      <c r="D127" s="460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1:15">
      <c r="A128" s="35"/>
      <c r="B128" s="16"/>
      <c r="C128" s="457"/>
      <c r="D128" s="460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1:15">
      <c r="A129" s="35"/>
      <c r="B129" s="16"/>
      <c r="C129" s="457"/>
      <c r="D129" s="460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1:15">
      <c r="A130" s="35"/>
      <c r="B130" s="16"/>
      <c r="C130" s="457"/>
      <c r="D130" s="460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1:15">
      <c r="A131" s="35"/>
      <c r="B131" s="16"/>
      <c r="C131" s="457"/>
      <c r="D131" s="460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1:15">
      <c r="A132" s="35"/>
      <c r="B132" s="16"/>
      <c r="C132" s="457"/>
      <c r="D132" s="460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1:15">
      <c r="A133" s="35"/>
      <c r="B133" s="16"/>
      <c r="C133" s="457"/>
      <c r="D133" s="460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1:15">
      <c r="A134" s="35"/>
      <c r="B134" s="16"/>
      <c r="C134" s="457"/>
      <c r="D134" s="460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1:15">
      <c r="A135" s="35"/>
      <c r="B135" s="16"/>
      <c r="C135" s="457"/>
      <c r="D135" s="460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1:15">
      <c r="A136" s="35"/>
      <c r="B136" s="16"/>
      <c r="C136" s="457"/>
      <c r="D136" s="460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1:15">
      <c r="A137" s="35"/>
      <c r="B137" s="16"/>
      <c r="C137" s="457"/>
      <c r="D137" s="460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1:15">
      <c r="A138" s="35"/>
      <c r="B138" s="16"/>
      <c r="C138" s="457"/>
      <c r="D138" s="460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1:15">
      <c r="A139" s="35"/>
      <c r="B139" s="16"/>
      <c r="C139" s="457"/>
      <c r="D139" s="460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1:15">
      <c r="A140" s="35"/>
      <c r="B140" s="16"/>
      <c r="C140" s="457"/>
      <c r="D140" s="460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1:15">
      <c r="A141" s="35"/>
      <c r="B141" s="16"/>
      <c r="C141" s="457"/>
      <c r="D141" s="460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1:15">
      <c r="A142" s="35"/>
      <c r="B142" s="16"/>
      <c r="C142" s="457"/>
      <c r="D142" s="460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1:15">
      <c r="A143" s="35"/>
      <c r="B143" s="16"/>
      <c r="C143" s="457"/>
      <c r="D143" s="460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1:15">
      <c r="A144" s="35"/>
      <c r="B144" s="16"/>
      <c r="C144" s="457"/>
      <c r="D144" s="460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>
      <c r="A145" s="35"/>
      <c r="B145" s="16"/>
      <c r="C145" s="457"/>
      <c r="D145" s="460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>
      <c r="A146" s="35"/>
      <c r="B146" s="16"/>
      <c r="C146" s="457"/>
      <c r="D146" s="460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1:15">
      <c r="A147" s="35"/>
      <c r="B147" s="16"/>
      <c r="C147" s="457"/>
      <c r="D147" s="460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 spans="1:15">
      <c r="A148" s="35"/>
      <c r="B148" s="16"/>
      <c r="C148" s="457"/>
      <c r="D148" s="460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 spans="1:15">
      <c r="A149" s="35"/>
      <c r="B149" s="16"/>
      <c r="C149" s="457"/>
      <c r="D149" s="460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 spans="1:15">
      <c r="A150" s="35"/>
      <c r="B150" s="16"/>
      <c r="C150" s="457"/>
      <c r="D150" s="460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 spans="1:15">
      <c r="A151" s="35"/>
      <c r="B151" s="16"/>
      <c r="C151" s="457"/>
      <c r="D151" s="460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1:15">
      <c r="A152" s="35"/>
      <c r="B152" s="16"/>
      <c r="C152" s="457"/>
      <c r="D152" s="460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 spans="1:15">
      <c r="A153" s="35"/>
      <c r="B153" s="16"/>
      <c r="C153" s="457"/>
      <c r="D153" s="460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 spans="1:15">
      <c r="A154" s="35"/>
      <c r="B154" s="16"/>
      <c r="C154" s="457"/>
      <c r="D154" s="460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 spans="1:15">
      <c r="A155" s="35"/>
      <c r="B155" s="16"/>
      <c r="C155" s="457"/>
      <c r="D155" s="460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 spans="1:15">
      <c r="A156" s="35"/>
      <c r="B156" s="16"/>
      <c r="C156" s="457"/>
      <c r="D156" s="460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 spans="1:15">
      <c r="A157" s="35"/>
      <c r="B157" s="16"/>
      <c r="C157" s="457"/>
      <c r="D157" s="460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 spans="1:15">
      <c r="A158" s="35"/>
      <c r="B158" s="16"/>
      <c r="C158" s="457"/>
      <c r="D158" s="460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 spans="1:15">
      <c r="A159" s="35"/>
      <c r="B159" s="16"/>
      <c r="C159" s="457"/>
      <c r="D159" s="460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 spans="1:15">
      <c r="A160" s="35"/>
      <c r="B160" s="16"/>
      <c r="C160" s="457"/>
      <c r="D160" s="460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 spans="1:15">
      <c r="A161" s="35"/>
      <c r="B161" s="16"/>
      <c r="C161" s="457"/>
      <c r="D161" s="460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 spans="1:15">
      <c r="A162" s="35"/>
      <c r="B162" s="16"/>
      <c r="C162" s="457"/>
      <c r="D162" s="460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 spans="1:15">
      <c r="A163" s="35"/>
      <c r="B163" s="16"/>
      <c r="C163" s="457"/>
      <c r="D163" s="460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 spans="1:15">
      <c r="A164" s="35"/>
      <c r="B164" s="16"/>
      <c r="C164" s="457"/>
      <c r="D164" s="460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 spans="1:15">
      <c r="A165" s="35"/>
      <c r="B165" s="16"/>
      <c r="C165" s="457"/>
      <c r="D165" s="460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 spans="1:15">
      <c r="A166" s="35"/>
      <c r="B166" s="16"/>
      <c r="C166" s="457"/>
      <c r="D166" s="460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 spans="1:15">
      <c r="A167" s="35"/>
      <c r="B167" s="16"/>
      <c r="C167" s="457"/>
      <c r="D167" s="460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 spans="1:15">
      <c r="A168" s="35"/>
      <c r="B168" s="16"/>
      <c r="C168" s="457"/>
      <c r="D168" s="460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 spans="1:15">
      <c r="A169" s="35"/>
      <c r="B169" s="16"/>
      <c r="C169" s="457"/>
      <c r="D169" s="460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 spans="1:15">
      <c r="A170" s="35"/>
      <c r="B170" s="16"/>
      <c r="C170" s="457"/>
      <c r="D170" s="460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 spans="1:15">
      <c r="A171" s="35"/>
      <c r="B171" s="16"/>
      <c r="C171" s="457"/>
      <c r="D171" s="460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 spans="1:15">
      <c r="A172" s="35"/>
      <c r="B172" s="16"/>
      <c r="C172" s="457"/>
      <c r="D172" s="460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 spans="1:15">
      <c r="A173" s="35"/>
      <c r="B173" s="16"/>
      <c r="C173" s="457"/>
      <c r="D173" s="460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 spans="1:15">
      <c r="A174" s="35"/>
      <c r="B174" s="16"/>
      <c r="C174" s="457"/>
      <c r="D174" s="460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 spans="1:15">
      <c r="A175" s="35"/>
      <c r="B175" s="16"/>
      <c r="C175" s="457"/>
      <c r="D175" s="460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 spans="1:15">
      <c r="A176" s="35"/>
      <c r="B176" s="16"/>
      <c r="C176" s="457"/>
      <c r="D176" s="460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 spans="1:15">
      <c r="A177" s="35"/>
      <c r="B177" s="16"/>
      <c r="C177" s="457"/>
      <c r="D177" s="460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 spans="1:15">
      <c r="A178" s="35"/>
      <c r="B178" s="16"/>
      <c r="C178" s="457"/>
      <c r="D178" s="460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 spans="1:15">
      <c r="A179" s="35"/>
      <c r="B179" s="16"/>
      <c r="C179" s="457"/>
      <c r="D179" s="460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 spans="1:15">
      <c r="A180" s="35"/>
      <c r="B180" s="16"/>
      <c r="C180" s="457"/>
      <c r="D180" s="460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 spans="1:15">
      <c r="A181" s="35"/>
      <c r="B181" s="16"/>
      <c r="C181" s="457"/>
      <c r="D181" s="460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1:15">
      <c r="A182" s="35"/>
      <c r="B182" s="16"/>
      <c r="C182" s="457"/>
      <c r="D182" s="460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 spans="1:15">
      <c r="A183" s="35"/>
      <c r="B183" s="16"/>
      <c r="C183" s="457"/>
      <c r="D183" s="460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 spans="1:15">
      <c r="A184" s="35"/>
      <c r="B184" s="16"/>
      <c r="C184" s="457"/>
      <c r="D184" s="460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 spans="1:15">
      <c r="A185" s="35"/>
      <c r="B185" s="16"/>
      <c r="C185" s="457"/>
      <c r="D185" s="460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 spans="1:15">
      <c r="A186" s="35"/>
      <c r="B186" s="16"/>
      <c r="C186" s="457"/>
      <c r="D186" s="460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 spans="1:15">
      <c r="A187" s="35"/>
      <c r="B187" s="16"/>
      <c r="C187" s="457"/>
      <c r="D187" s="460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 spans="1:15">
      <c r="A188" s="35"/>
      <c r="B188" s="16"/>
      <c r="C188" s="457"/>
      <c r="D188" s="460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 spans="1:15">
      <c r="A189" s="19"/>
      <c r="D189" s="461"/>
    </row>
    <row r="190" spans="1:15">
      <c r="A190" s="19"/>
      <c r="D190" s="461"/>
    </row>
    <row r="191" spans="1:15">
      <c r="A191" s="19"/>
      <c r="D191" s="461"/>
    </row>
    <row r="192" spans="1:15">
      <c r="A192" s="19"/>
      <c r="D192" s="461"/>
    </row>
    <row r="193" spans="1:4">
      <c r="A193" s="19"/>
      <c r="D193" s="461"/>
    </row>
    <row r="194" spans="1:4">
      <c r="A194" s="19"/>
      <c r="D194" s="461"/>
    </row>
    <row r="195" spans="1:4">
      <c r="A195" s="19"/>
      <c r="D195" s="461"/>
    </row>
    <row r="196" spans="1:4">
      <c r="A196" s="19"/>
      <c r="D196" s="461"/>
    </row>
    <row r="197" spans="1:4">
      <c r="A197" s="19"/>
      <c r="D197" s="461"/>
    </row>
    <row r="198" spans="1:4">
      <c r="A198" s="19"/>
      <c r="D198" s="461"/>
    </row>
    <row r="199" spans="1:4">
      <c r="A199" s="19"/>
      <c r="D199" s="461"/>
    </row>
    <row r="200" spans="1:4">
      <c r="A200" s="19"/>
      <c r="D200" s="461"/>
    </row>
    <row r="201" spans="1:4">
      <c r="A201" s="19"/>
      <c r="D201" s="461"/>
    </row>
    <row r="202" spans="1:4">
      <c r="A202" s="19"/>
      <c r="D202" s="461"/>
    </row>
    <row r="203" spans="1:4">
      <c r="A203" s="19"/>
      <c r="D203" s="461"/>
    </row>
    <row r="204" spans="1:4">
      <c r="A204" s="19"/>
      <c r="D204" s="461"/>
    </row>
    <row r="205" spans="1:4">
      <c r="A205" s="19"/>
      <c r="D205" s="461"/>
    </row>
    <row r="206" spans="1:4">
      <c r="A206" s="19"/>
      <c r="D206" s="461"/>
    </row>
    <row r="207" spans="1:4">
      <c r="A207" s="19"/>
      <c r="D207" s="461"/>
    </row>
    <row r="208" spans="1:4">
      <c r="A208" s="19"/>
      <c r="D208" s="461"/>
    </row>
    <row r="209" spans="1:4">
      <c r="A209" s="19"/>
      <c r="D209" s="461"/>
    </row>
    <row r="210" spans="1:4">
      <c r="A210" s="19"/>
      <c r="D210" s="461"/>
    </row>
    <row r="211" spans="1:4">
      <c r="A211" s="19"/>
      <c r="D211" s="461"/>
    </row>
    <row r="212" spans="1:4">
      <c r="A212" s="19"/>
      <c r="D212" s="461"/>
    </row>
    <row r="213" spans="1:4">
      <c r="A213" s="19"/>
      <c r="D213" s="461"/>
    </row>
    <row r="214" spans="1:4">
      <c r="A214" s="19"/>
      <c r="D214" s="461"/>
    </row>
    <row r="215" spans="1:4">
      <c r="A215" s="19"/>
      <c r="D215" s="461"/>
    </row>
    <row r="216" spans="1:4">
      <c r="A216" s="19"/>
      <c r="D216" s="461"/>
    </row>
    <row r="217" spans="1:4">
      <c r="A217" s="19"/>
      <c r="D217" s="461"/>
    </row>
    <row r="218" spans="1:4">
      <c r="A218" s="19"/>
      <c r="D218" s="461"/>
    </row>
    <row r="219" spans="1:4">
      <c r="A219" s="19"/>
      <c r="D219" s="461"/>
    </row>
    <row r="220" spans="1:4">
      <c r="A220" s="19"/>
      <c r="D220" s="461"/>
    </row>
    <row r="221" spans="1:4">
      <c r="A221" s="19"/>
      <c r="D221" s="461"/>
    </row>
    <row r="222" spans="1:4">
      <c r="A222" s="19"/>
      <c r="D222" s="461"/>
    </row>
    <row r="223" spans="1:4">
      <c r="A223" s="19"/>
      <c r="D223" s="461"/>
    </row>
    <row r="224" spans="1:4">
      <c r="A224" s="19"/>
      <c r="D224" s="461"/>
    </row>
    <row r="225" spans="1:4">
      <c r="A225" s="19"/>
      <c r="D225" s="461"/>
    </row>
    <row r="226" spans="1:4">
      <c r="A226" s="19"/>
      <c r="D226" s="461"/>
    </row>
    <row r="227" spans="1:4">
      <c r="A227" s="19"/>
      <c r="D227" s="461"/>
    </row>
    <row r="228" spans="1:4">
      <c r="A228" s="19"/>
      <c r="D228" s="461"/>
    </row>
    <row r="229" spans="1:4">
      <c r="A229" s="19"/>
      <c r="D229" s="461"/>
    </row>
    <row r="230" spans="1:4">
      <c r="A230" s="19"/>
      <c r="D230" s="461"/>
    </row>
    <row r="231" spans="1:4">
      <c r="A231" s="19"/>
      <c r="D231" s="461"/>
    </row>
    <row r="232" spans="1:4">
      <c r="A232" s="19"/>
      <c r="D232" s="461"/>
    </row>
    <row r="233" spans="1:4">
      <c r="A233" s="19"/>
      <c r="D233" s="461"/>
    </row>
    <row r="234" spans="1:4">
      <c r="A234" s="19"/>
      <c r="D234" s="461"/>
    </row>
    <row r="235" spans="1:4">
      <c r="A235" s="19"/>
      <c r="D235" s="461"/>
    </row>
    <row r="236" spans="1:4">
      <c r="A236" s="19"/>
      <c r="D236" s="461"/>
    </row>
    <row r="237" spans="1:4">
      <c r="A237" s="19"/>
      <c r="D237" s="461"/>
    </row>
    <row r="238" spans="1:4">
      <c r="A238" s="19"/>
      <c r="D238" s="461"/>
    </row>
    <row r="239" spans="1:4">
      <c r="A239" s="19"/>
      <c r="D239" s="461"/>
    </row>
    <row r="240" spans="1:4">
      <c r="A240" s="19"/>
      <c r="D240" s="461"/>
    </row>
    <row r="241" spans="1:4">
      <c r="A241" s="19"/>
      <c r="D241" s="461"/>
    </row>
    <row r="242" spans="1:4">
      <c r="A242" s="19"/>
      <c r="D242" s="461"/>
    </row>
    <row r="243" spans="1:4">
      <c r="A243" s="19"/>
      <c r="D243" s="461"/>
    </row>
    <row r="244" spans="1:4">
      <c r="A244" s="19"/>
      <c r="D244" s="461"/>
    </row>
    <row r="245" spans="1:4">
      <c r="A245" s="19"/>
      <c r="D245" s="461"/>
    </row>
    <row r="246" spans="1:4">
      <c r="A246" s="19"/>
      <c r="D246" s="461"/>
    </row>
    <row r="247" spans="1:4">
      <c r="A247" s="19"/>
      <c r="D247" s="461"/>
    </row>
    <row r="248" spans="1:4">
      <c r="A248" s="19"/>
      <c r="D248" s="461"/>
    </row>
    <row r="249" spans="1:4">
      <c r="A249" s="19"/>
      <c r="D249" s="461"/>
    </row>
    <row r="250" spans="1:4">
      <c r="A250" s="19"/>
      <c r="D250" s="461"/>
    </row>
    <row r="251" spans="1:4">
      <c r="A251" s="19"/>
      <c r="D251" s="461"/>
    </row>
    <row r="252" spans="1:4">
      <c r="A252" s="19"/>
      <c r="D252" s="461"/>
    </row>
    <row r="253" spans="1:4">
      <c r="A253" s="19"/>
      <c r="D253" s="461"/>
    </row>
    <row r="254" spans="1:4">
      <c r="A254" s="19"/>
      <c r="D254" s="461"/>
    </row>
    <row r="255" spans="1:4">
      <c r="A255" s="19"/>
      <c r="D255" s="461"/>
    </row>
    <row r="256" spans="1:4">
      <c r="A256" s="19"/>
      <c r="D256" s="461"/>
    </row>
    <row r="257" spans="1:4">
      <c r="A257" s="19"/>
      <c r="D257" s="461"/>
    </row>
    <row r="258" spans="1:4">
      <c r="A258" s="19"/>
      <c r="D258" s="461"/>
    </row>
    <row r="259" spans="1:4">
      <c r="A259" s="19"/>
      <c r="D259" s="461"/>
    </row>
    <row r="260" spans="1:4">
      <c r="A260" s="19"/>
      <c r="D260" s="461"/>
    </row>
    <row r="261" spans="1:4">
      <c r="A261" s="19"/>
      <c r="D261" s="461"/>
    </row>
    <row r="262" spans="1:4">
      <c r="A262" s="19"/>
      <c r="D262" s="461"/>
    </row>
    <row r="263" spans="1:4">
      <c r="A263" s="19"/>
      <c r="D263" s="461"/>
    </row>
    <row r="264" spans="1:4">
      <c r="A264" s="19"/>
      <c r="D264" s="461"/>
    </row>
    <row r="265" spans="1:4">
      <c r="A265" s="19"/>
      <c r="D265" s="461"/>
    </row>
    <row r="266" spans="1:4">
      <c r="A266" s="19"/>
      <c r="D266" s="461"/>
    </row>
    <row r="267" spans="1:4">
      <c r="A267" s="19"/>
      <c r="D267" s="461"/>
    </row>
    <row r="268" spans="1:4">
      <c r="A268" s="19"/>
      <c r="D268" s="461"/>
    </row>
    <row r="269" spans="1:4">
      <c r="A269" s="19"/>
      <c r="D269" s="461"/>
    </row>
    <row r="270" spans="1:4">
      <c r="A270" s="19"/>
      <c r="D270" s="461"/>
    </row>
    <row r="271" spans="1:4">
      <c r="A271" s="19"/>
      <c r="D271" s="461"/>
    </row>
    <row r="272" spans="1:4">
      <c r="A272" s="19"/>
      <c r="D272" s="461"/>
    </row>
    <row r="273" spans="1:4">
      <c r="A273" s="19"/>
      <c r="D273" s="461"/>
    </row>
    <row r="274" spans="1:4">
      <c r="A274" s="19"/>
      <c r="D274" s="461"/>
    </row>
    <row r="275" spans="1:4">
      <c r="A275" s="19"/>
      <c r="D275" s="461"/>
    </row>
    <row r="276" spans="1:4">
      <c r="A276" s="19"/>
      <c r="D276" s="461"/>
    </row>
    <row r="277" spans="1:4">
      <c r="A277" s="19"/>
      <c r="D277" s="461"/>
    </row>
    <row r="278" spans="1:4">
      <c r="A278" s="19"/>
      <c r="D278" s="461"/>
    </row>
    <row r="279" spans="1:4">
      <c r="A279" s="19"/>
      <c r="D279" s="461"/>
    </row>
    <row r="280" spans="1:4">
      <c r="A280" s="19"/>
      <c r="D280" s="461"/>
    </row>
    <row r="281" spans="1:4">
      <c r="A281" s="19"/>
      <c r="D281" s="461"/>
    </row>
    <row r="282" spans="1:4">
      <c r="A282" s="19"/>
      <c r="D282" s="461"/>
    </row>
    <row r="283" spans="1:4">
      <c r="A283" s="19"/>
      <c r="D283" s="461"/>
    </row>
    <row r="284" spans="1:4">
      <c r="A284" s="19"/>
      <c r="D284" s="461"/>
    </row>
    <row r="285" spans="1:4">
      <c r="A285" s="19"/>
      <c r="D285" s="461"/>
    </row>
    <row r="286" spans="1:4">
      <c r="A286" s="19"/>
      <c r="D286" s="461"/>
    </row>
    <row r="287" spans="1:4">
      <c r="A287" s="19"/>
      <c r="D287" s="461"/>
    </row>
    <row r="288" spans="1:4">
      <c r="A288" s="19"/>
      <c r="D288" s="461"/>
    </row>
    <row r="289" spans="1:4">
      <c r="A289" s="19"/>
      <c r="D289" s="461"/>
    </row>
    <row r="290" spans="1:4">
      <c r="A290" s="19"/>
      <c r="D290" s="461"/>
    </row>
    <row r="291" spans="1:4">
      <c r="A291" s="19"/>
      <c r="D291" s="461"/>
    </row>
    <row r="292" spans="1:4">
      <c r="A292" s="19"/>
      <c r="D292" s="461"/>
    </row>
    <row r="293" spans="1:4">
      <c r="A293" s="19"/>
      <c r="D293" s="461"/>
    </row>
    <row r="294" spans="1:4">
      <c r="A294" s="19"/>
      <c r="D294" s="461"/>
    </row>
    <row r="295" spans="1:4">
      <c r="A295" s="19"/>
      <c r="D295" s="461"/>
    </row>
    <row r="296" spans="1:4">
      <c r="A296" s="19"/>
      <c r="D296" s="461"/>
    </row>
    <row r="297" spans="1:4">
      <c r="A297" s="19"/>
      <c r="D297" s="461"/>
    </row>
    <row r="298" spans="1:4">
      <c r="A298" s="19"/>
      <c r="D298" s="461"/>
    </row>
    <row r="299" spans="1:4">
      <c r="A299" s="19"/>
      <c r="D299" s="461"/>
    </row>
    <row r="300" spans="1:4">
      <c r="A300" s="19"/>
      <c r="D300" s="461"/>
    </row>
    <row r="301" spans="1:4">
      <c r="A301" s="19"/>
      <c r="D301" s="461"/>
    </row>
    <row r="302" spans="1:4">
      <c r="A302" s="19"/>
      <c r="D302" s="461"/>
    </row>
    <row r="303" spans="1:4">
      <c r="A303" s="19"/>
      <c r="D303" s="461"/>
    </row>
    <row r="304" spans="1:4">
      <c r="A304" s="19"/>
      <c r="D304" s="461"/>
    </row>
    <row r="305" spans="1:4">
      <c r="A305" s="19"/>
      <c r="D305" s="461"/>
    </row>
    <row r="306" spans="1:4">
      <c r="A306" s="19"/>
      <c r="D306" s="461"/>
    </row>
    <row r="307" spans="1:4">
      <c r="A307" s="19"/>
      <c r="D307" s="461"/>
    </row>
    <row r="308" spans="1:4">
      <c r="A308" s="19"/>
      <c r="D308" s="461"/>
    </row>
    <row r="309" spans="1:4">
      <c r="A309" s="19"/>
      <c r="D309" s="461"/>
    </row>
    <row r="310" spans="1:4">
      <c r="A310" s="19"/>
      <c r="D310" s="461"/>
    </row>
    <row r="311" spans="1:4">
      <c r="A311" s="19"/>
      <c r="D311" s="461"/>
    </row>
    <row r="312" spans="1:4">
      <c r="A312" s="19"/>
      <c r="D312" s="461"/>
    </row>
    <row r="313" spans="1:4">
      <c r="A313" s="19"/>
      <c r="D313" s="461"/>
    </row>
    <row r="314" spans="1:4">
      <c r="A314" s="19"/>
      <c r="D314" s="461"/>
    </row>
    <row r="315" spans="1:4">
      <c r="A315" s="19"/>
      <c r="D315" s="461"/>
    </row>
    <row r="316" spans="1:4">
      <c r="A316" s="19"/>
      <c r="D316" s="461"/>
    </row>
    <row r="317" spans="1:4">
      <c r="A317" s="19"/>
      <c r="D317" s="461"/>
    </row>
    <row r="318" spans="1:4">
      <c r="A318" s="19"/>
      <c r="D318" s="461"/>
    </row>
  </sheetData>
  <phoneticPr fontId="0" type="noConversion"/>
  <pageMargins left="0.25" right="0.25" top="0.78" bottom="0.45" header="0.5" footer="0.35"/>
  <pageSetup scale="43" orientation="portrait" r:id="rId1"/>
  <headerFooter alignWithMargins="0">
    <oddHeader xml:space="preserve">&amp;C&amp;"Arial,Bold"&amp;14VNG Demand Rates
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2"/>
  <sheetViews>
    <sheetView showGridLines="0" zoomScale="75" workbookViewId="0">
      <selection activeCell="F19" sqref="F19"/>
    </sheetView>
  </sheetViews>
  <sheetFormatPr defaultRowHeight="12.75"/>
  <cols>
    <col min="1" max="1" width="18.7109375" customWidth="1"/>
    <col min="5" max="5" width="17" customWidth="1"/>
  </cols>
  <sheetData>
    <row r="2" spans="1:5" ht="33.75" customHeight="1">
      <c r="A2" s="611" t="s">
        <v>199</v>
      </c>
      <c r="B2" s="612"/>
      <c r="C2" s="613" t="s">
        <v>333</v>
      </c>
      <c r="D2" s="612"/>
      <c r="E2" s="614" t="s">
        <v>291</v>
      </c>
    </row>
    <row r="3" spans="1:5">
      <c r="C3" s="782">
        <v>37165</v>
      </c>
      <c r="E3" s="782">
        <v>37165</v>
      </c>
    </row>
    <row r="4" spans="1:5">
      <c r="A4" s="1" t="s">
        <v>200</v>
      </c>
      <c r="C4" s="634">
        <v>1071.401539872767</v>
      </c>
      <c r="E4" s="661">
        <v>999.95708512723297</v>
      </c>
    </row>
    <row r="5" spans="1:5">
      <c r="A5" s="1" t="s">
        <v>201</v>
      </c>
      <c r="C5" s="634">
        <v>1309.8829179244465</v>
      </c>
      <c r="E5" s="661">
        <v>1222.5357680755535</v>
      </c>
    </row>
    <row r="6" spans="1:5">
      <c r="A6" s="1" t="s">
        <v>202</v>
      </c>
      <c r="C6" s="634">
        <v>19813.452023725906</v>
      </c>
      <c r="E6" s="661">
        <v>18492.2281652741</v>
      </c>
    </row>
    <row r="7" spans="1:5">
      <c r="A7" s="1" t="s">
        <v>203</v>
      </c>
      <c r="C7" s="634">
        <v>669.60336394048545</v>
      </c>
      <c r="E7" s="661">
        <v>622.15913605951459</v>
      </c>
    </row>
    <row r="8" spans="1:5">
      <c r="A8" s="1" t="s">
        <v>26</v>
      </c>
      <c r="C8" s="634">
        <v>273.77460524748824</v>
      </c>
      <c r="E8" s="661">
        <v>255.51844575251178</v>
      </c>
    </row>
    <row r="9" spans="1:5">
      <c r="A9" s="1" t="s">
        <v>27</v>
      </c>
      <c r="C9" s="634">
        <v>6.554456479221634</v>
      </c>
      <c r="E9" s="661">
        <v>6.1173845207783666</v>
      </c>
    </row>
    <row r="10" spans="1:5">
      <c r="A10" s="1" t="s">
        <v>194</v>
      </c>
      <c r="C10" s="634">
        <v>0</v>
      </c>
      <c r="E10" s="662">
        <v>0</v>
      </c>
    </row>
    <row r="11" spans="1:5">
      <c r="A11" s="1" t="s">
        <v>195</v>
      </c>
      <c r="C11" s="634">
        <v>0</v>
      </c>
      <c r="E11" s="662">
        <v>0</v>
      </c>
    </row>
    <row r="12" spans="1:5">
      <c r="A12" s="1" t="s">
        <v>196</v>
      </c>
      <c r="C12" s="634">
        <v>0</v>
      </c>
      <c r="E12" s="662">
        <v>0</v>
      </c>
    </row>
    <row r="13" spans="1:5">
      <c r="A13" s="1" t="s">
        <v>0</v>
      </c>
      <c r="C13" s="634">
        <v>31370.607479626047</v>
      </c>
      <c r="E13" s="661">
        <v>11268.392520373953</v>
      </c>
    </row>
    <row r="14" spans="1:5">
      <c r="A14" s="1" t="s">
        <v>1</v>
      </c>
      <c r="C14" s="634">
        <v>5614.3227016821775</v>
      </c>
      <c r="E14" s="661">
        <v>2016.6772983178228</v>
      </c>
    </row>
    <row r="15" spans="1:5">
      <c r="A15" s="1" t="s">
        <v>2</v>
      </c>
      <c r="C15" s="634">
        <v>3366</v>
      </c>
      <c r="E15" s="662"/>
    </row>
    <row r="16" spans="1:5">
      <c r="A16" s="1" t="s">
        <v>3</v>
      </c>
      <c r="C16" s="634">
        <v>4950</v>
      </c>
      <c r="E16" s="662"/>
    </row>
    <row r="17" spans="1:6">
      <c r="A17" s="1" t="s">
        <v>4</v>
      </c>
      <c r="C17" s="634">
        <v>11172.172715894869</v>
      </c>
      <c r="E17" s="661">
        <v>311.82728410513141</v>
      </c>
    </row>
    <row r="18" spans="1:6">
      <c r="A18" s="1"/>
      <c r="C18" s="42"/>
    </row>
    <row r="19" spans="1:6">
      <c r="A19" s="611" t="s">
        <v>204</v>
      </c>
      <c r="B19" s="612"/>
      <c r="C19" s="635">
        <f>SUM(C4:C17)</f>
        <v>79617.7718043934</v>
      </c>
      <c r="D19" s="615"/>
      <c r="E19" s="616">
        <f>SUM(E4:E18)</f>
        <v>35195.413087606597</v>
      </c>
      <c r="F19" s="610">
        <f>SUM(C19:E19)</f>
        <v>114813.18489199999</v>
      </c>
    </row>
    <row r="21" spans="1:6">
      <c r="A21" s="372" t="s">
        <v>213</v>
      </c>
      <c r="C21" s="33">
        <f>'VNG Sheet'!AQ3</f>
        <v>2257</v>
      </c>
    </row>
    <row r="22" spans="1:6">
      <c r="C22" s="33"/>
    </row>
    <row r="23" spans="1:6">
      <c r="A23" s="372" t="s">
        <v>214</v>
      </c>
      <c r="C23" s="33">
        <f>'VNG Sheet'!AQ4</f>
        <v>110554</v>
      </c>
    </row>
    <row r="28" spans="1:6">
      <c r="A28" s="415" t="s">
        <v>221</v>
      </c>
      <c r="B28" s="239"/>
      <c r="C28" s="239"/>
      <c r="D28" s="239"/>
      <c r="E28" s="250"/>
    </row>
    <row r="29" spans="1:6">
      <c r="A29" s="236"/>
      <c r="B29" s="416" t="s">
        <v>222</v>
      </c>
      <c r="C29" s="347"/>
      <c r="D29" s="347"/>
      <c r="E29" s="417"/>
    </row>
    <row r="31" spans="1:6">
      <c r="A31" s="415" t="s">
        <v>245</v>
      </c>
      <c r="B31" s="239"/>
      <c r="C31" s="239"/>
      <c r="D31" s="239"/>
      <c r="E31" s="250"/>
    </row>
    <row r="32" spans="1:6">
      <c r="A32" s="236"/>
      <c r="B32" s="416" t="s">
        <v>246</v>
      </c>
      <c r="C32" s="347"/>
      <c r="D32" s="347"/>
      <c r="E32" s="4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3"/>
  <sheetViews>
    <sheetView showGridLines="0" topLeftCell="A4" zoomScale="74" workbookViewId="0">
      <selection activeCell="L46" sqref="L46"/>
    </sheetView>
  </sheetViews>
  <sheetFormatPr defaultRowHeight="12.75"/>
  <cols>
    <col min="2" max="2" width="9.28515625" bestFit="1" customWidth="1"/>
    <col min="4" max="4" width="9.28515625" bestFit="1" customWidth="1"/>
    <col min="5" max="5" width="1.42578125" customWidth="1"/>
    <col min="6" max="6" width="10" bestFit="1" customWidth="1"/>
    <col min="7" max="7" width="11.28515625" bestFit="1" customWidth="1"/>
    <col min="8" max="8" width="15.5703125" customWidth="1"/>
    <col min="9" max="10" width="9.28515625" bestFit="1" customWidth="1"/>
    <col min="11" max="11" width="1.140625" customWidth="1"/>
    <col min="12" max="12" width="11" customWidth="1"/>
    <col min="13" max="13" width="1.140625" customWidth="1"/>
    <col min="14" max="14" width="15.85546875" customWidth="1"/>
    <col min="15" max="15" width="1.28515625" customWidth="1"/>
    <col min="16" max="16" width="10" bestFit="1" customWidth="1"/>
  </cols>
  <sheetData>
    <row r="2" spans="2:17">
      <c r="B2" s="24">
        <v>37165</v>
      </c>
      <c r="H2" s="393" t="s">
        <v>234</v>
      </c>
    </row>
    <row r="3" spans="2:17">
      <c r="B3" s="11" t="s">
        <v>227</v>
      </c>
      <c r="F3" s="394" t="s">
        <v>6</v>
      </c>
      <c r="G3" s="394" t="s">
        <v>233</v>
      </c>
      <c r="H3" s="394" t="s">
        <v>130</v>
      </c>
      <c r="I3" s="394" t="s">
        <v>232</v>
      </c>
      <c r="J3" s="394" t="s">
        <v>235</v>
      </c>
      <c r="K3" s="393"/>
      <c r="L3" s="394" t="s">
        <v>231</v>
      </c>
      <c r="M3" s="381"/>
      <c r="N3" s="394" t="s">
        <v>236</v>
      </c>
      <c r="O3" s="381"/>
      <c r="P3" s="393" t="s">
        <v>239</v>
      </c>
    </row>
    <row r="4" spans="2:17">
      <c r="F4" s="395"/>
      <c r="G4" s="395"/>
      <c r="H4" s="395"/>
      <c r="I4" s="395"/>
      <c r="J4" s="395"/>
      <c r="L4" s="395"/>
      <c r="N4" s="395"/>
    </row>
    <row r="5" spans="2:17">
      <c r="D5" s="400" t="s">
        <v>228</v>
      </c>
      <c r="E5" s="400"/>
      <c r="F5" s="396">
        <f>'Input Gas Prices'!B8</f>
        <v>1.76</v>
      </c>
      <c r="G5" s="398">
        <v>2708</v>
      </c>
      <c r="H5" s="399">
        <v>4.58E-2</v>
      </c>
      <c r="I5" s="400">
        <v>2.9899999999999999E-2</v>
      </c>
      <c r="J5" s="400">
        <v>2.5000000000000001E-2</v>
      </c>
      <c r="K5" s="306"/>
      <c r="L5" s="396">
        <f>(F5/(1-H5))+I5+J5</f>
        <v>1.8993770488367216</v>
      </c>
      <c r="M5" s="306"/>
      <c r="N5" s="402">
        <f>G5*L5</f>
        <v>5143.5130482498425</v>
      </c>
    </row>
    <row r="6" spans="2:17">
      <c r="D6" s="395"/>
      <c r="E6" s="395"/>
      <c r="F6" s="397"/>
      <c r="G6" s="401"/>
      <c r="H6" s="395"/>
      <c r="I6" s="395"/>
      <c r="J6" s="395"/>
      <c r="L6" s="397"/>
      <c r="N6" s="395"/>
    </row>
    <row r="7" spans="2:17">
      <c r="D7" s="400" t="s">
        <v>229</v>
      </c>
      <c r="E7" s="400"/>
      <c r="F7" s="396">
        <f>'Input Gas Prices'!B9</f>
        <v>1.78</v>
      </c>
      <c r="G7" s="398">
        <v>3983</v>
      </c>
      <c r="H7" s="399">
        <v>4.2299999999999997E-2</v>
      </c>
      <c r="I7" s="400">
        <v>2.7699999999999999E-2</v>
      </c>
      <c r="J7" s="400">
        <v>2.5000000000000001E-2</v>
      </c>
      <c r="K7" s="306"/>
      <c r="L7" s="396">
        <f>(F7/(1-H7))+I7+J7</f>
        <v>1.9113196094810483</v>
      </c>
      <c r="M7" s="306"/>
      <c r="N7" s="402">
        <f>G7*L7</f>
        <v>7612.786004563015</v>
      </c>
    </row>
    <row r="8" spans="2:17">
      <c r="D8" s="395"/>
      <c r="E8" s="395"/>
      <c r="F8" s="397"/>
      <c r="G8" s="401"/>
      <c r="H8" s="395"/>
      <c r="I8" s="395"/>
      <c r="J8" s="395"/>
      <c r="L8" s="397"/>
      <c r="N8" s="395"/>
    </row>
    <row r="9" spans="2:17">
      <c r="D9" s="400" t="s">
        <v>230</v>
      </c>
      <c r="E9" s="400"/>
      <c r="F9" s="396">
        <f>'Input Gas Prices'!B10</f>
        <v>1.86</v>
      </c>
      <c r="G9" s="398">
        <v>9239</v>
      </c>
      <c r="H9" s="399">
        <v>3.8100000000000002E-2</v>
      </c>
      <c r="I9" s="400">
        <v>2.5100000000000001E-2</v>
      </c>
      <c r="J9" s="400">
        <v>2.5000000000000001E-2</v>
      </c>
      <c r="K9" s="306"/>
      <c r="L9" s="396">
        <f>(F9/(1-H9))+I9+J9</f>
        <v>1.9837729389749454</v>
      </c>
      <c r="M9" s="306"/>
      <c r="N9" s="402">
        <f>G9*L9</f>
        <v>18328.078183189522</v>
      </c>
    </row>
    <row r="10" spans="2:17" ht="13.5" thickBot="1">
      <c r="G10" s="390"/>
    </row>
    <row r="11" spans="2:17" ht="16.5" thickTop="1" thickBot="1">
      <c r="G11" s="391">
        <f>SUM(G5:G10)</f>
        <v>15930</v>
      </c>
      <c r="J11" s="723"/>
      <c r="N11" s="392">
        <f>SUM(N5:N10)</f>
        <v>31084.37723600238</v>
      </c>
      <c r="P11" s="403">
        <f>N11/G11</f>
        <v>1.951310560954324</v>
      </c>
      <c r="Q11" s="724" t="s">
        <v>353</v>
      </c>
    </row>
    <row r="12" spans="2:17" ht="14.25" thickTop="1" thickBot="1"/>
    <row r="13" spans="2:17" ht="14.25" thickTop="1" thickBot="1">
      <c r="F13" s="11" t="s">
        <v>242</v>
      </c>
      <c r="J13" s="708" t="s">
        <v>345</v>
      </c>
      <c r="K13" s="709"/>
      <c r="L13" s="710" t="s">
        <v>351</v>
      </c>
      <c r="M13" s="709"/>
      <c r="N13" s="718" t="s">
        <v>352</v>
      </c>
    </row>
    <row r="14" spans="2:17">
      <c r="D14" s="248">
        <f>B2</f>
        <v>37165</v>
      </c>
      <c r="F14" s="406">
        <f>P11</f>
        <v>1.951310560954324</v>
      </c>
      <c r="G14" s="44">
        <v>15771</v>
      </c>
      <c r="H14" s="294">
        <f>F14*G14</f>
        <v>30774.118856810645</v>
      </c>
      <c r="J14" s="711">
        <f>IF('VNG Sheet'!AQ15&lt;='VNG Sheet'!$AQ$2,'VNG Sheet'!$AQ$2-'VNG Sheet'!AQ15,0)</f>
        <v>0</v>
      </c>
      <c r="K14" s="16"/>
      <c r="L14" s="717">
        <f>'Input Gas Prices'!B$26</f>
        <v>2.0249999999999999</v>
      </c>
      <c r="M14" s="16"/>
      <c r="N14" s="720">
        <f>J14*L14</f>
        <v>0</v>
      </c>
    </row>
    <row r="15" spans="2:17">
      <c r="D15" s="248">
        <f>D14+1</f>
        <v>37166</v>
      </c>
      <c r="F15" s="406">
        <f>F14</f>
        <v>1.951310560954324</v>
      </c>
      <c r="G15" s="44">
        <v>15771</v>
      </c>
      <c r="H15" s="294">
        <f t="shared" ref="H15:H41" si="0">F15*G15</f>
        <v>30774.118856810645</v>
      </c>
      <c r="J15" s="712">
        <f>IF('VNG Sheet'!AQ16&lt;='VNG Sheet'!$AQ$2,'VNG Sheet'!$AQ$2-'VNG Sheet'!AQ16,0)</f>
        <v>0</v>
      </c>
      <c r="K15" s="16"/>
      <c r="L15" s="717">
        <f>'Input Gas Prices'!C$26</f>
        <v>1.93</v>
      </c>
      <c r="M15" s="16"/>
      <c r="N15" s="720">
        <f t="shared" ref="N15:N43" si="1">J15*L15</f>
        <v>0</v>
      </c>
    </row>
    <row r="16" spans="2:17">
      <c r="D16" s="248">
        <f t="shared" ref="D16:D41" si="2">D15+1</f>
        <v>37167</v>
      </c>
      <c r="F16" s="406">
        <f t="shared" ref="F16:F41" si="3">F15</f>
        <v>1.951310560954324</v>
      </c>
      <c r="G16" s="44">
        <v>15771</v>
      </c>
      <c r="H16" s="294">
        <f t="shared" si="0"/>
        <v>30774.118856810645</v>
      </c>
      <c r="J16" s="712">
        <f>IF('VNG Sheet'!AQ17&lt;='VNG Sheet'!$AQ$2,'VNG Sheet'!$AQ$2-'VNG Sheet'!AQ17,0)</f>
        <v>0</v>
      </c>
      <c r="K16" s="16"/>
      <c r="L16" s="717">
        <f>'Input Gas Prices'!D$26</f>
        <v>1.93</v>
      </c>
      <c r="M16" s="16"/>
      <c r="N16" s="720">
        <f t="shared" si="1"/>
        <v>0</v>
      </c>
    </row>
    <row r="17" spans="4:14">
      <c r="D17" s="248">
        <f t="shared" si="2"/>
        <v>37168</v>
      </c>
      <c r="F17" s="406">
        <f t="shared" si="3"/>
        <v>1.951310560954324</v>
      </c>
      <c r="G17" s="44">
        <v>15771</v>
      </c>
      <c r="H17" s="294">
        <f t="shared" si="0"/>
        <v>30774.118856810645</v>
      </c>
      <c r="J17" s="712">
        <f>IF('VNG Sheet'!AQ18&lt;='VNG Sheet'!$AQ$2,'VNG Sheet'!$AQ$2-'VNG Sheet'!AQ18,0)</f>
        <v>0</v>
      </c>
      <c r="K17" s="16"/>
      <c r="L17" s="717">
        <f>'Input Gas Prices'!E$26</f>
        <v>2.105</v>
      </c>
      <c r="M17" s="16"/>
      <c r="N17" s="720">
        <f t="shared" si="1"/>
        <v>0</v>
      </c>
    </row>
    <row r="18" spans="4:14">
      <c r="D18" s="248">
        <f t="shared" si="2"/>
        <v>37169</v>
      </c>
      <c r="F18" s="406">
        <f t="shared" si="3"/>
        <v>1.951310560954324</v>
      </c>
      <c r="G18" s="44">
        <v>15771</v>
      </c>
      <c r="H18" s="294">
        <f t="shared" si="0"/>
        <v>30774.118856810645</v>
      </c>
      <c r="J18" s="712">
        <f>IF('VNG Sheet'!AQ19&lt;='VNG Sheet'!$AQ$2,'VNG Sheet'!$AQ$2-'VNG Sheet'!AQ19,0)</f>
        <v>0</v>
      </c>
      <c r="K18" s="16"/>
      <c r="L18" s="717">
        <f>'Input Gas Prices'!F$26</f>
        <v>2.2749999999999999</v>
      </c>
      <c r="M18" s="16"/>
      <c r="N18" s="720">
        <f t="shared" si="1"/>
        <v>0</v>
      </c>
    </row>
    <row r="19" spans="4:14">
      <c r="D19" s="248">
        <f t="shared" si="2"/>
        <v>37170</v>
      </c>
      <c r="F19" s="406">
        <f t="shared" si="3"/>
        <v>1.951310560954324</v>
      </c>
      <c r="G19" s="44">
        <v>15771</v>
      </c>
      <c r="H19" s="294">
        <f t="shared" si="0"/>
        <v>30774.118856810645</v>
      </c>
      <c r="J19" s="712">
        <f>IF('VNG Sheet'!AQ20&lt;='VNG Sheet'!$AQ$2,'VNG Sheet'!$AQ$2-'VNG Sheet'!AQ20,0)</f>
        <v>0</v>
      </c>
      <c r="K19" s="16"/>
      <c r="L19" s="717">
        <f>'Input Gas Prices'!G$26</f>
        <v>2.3050000000000002</v>
      </c>
      <c r="M19" s="16"/>
      <c r="N19" s="720">
        <f t="shared" si="1"/>
        <v>0</v>
      </c>
    </row>
    <row r="20" spans="4:14">
      <c r="D20" s="248">
        <f t="shared" si="2"/>
        <v>37171</v>
      </c>
      <c r="F20" s="406">
        <f t="shared" si="3"/>
        <v>1.951310560954324</v>
      </c>
      <c r="G20" s="44">
        <v>15771</v>
      </c>
      <c r="H20" s="294">
        <f t="shared" si="0"/>
        <v>30774.118856810645</v>
      </c>
      <c r="J20" s="712">
        <f>IF('VNG Sheet'!AQ21&lt;='VNG Sheet'!$AQ$2,'VNG Sheet'!$AQ$2-'VNG Sheet'!AQ21,0)</f>
        <v>0</v>
      </c>
      <c r="K20" s="16"/>
      <c r="L20" s="717">
        <f>'Input Gas Prices'!H$26</f>
        <v>2.3050000000000002</v>
      </c>
      <c r="M20" s="16"/>
      <c r="N20" s="720">
        <f t="shared" si="1"/>
        <v>0</v>
      </c>
    </row>
    <row r="21" spans="4:14">
      <c r="D21" s="248">
        <f t="shared" si="2"/>
        <v>37172</v>
      </c>
      <c r="F21" s="406">
        <f t="shared" si="3"/>
        <v>1.951310560954324</v>
      </c>
      <c r="G21" s="44">
        <v>15771</v>
      </c>
      <c r="H21" s="294">
        <f t="shared" si="0"/>
        <v>30774.118856810645</v>
      </c>
      <c r="J21" s="712">
        <f>IF('VNG Sheet'!AQ22&lt;='VNG Sheet'!$AQ$2,'VNG Sheet'!$AQ$2-'VNG Sheet'!AQ22,0)</f>
        <v>0</v>
      </c>
      <c r="K21" s="16"/>
      <c r="L21" s="717">
        <f>'Input Gas Prices'!I$26</f>
        <v>2.3050000000000002</v>
      </c>
      <c r="M21" s="16"/>
      <c r="N21" s="720">
        <f t="shared" si="1"/>
        <v>0</v>
      </c>
    </row>
    <row r="22" spans="4:14">
      <c r="D22" s="248">
        <f t="shared" si="2"/>
        <v>37173</v>
      </c>
      <c r="F22" s="406">
        <f t="shared" si="3"/>
        <v>1.951310560954324</v>
      </c>
      <c r="G22" s="44">
        <v>15771</v>
      </c>
      <c r="H22" s="294">
        <f t="shared" si="0"/>
        <v>30774.118856810645</v>
      </c>
      <c r="J22" s="712">
        <f>IF('VNG Sheet'!AQ23&lt;='VNG Sheet'!$AQ$2,'VNG Sheet'!$AQ$2-'VNG Sheet'!AQ23,0)</f>
        <v>0</v>
      </c>
      <c r="K22" s="16"/>
      <c r="L22" s="717">
        <f>'Input Gas Prices'!J$26</f>
        <v>2.2450000000000001</v>
      </c>
      <c r="M22" s="16"/>
      <c r="N22" s="720">
        <f t="shared" si="1"/>
        <v>0</v>
      </c>
    </row>
    <row r="23" spans="4:14">
      <c r="D23" s="248">
        <f t="shared" si="2"/>
        <v>37174</v>
      </c>
      <c r="F23" s="406">
        <f t="shared" si="3"/>
        <v>1.951310560954324</v>
      </c>
      <c r="G23" s="44">
        <v>15771</v>
      </c>
      <c r="H23" s="294">
        <f t="shared" si="0"/>
        <v>30774.118856810645</v>
      </c>
      <c r="J23" s="712">
        <f>IF('VNG Sheet'!AQ24&lt;='VNG Sheet'!$AQ$2,'VNG Sheet'!$AQ$2-'VNG Sheet'!AQ24,0)</f>
        <v>0</v>
      </c>
      <c r="K23" s="16"/>
      <c r="L23" s="717">
        <f>'Input Gas Prices'!K$26</f>
        <v>2.29</v>
      </c>
      <c r="M23" s="16"/>
      <c r="N23" s="720">
        <f t="shared" si="1"/>
        <v>0</v>
      </c>
    </row>
    <row r="24" spans="4:14">
      <c r="D24" s="248">
        <f t="shared" si="2"/>
        <v>37175</v>
      </c>
      <c r="F24" s="406">
        <f t="shared" si="3"/>
        <v>1.951310560954324</v>
      </c>
      <c r="G24" s="44">
        <v>15771</v>
      </c>
      <c r="H24" s="294">
        <f t="shared" si="0"/>
        <v>30774.118856810645</v>
      </c>
      <c r="J24" s="712">
        <f>IF('VNG Sheet'!AQ25&lt;='VNG Sheet'!$AQ$2,'VNG Sheet'!$AQ$2-'VNG Sheet'!AQ25,0)</f>
        <v>0</v>
      </c>
      <c r="K24" s="16"/>
      <c r="L24" s="717">
        <f>'Input Gas Prices'!L$26</f>
        <v>2.35</v>
      </c>
      <c r="M24" s="16"/>
      <c r="N24" s="720">
        <f t="shared" si="1"/>
        <v>0</v>
      </c>
    </row>
    <row r="25" spans="4:14">
      <c r="D25" s="248">
        <f t="shared" si="2"/>
        <v>37176</v>
      </c>
      <c r="F25" s="406">
        <f t="shared" si="3"/>
        <v>1.951310560954324</v>
      </c>
      <c r="G25" s="44">
        <v>15771</v>
      </c>
      <c r="H25" s="294">
        <f t="shared" si="0"/>
        <v>30774.118856810645</v>
      </c>
      <c r="J25" s="712">
        <f>IF('VNG Sheet'!AQ26&lt;='VNG Sheet'!$AQ$2,'VNG Sheet'!$AQ$2-'VNG Sheet'!AQ26,0)</f>
        <v>0</v>
      </c>
      <c r="K25" s="16"/>
      <c r="L25" s="717">
        <f>'Input Gas Prices'!M$26</f>
        <v>2.48</v>
      </c>
      <c r="M25" s="16"/>
      <c r="N25" s="720">
        <f t="shared" si="1"/>
        <v>0</v>
      </c>
    </row>
    <row r="26" spans="4:14">
      <c r="D26" s="248">
        <f t="shared" si="2"/>
        <v>37177</v>
      </c>
      <c r="F26" s="406">
        <f t="shared" si="3"/>
        <v>1.951310560954324</v>
      </c>
      <c r="G26" s="44">
        <v>15771</v>
      </c>
      <c r="H26" s="294">
        <f t="shared" si="0"/>
        <v>30774.118856810645</v>
      </c>
      <c r="J26" s="712">
        <f>IF('VNG Sheet'!AQ27&lt;='VNG Sheet'!$AQ$2,'VNG Sheet'!$AQ$2-'VNG Sheet'!AQ27,0)</f>
        <v>0</v>
      </c>
      <c r="K26" s="16"/>
      <c r="L26" s="717">
        <f>'Input Gas Prices'!N$26</f>
        <v>2.415</v>
      </c>
      <c r="M26" s="16"/>
      <c r="N26" s="720">
        <f t="shared" si="1"/>
        <v>0</v>
      </c>
    </row>
    <row r="27" spans="4:14">
      <c r="D27" s="248">
        <f t="shared" si="2"/>
        <v>37178</v>
      </c>
      <c r="F27" s="406">
        <f t="shared" si="3"/>
        <v>1.951310560954324</v>
      </c>
      <c r="G27" s="44">
        <v>15771</v>
      </c>
      <c r="H27" s="294">
        <f t="shared" si="0"/>
        <v>30774.118856810645</v>
      </c>
      <c r="J27" s="712">
        <f>IF('VNG Sheet'!AQ28&lt;='VNG Sheet'!$AQ$2,'VNG Sheet'!$AQ$2-'VNG Sheet'!AQ28,0)</f>
        <v>0</v>
      </c>
      <c r="K27" s="16"/>
      <c r="L27" s="717">
        <f>'Input Gas Prices'!O$26</f>
        <v>2.415</v>
      </c>
      <c r="M27" s="16"/>
      <c r="N27" s="720">
        <f t="shared" si="1"/>
        <v>0</v>
      </c>
    </row>
    <row r="28" spans="4:14">
      <c r="D28" s="248">
        <f t="shared" si="2"/>
        <v>37179</v>
      </c>
      <c r="F28" s="406">
        <f t="shared" si="3"/>
        <v>1.951310560954324</v>
      </c>
      <c r="G28" s="44">
        <v>15771</v>
      </c>
      <c r="H28" s="294">
        <f t="shared" si="0"/>
        <v>30774.118856810645</v>
      </c>
      <c r="J28" s="712">
        <f>IF('VNG Sheet'!AQ29&lt;='VNG Sheet'!$AQ$2,'VNG Sheet'!$AQ$2-'VNG Sheet'!AQ29,0)</f>
        <v>0</v>
      </c>
      <c r="K28" s="16"/>
      <c r="L28" s="717">
        <f>'Input Gas Prices'!P$26</f>
        <v>2.415</v>
      </c>
      <c r="M28" s="16"/>
      <c r="N28" s="720">
        <f t="shared" si="1"/>
        <v>0</v>
      </c>
    </row>
    <row r="29" spans="4:14">
      <c r="D29" s="248">
        <f t="shared" si="2"/>
        <v>37180</v>
      </c>
      <c r="F29" s="406">
        <f t="shared" si="3"/>
        <v>1.951310560954324</v>
      </c>
      <c r="G29" s="44">
        <v>15771</v>
      </c>
      <c r="H29" s="294">
        <f t="shared" si="0"/>
        <v>30774.118856810645</v>
      </c>
      <c r="J29" s="712">
        <f>IF('VNG Sheet'!AQ30&lt;='VNG Sheet'!$AQ$2,'VNG Sheet'!$AQ$2-'VNG Sheet'!AQ30,0)</f>
        <v>0</v>
      </c>
      <c r="K29" s="16"/>
      <c r="L29" s="717">
        <f>'Input Gas Prices'!Q$26</f>
        <v>2.38</v>
      </c>
      <c r="M29" s="16"/>
      <c r="N29" s="720">
        <f t="shared" si="1"/>
        <v>0</v>
      </c>
    </row>
    <row r="30" spans="4:14">
      <c r="D30" s="248">
        <f t="shared" si="2"/>
        <v>37181</v>
      </c>
      <c r="F30" s="406">
        <f t="shared" si="3"/>
        <v>1.951310560954324</v>
      </c>
      <c r="G30" s="44">
        <v>15771</v>
      </c>
      <c r="H30" s="294">
        <f t="shared" si="0"/>
        <v>30774.118856810645</v>
      </c>
      <c r="J30" s="712">
        <f>IF('VNG Sheet'!AQ31&lt;='VNG Sheet'!$AQ$2,'VNG Sheet'!$AQ$2-'VNG Sheet'!AQ31,0)</f>
        <v>0</v>
      </c>
      <c r="K30" s="16"/>
      <c r="L30" s="717">
        <f>'Input Gas Prices'!R$26</f>
        <v>2.65</v>
      </c>
      <c r="M30" s="16"/>
      <c r="N30" s="720">
        <f t="shared" si="1"/>
        <v>0</v>
      </c>
    </row>
    <row r="31" spans="4:14">
      <c r="D31" s="248">
        <f t="shared" si="2"/>
        <v>37182</v>
      </c>
      <c r="F31" s="406">
        <f t="shared" si="3"/>
        <v>1.951310560954324</v>
      </c>
      <c r="G31" s="44">
        <v>15771</v>
      </c>
      <c r="H31" s="294">
        <f t="shared" si="0"/>
        <v>30774.118856810645</v>
      </c>
      <c r="J31" s="712">
        <f>IF('VNG Sheet'!AQ32&lt;='VNG Sheet'!$AQ$2,'VNG Sheet'!$AQ$2-'VNG Sheet'!AQ32,0)</f>
        <v>0</v>
      </c>
      <c r="K31" s="16"/>
      <c r="L31" s="717">
        <f>'Input Gas Prices'!S$26</f>
        <v>2.81</v>
      </c>
      <c r="M31" s="16"/>
      <c r="N31" s="720">
        <f t="shared" si="1"/>
        <v>0</v>
      </c>
    </row>
    <row r="32" spans="4:14">
      <c r="D32" s="248">
        <f t="shared" si="2"/>
        <v>37183</v>
      </c>
      <c r="F32" s="406">
        <f t="shared" si="3"/>
        <v>1.951310560954324</v>
      </c>
      <c r="G32" s="44">
        <v>15771</v>
      </c>
      <c r="H32" s="294">
        <f t="shared" si="0"/>
        <v>30774.118856810645</v>
      </c>
      <c r="J32" s="712">
        <f>IF('VNG Sheet'!AQ33&lt;='VNG Sheet'!$AQ$2,'VNG Sheet'!$AQ$2-'VNG Sheet'!AQ33,0)</f>
        <v>0</v>
      </c>
      <c r="K32" s="16"/>
      <c r="L32" s="717">
        <f>'Input Gas Prices'!T$26</f>
        <v>2.5499999999999998</v>
      </c>
      <c r="M32" s="16"/>
      <c r="N32" s="720">
        <f t="shared" si="1"/>
        <v>0</v>
      </c>
    </row>
    <row r="33" spans="4:14">
      <c r="D33" s="248">
        <f t="shared" si="2"/>
        <v>37184</v>
      </c>
      <c r="F33" s="406">
        <f t="shared" si="3"/>
        <v>1.951310560954324</v>
      </c>
      <c r="G33" s="44">
        <v>15771</v>
      </c>
      <c r="H33" s="294">
        <f t="shared" si="0"/>
        <v>30774.118856810645</v>
      </c>
      <c r="J33" s="712">
        <f>IF('VNG Sheet'!AQ34&lt;='VNG Sheet'!$AQ$2,'VNG Sheet'!$AQ$2-'VNG Sheet'!AQ34,0)</f>
        <v>0</v>
      </c>
      <c r="K33" s="16"/>
      <c r="L33" s="717">
        <f>'Input Gas Prices'!U$26</f>
        <v>2.4449999999999998</v>
      </c>
      <c r="M33" s="16"/>
      <c r="N33" s="720">
        <f t="shared" si="1"/>
        <v>0</v>
      </c>
    </row>
    <row r="34" spans="4:14">
      <c r="D34" s="248">
        <f t="shared" si="2"/>
        <v>37185</v>
      </c>
      <c r="F34" s="406">
        <f t="shared" si="3"/>
        <v>1.951310560954324</v>
      </c>
      <c r="G34" s="44">
        <v>15771</v>
      </c>
      <c r="H34" s="294">
        <f t="shared" si="0"/>
        <v>30774.118856810645</v>
      </c>
      <c r="J34" s="712">
        <f>IF('VNG Sheet'!AQ35&lt;='VNG Sheet'!$AQ$2,'VNG Sheet'!$AQ$2-'VNG Sheet'!AQ35,0)</f>
        <v>0</v>
      </c>
      <c r="K34" s="16"/>
      <c r="L34" s="717">
        <f>'Input Gas Prices'!V$26</f>
        <v>2.4449999999999998</v>
      </c>
      <c r="M34" s="16"/>
      <c r="N34" s="720">
        <f t="shared" si="1"/>
        <v>0</v>
      </c>
    </row>
    <row r="35" spans="4:14">
      <c r="D35" s="248">
        <f t="shared" si="2"/>
        <v>37186</v>
      </c>
      <c r="F35" s="406">
        <f t="shared" si="3"/>
        <v>1.951310560954324</v>
      </c>
      <c r="G35" s="44">
        <v>15771</v>
      </c>
      <c r="H35" s="294">
        <f t="shared" si="0"/>
        <v>30774.118856810645</v>
      </c>
      <c r="J35" s="712">
        <f>IF('VNG Sheet'!AQ36&lt;='VNG Sheet'!$AQ$2,'VNG Sheet'!$AQ$2-'VNG Sheet'!AQ36,0)</f>
        <v>0</v>
      </c>
      <c r="K35" s="16"/>
      <c r="L35" s="717">
        <f>'Input Gas Prices'!W$26</f>
        <v>2.4449999999999998</v>
      </c>
      <c r="M35" s="16"/>
      <c r="N35" s="720">
        <f t="shared" si="1"/>
        <v>0</v>
      </c>
    </row>
    <row r="36" spans="4:14">
      <c r="D36" s="248">
        <f t="shared" si="2"/>
        <v>37187</v>
      </c>
      <c r="F36" s="406">
        <f t="shared" si="3"/>
        <v>1.951310560954324</v>
      </c>
      <c r="G36" s="44">
        <v>15771</v>
      </c>
      <c r="H36" s="294">
        <f t="shared" si="0"/>
        <v>30774.118856810645</v>
      </c>
      <c r="J36" s="712">
        <f>IF('VNG Sheet'!AQ37&lt;='VNG Sheet'!$AQ$2,'VNG Sheet'!$AQ$2-'VNG Sheet'!AQ37,0)</f>
        <v>0</v>
      </c>
      <c r="K36" s="16"/>
      <c r="L36" s="717">
        <f>'Input Gas Prices'!X$26</f>
        <v>2.7450000000000001</v>
      </c>
      <c r="M36" s="16"/>
      <c r="N36" s="720">
        <f t="shared" si="1"/>
        <v>0</v>
      </c>
    </row>
    <row r="37" spans="4:14">
      <c r="D37" s="248">
        <f t="shared" si="2"/>
        <v>37188</v>
      </c>
      <c r="F37" s="406">
        <f t="shared" si="3"/>
        <v>1.951310560954324</v>
      </c>
      <c r="G37" s="44">
        <v>15771</v>
      </c>
      <c r="H37" s="294">
        <f t="shared" si="0"/>
        <v>30774.118856810645</v>
      </c>
      <c r="J37" s="712">
        <f>IF('VNG Sheet'!AQ38&lt;='VNG Sheet'!$AQ$2,'VNG Sheet'!$AQ$2-'VNG Sheet'!AQ38,0)</f>
        <v>0</v>
      </c>
      <c r="K37" s="16"/>
      <c r="L37" s="717">
        <f>'Input Gas Prices'!Y$26</f>
        <v>2.9449999999999998</v>
      </c>
      <c r="M37" s="16"/>
      <c r="N37" s="720">
        <f t="shared" si="1"/>
        <v>0</v>
      </c>
    </row>
    <row r="38" spans="4:14">
      <c r="D38" s="248">
        <f t="shared" si="2"/>
        <v>37189</v>
      </c>
      <c r="F38" s="406">
        <f t="shared" si="3"/>
        <v>1.951310560954324</v>
      </c>
      <c r="G38" s="44">
        <v>15771</v>
      </c>
      <c r="H38" s="294">
        <f t="shared" si="0"/>
        <v>30774.118856810645</v>
      </c>
      <c r="J38" s="712">
        <f>IF('VNG Sheet'!AQ39&lt;='VNG Sheet'!$AQ$2,'VNG Sheet'!$AQ$2-'VNG Sheet'!AQ39,0)</f>
        <v>0</v>
      </c>
      <c r="K38" s="16"/>
      <c r="L38" s="717">
        <f>'Input Gas Prices'!Z$26</f>
        <v>2.88</v>
      </c>
      <c r="M38" s="16"/>
      <c r="N38" s="720">
        <f t="shared" si="1"/>
        <v>0</v>
      </c>
    </row>
    <row r="39" spans="4:14">
      <c r="D39" s="248">
        <f t="shared" si="2"/>
        <v>37190</v>
      </c>
      <c r="F39" s="406">
        <f t="shared" si="3"/>
        <v>1.951310560954324</v>
      </c>
      <c r="G39" s="44">
        <v>15771</v>
      </c>
      <c r="H39" s="294">
        <f t="shared" si="0"/>
        <v>30774.118856810645</v>
      </c>
      <c r="J39" s="712">
        <f>IF('VNG Sheet'!AQ40&lt;='VNG Sheet'!$AQ$2,'VNG Sheet'!$AQ$2-'VNG Sheet'!AQ40,0)</f>
        <v>0</v>
      </c>
      <c r="K39" s="16"/>
      <c r="L39" s="717">
        <f>'Input Gas Prices'!AA$26</f>
        <v>3.4649999999999999</v>
      </c>
      <c r="M39" s="16"/>
      <c r="N39" s="720">
        <f t="shared" si="1"/>
        <v>0</v>
      </c>
    </row>
    <row r="40" spans="4:14">
      <c r="D40" s="248">
        <f t="shared" si="2"/>
        <v>37191</v>
      </c>
      <c r="F40" s="406">
        <f t="shared" si="3"/>
        <v>1.951310560954324</v>
      </c>
      <c r="G40" s="44">
        <v>15771</v>
      </c>
      <c r="H40" s="294">
        <f t="shared" si="0"/>
        <v>30774.118856810645</v>
      </c>
      <c r="J40" s="712">
        <f>IF('VNG Sheet'!AQ41&lt;='VNG Sheet'!$AQ$2,'VNG Sheet'!$AQ$2-'VNG Sheet'!AQ41,0)</f>
        <v>0</v>
      </c>
      <c r="K40" s="16"/>
      <c r="L40" s="717">
        <f>'Input Gas Prices'!AB$26</f>
        <v>3.415</v>
      </c>
      <c r="M40" s="16"/>
      <c r="N40" s="720">
        <f t="shared" si="1"/>
        <v>0</v>
      </c>
    </row>
    <row r="41" spans="4:14">
      <c r="D41" s="248">
        <f t="shared" si="2"/>
        <v>37192</v>
      </c>
      <c r="F41" s="406">
        <f t="shared" si="3"/>
        <v>1.951310560954324</v>
      </c>
      <c r="G41" s="44">
        <v>15771</v>
      </c>
      <c r="H41" s="294">
        <f t="shared" si="0"/>
        <v>30774.118856810645</v>
      </c>
      <c r="J41" s="712">
        <f>IF('VNG Sheet'!AQ42&lt;='VNG Sheet'!$AQ$2,'VNG Sheet'!$AQ$2-'VNG Sheet'!AQ42,0)</f>
        <v>0</v>
      </c>
      <c r="K41" s="16"/>
      <c r="L41" s="717">
        <f>'Input Gas Prices'!AC$26</f>
        <v>3.415</v>
      </c>
      <c r="M41" s="16"/>
      <c r="N41" s="720">
        <f t="shared" si="1"/>
        <v>0</v>
      </c>
    </row>
    <row r="42" spans="4:14">
      <c r="D42" s="248">
        <f>D41+1</f>
        <v>37193</v>
      </c>
      <c r="F42" s="406">
        <f>F41</f>
        <v>1.951310560954324</v>
      </c>
      <c r="G42" s="44">
        <v>15771</v>
      </c>
      <c r="H42" s="294">
        <f>F42*G42</f>
        <v>30774.118856810645</v>
      </c>
      <c r="J42" s="712">
        <f>IF('VNG Sheet'!AQ43&lt;='VNG Sheet'!$AQ$2,'VNG Sheet'!$AQ$2-'VNG Sheet'!AQ43,0)</f>
        <v>0</v>
      </c>
      <c r="K42" s="16"/>
      <c r="L42" s="717">
        <f>'Input Gas Prices'!AD$26</f>
        <v>3.415</v>
      </c>
      <c r="M42" s="16"/>
      <c r="N42" s="720">
        <f t="shared" si="1"/>
        <v>0</v>
      </c>
    </row>
    <row r="43" spans="4:14">
      <c r="D43" s="248">
        <f>D42+1</f>
        <v>37194</v>
      </c>
      <c r="F43" s="406">
        <f>F42</f>
        <v>1.951310560954324</v>
      </c>
      <c r="G43" s="44">
        <v>15771</v>
      </c>
      <c r="H43" s="294">
        <f>F43*G43</f>
        <v>30774.118856810645</v>
      </c>
      <c r="J43" s="713">
        <f>IF('VNG Sheet'!AQ44&lt;='VNG Sheet'!$AQ$2,'VNG Sheet'!$AQ$2-'VNG Sheet'!AQ44,0)</f>
        <v>0</v>
      </c>
      <c r="K43" s="16"/>
      <c r="L43" s="717">
        <f>'Input Gas Prices'!AE$26</f>
        <v>3.585</v>
      </c>
      <c r="M43" s="16"/>
      <c r="N43" s="720">
        <f t="shared" si="1"/>
        <v>0</v>
      </c>
    </row>
    <row r="44" spans="4:14">
      <c r="D44" s="248">
        <f>D43+1</f>
        <v>37195</v>
      </c>
      <c r="F44" s="406">
        <f>F43</f>
        <v>1.951310560954324</v>
      </c>
      <c r="G44" s="44">
        <v>15771</v>
      </c>
      <c r="H44" s="294">
        <f>F44*G44</f>
        <v>30774.118856810645</v>
      </c>
      <c r="J44" s="713">
        <f>IF('VNG Sheet'!AQ45&lt;='VNG Sheet'!$AQ$2,'VNG Sheet'!$AQ$2-'VNG Sheet'!AQ45,0)</f>
        <v>0</v>
      </c>
      <c r="K44" s="16"/>
      <c r="L44" s="717">
        <f>'Input Gas Prices'!AE$26</f>
        <v>3.585</v>
      </c>
      <c r="M44" s="16"/>
      <c r="N44" s="720">
        <f>J44*L44</f>
        <v>0</v>
      </c>
    </row>
    <row r="45" spans="4:14">
      <c r="D45" s="248"/>
      <c r="J45" s="787"/>
      <c r="K45" s="16"/>
      <c r="L45" s="16"/>
      <c r="M45" s="16"/>
      <c r="N45" s="721"/>
    </row>
    <row r="46" spans="4:14" ht="13.5" thickBot="1">
      <c r="D46" s="248"/>
      <c r="F46" s="407">
        <f>P11</f>
        <v>1.951310560954324</v>
      </c>
      <c r="G46" s="391">
        <f>SUM(G14:G45)</f>
        <v>488901</v>
      </c>
      <c r="H46" s="392">
        <f>SUM(H14:H45)</f>
        <v>953997.68456112931</v>
      </c>
      <c r="J46" s="714">
        <f>SUM(J14:J45)</f>
        <v>0</v>
      </c>
      <c r="K46" s="715"/>
      <c r="L46" s="716"/>
      <c r="M46" s="715"/>
      <c r="N46" s="722">
        <f>SUM(N14:N45)</f>
        <v>0</v>
      </c>
    </row>
    <row r="47" spans="4:14" ht="13.5" thickTop="1">
      <c r="D47" s="248"/>
    </row>
    <row r="48" spans="4:14">
      <c r="D48" s="248"/>
    </row>
    <row r="49" spans="4:4">
      <c r="D49" s="248"/>
    </row>
    <row r="50" spans="4:4">
      <c r="D50" s="248"/>
    </row>
    <row r="51" spans="4:4">
      <c r="D51" s="248"/>
    </row>
    <row r="52" spans="4:4">
      <c r="D52" s="248"/>
    </row>
    <row r="53" spans="4:4">
      <c r="D53" s="248"/>
    </row>
  </sheetData>
  <phoneticPr fontId="0" type="noConversion"/>
  <pageMargins left="0.75" right="0.75" top="1" bottom="1" header="0.5" footer="0.5"/>
  <pageSetup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T5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0" sqref="D20"/>
    </sheetView>
  </sheetViews>
  <sheetFormatPr defaultColWidth="16.140625" defaultRowHeight="12.75"/>
  <cols>
    <col min="1" max="1" width="23.42578125" style="1" customWidth="1"/>
    <col min="2" max="2" width="20.85546875" style="8" customWidth="1"/>
    <col min="3" max="3" width="12.42578125" style="8" customWidth="1"/>
    <col min="4" max="4" width="12.85546875" style="1" customWidth="1"/>
    <col min="5" max="5" width="24.7109375" style="1" customWidth="1"/>
    <col min="6" max="6" width="15.42578125" style="1" customWidth="1"/>
    <col min="7" max="7" width="12.85546875" style="1" customWidth="1"/>
    <col min="8" max="8" width="16.140625" style="1" customWidth="1"/>
    <col min="9" max="9" width="20.140625" style="1" customWidth="1"/>
    <col min="10" max="10" width="14.85546875" style="1" customWidth="1"/>
    <col min="11" max="11" width="10.42578125" style="1" customWidth="1"/>
    <col min="12" max="12" width="16.140625" style="1" customWidth="1"/>
    <col min="13" max="13" width="19.140625" style="1" customWidth="1"/>
    <col min="14" max="14" width="15.140625" style="1" customWidth="1"/>
    <col min="15" max="15" width="11.42578125" style="1" customWidth="1"/>
    <col min="16" max="16" width="18.85546875" style="1" customWidth="1"/>
    <col min="17" max="16384" width="16.140625" style="1"/>
  </cols>
  <sheetData>
    <row r="2" spans="1:20">
      <c r="A2" s="2"/>
      <c r="C2" s="39"/>
    </row>
    <row r="3" spans="1:20" ht="15.75">
      <c r="A3" s="26" t="s">
        <v>57</v>
      </c>
      <c r="B3" s="27"/>
      <c r="C3" s="38"/>
      <c r="F3" s="400" t="s">
        <v>383</v>
      </c>
      <c r="G3" s="405"/>
    </row>
    <row r="4" spans="1:20">
      <c r="Q4" s="1" t="s">
        <v>237</v>
      </c>
    </row>
    <row r="5" spans="1:20" ht="15.75">
      <c r="A5" s="2" t="s">
        <v>47</v>
      </c>
      <c r="B5" s="436">
        <v>37135</v>
      </c>
      <c r="C5" s="435">
        <f>R25</f>
        <v>2.0515170145531911</v>
      </c>
    </row>
    <row r="6" spans="1:20">
      <c r="A6" s="2"/>
      <c r="B6" s="28"/>
      <c r="C6" s="28"/>
      <c r="E6" s="3" t="s">
        <v>10</v>
      </c>
      <c r="I6" s="3" t="s">
        <v>11</v>
      </c>
      <c r="M6" s="3" t="s">
        <v>12</v>
      </c>
    </row>
    <row r="8" spans="1:20" ht="54" customHeight="1">
      <c r="A8" s="2" t="s">
        <v>5</v>
      </c>
      <c r="B8" s="9" t="s">
        <v>6</v>
      </c>
      <c r="C8" s="18" t="s">
        <v>53</v>
      </c>
      <c r="D8" s="18" t="s">
        <v>52</v>
      </c>
      <c r="E8" s="14" t="s">
        <v>28</v>
      </c>
      <c r="F8" s="4" t="s">
        <v>7</v>
      </c>
      <c r="G8" s="4" t="s">
        <v>8</v>
      </c>
      <c r="H8" s="4" t="s">
        <v>9</v>
      </c>
      <c r="I8" s="14" t="s">
        <v>28</v>
      </c>
      <c r="J8" s="4" t="s">
        <v>7</v>
      </c>
      <c r="K8" s="4" t="s">
        <v>8</v>
      </c>
      <c r="L8" s="4" t="s">
        <v>9</v>
      </c>
      <c r="M8" s="14" t="s">
        <v>28</v>
      </c>
      <c r="N8" s="4" t="s">
        <v>7</v>
      </c>
      <c r="O8" s="4" t="s">
        <v>8</v>
      </c>
      <c r="P8" s="4" t="s">
        <v>9</v>
      </c>
      <c r="Q8" s="4" t="s">
        <v>193</v>
      </c>
      <c r="R8" s="4" t="s">
        <v>197</v>
      </c>
      <c r="S8" s="4"/>
      <c r="T8" s="4"/>
    </row>
    <row r="9" spans="1:20">
      <c r="A9" s="1" t="s">
        <v>49</v>
      </c>
      <c r="B9" s="8" t="s">
        <v>13</v>
      </c>
      <c r="C9" s="37">
        <v>0</v>
      </c>
      <c r="D9" s="23">
        <f>'Input Gas Prices'!B4+C9</f>
        <v>1.75</v>
      </c>
      <c r="E9" s="21" t="s">
        <v>29</v>
      </c>
      <c r="F9" s="773">
        <v>5.2200000000000003E-2</v>
      </c>
      <c r="G9" s="774">
        <v>5.0599999999999999E-2</v>
      </c>
      <c r="H9" s="5">
        <f t="shared" ref="H9:H14" si="0">+D9/(1-G9)+F9</f>
        <v>1.8954694333263113</v>
      </c>
      <c r="I9" s="21" t="s">
        <v>38</v>
      </c>
      <c r="J9" s="773">
        <f>F11</f>
        <v>0.1043</v>
      </c>
      <c r="K9" s="775">
        <v>2.2800000000000001E-2</v>
      </c>
      <c r="L9" s="5">
        <f>+H9/(1-K9)+J9</f>
        <v>2.0439944671779693</v>
      </c>
      <c r="M9" s="21" t="s">
        <v>39</v>
      </c>
      <c r="N9" s="6">
        <v>0</v>
      </c>
      <c r="O9" s="7">
        <v>2.5000000000000001E-3</v>
      </c>
      <c r="P9" s="5">
        <f>+L9/(1-O9)+N9</f>
        <v>2.0491172603287913</v>
      </c>
      <c r="Q9" s="329">
        <f>Weightings!C4</f>
        <v>1071.401539872767</v>
      </c>
      <c r="R9" s="5">
        <f>+Q9/SUM($Q$9:$Q$22)*P9</f>
        <v>2.7574589671887632E-2</v>
      </c>
      <c r="S9" s="5"/>
      <c r="T9" s="245"/>
    </row>
    <row r="10" spans="1:20">
      <c r="A10" s="1" t="s">
        <v>50</v>
      </c>
      <c r="B10" s="8" t="s">
        <v>14</v>
      </c>
      <c r="C10" s="37">
        <v>0</v>
      </c>
      <c r="D10" s="23">
        <f>'Input Gas Prices'!B5+C10</f>
        <v>1.73</v>
      </c>
      <c r="E10" s="21" t="s">
        <v>30</v>
      </c>
      <c r="F10" s="773">
        <v>5.2200000000000003E-2</v>
      </c>
      <c r="G10" s="774">
        <v>5.8000000000000003E-2</v>
      </c>
      <c r="H10" s="5">
        <f t="shared" si="0"/>
        <v>1.8887180467091296</v>
      </c>
      <c r="I10" s="21" t="s">
        <v>38</v>
      </c>
      <c r="J10" s="773">
        <f>F11</f>
        <v>0.1043</v>
      </c>
      <c r="K10" s="775">
        <v>2.2800000000000001E-2</v>
      </c>
      <c r="L10" s="5">
        <f t="shared" ref="L10:L22" si="1">+H10/(1-K10)+J10</f>
        <v>2.037085557418266</v>
      </c>
      <c r="M10" s="21" t="s">
        <v>39</v>
      </c>
      <c r="N10" s="6">
        <v>0</v>
      </c>
      <c r="O10" s="7">
        <v>2.5000000000000001E-3</v>
      </c>
      <c r="P10" s="5">
        <f t="shared" ref="P10:P22" si="2">+L10/(1-O10)+N10</f>
        <v>2.0421910350057804</v>
      </c>
      <c r="Q10" s="329">
        <f>Weightings!C5</f>
        <v>1309.8829179244465</v>
      </c>
      <c r="R10" s="5">
        <f t="shared" ref="R10:R22" si="3">+Q10/SUM($Q$9:$Q$22)*P10</f>
        <v>3.3598417680723212E-2</v>
      </c>
      <c r="S10" s="5"/>
      <c r="T10" s="29"/>
    </row>
    <row r="11" spans="1:20">
      <c r="A11" s="1" t="s">
        <v>40</v>
      </c>
      <c r="B11" s="8" t="s">
        <v>15</v>
      </c>
      <c r="C11" s="37">
        <v>0</v>
      </c>
      <c r="D11" s="23">
        <f>'Input Gas Prices'!B6+C11</f>
        <v>2.02</v>
      </c>
      <c r="E11" s="21" t="s">
        <v>154</v>
      </c>
      <c r="F11" s="773">
        <f>0.0951+0.0022+0.007</f>
        <v>0.1043</v>
      </c>
      <c r="G11" s="774">
        <v>2.2800000000000001E-2</v>
      </c>
      <c r="H11" s="5">
        <f t="shared" si="0"/>
        <v>2.1714305771592306</v>
      </c>
      <c r="I11" s="21" t="s">
        <v>39</v>
      </c>
      <c r="J11" s="773">
        <v>0</v>
      </c>
      <c r="K11" s="775">
        <v>2.5000000000000001E-3</v>
      </c>
      <c r="L11" s="5">
        <f t="shared" si="1"/>
        <v>2.1768727590568728</v>
      </c>
      <c r="M11" s="21"/>
      <c r="N11" s="6">
        <v>0</v>
      </c>
      <c r="O11" s="7">
        <v>0</v>
      </c>
      <c r="P11" s="5">
        <f t="shared" si="2"/>
        <v>2.1768727590568728</v>
      </c>
      <c r="Q11" s="329">
        <f>Weightings!C6</f>
        <v>19813.452023725906</v>
      </c>
      <c r="R11" s="5">
        <f t="shared" si="3"/>
        <v>0.5417303573791945</v>
      </c>
      <c r="S11" s="5"/>
      <c r="T11" s="29"/>
    </row>
    <row r="12" spans="1:20">
      <c r="A12" s="1" t="s">
        <v>41</v>
      </c>
      <c r="B12" s="8" t="s">
        <v>16</v>
      </c>
      <c r="C12" s="37">
        <v>0</v>
      </c>
      <c r="D12" s="23">
        <f>'Input Gas Prices'!B7+C12</f>
        <v>2.02</v>
      </c>
      <c r="E12" s="21" t="s">
        <v>155</v>
      </c>
      <c r="F12" s="773">
        <f>0.0951+0.0022+0.007</f>
        <v>0.1043</v>
      </c>
      <c r="G12" s="774">
        <v>2.2800000000000001E-2</v>
      </c>
      <c r="H12" s="5">
        <f t="shared" si="0"/>
        <v>2.1714305771592306</v>
      </c>
      <c r="I12" s="21" t="s">
        <v>39</v>
      </c>
      <c r="J12" s="773">
        <v>0</v>
      </c>
      <c r="K12" s="775">
        <v>2.5000000000000001E-3</v>
      </c>
      <c r="L12" s="5">
        <f t="shared" si="1"/>
        <v>2.1768727590568728</v>
      </c>
      <c r="M12" s="21"/>
      <c r="N12" s="6">
        <v>0</v>
      </c>
      <c r="O12" s="7">
        <v>0</v>
      </c>
      <c r="P12" s="5">
        <f t="shared" si="2"/>
        <v>2.1768727590568728</v>
      </c>
      <c r="Q12" s="329">
        <f>Weightings!C7</f>
        <v>669.60336394048545</v>
      </c>
      <c r="R12" s="5">
        <f t="shared" si="3"/>
        <v>1.8307989401110739E-2</v>
      </c>
      <c r="S12" s="5"/>
      <c r="T12" s="245"/>
    </row>
    <row r="13" spans="1:20">
      <c r="A13" s="1" t="s">
        <v>26</v>
      </c>
      <c r="B13" s="8" t="s">
        <v>19</v>
      </c>
      <c r="C13" s="37">
        <v>0</v>
      </c>
      <c r="D13" s="23">
        <f>'Input Gas Prices'!B9+'Baseload - Tier 1'!C13</f>
        <v>1.78</v>
      </c>
      <c r="E13" s="21" t="s">
        <v>264</v>
      </c>
      <c r="F13" s="425">
        <f>0.0331+0.0022+0.0097</f>
        <v>4.4999999999999998E-2</v>
      </c>
      <c r="G13" s="426">
        <v>5.04E-2</v>
      </c>
      <c r="H13" s="5">
        <f t="shared" si="0"/>
        <v>1.9194734625105307</v>
      </c>
      <c r="I13" s="21" t="s">
        <v>38</v>
      </c>
      <c r="J13" s="773">
        <f>F11</f>
        <v>0.1043</v>
      </c>
      <c r="K13" s="775">
        <v>2.2800000000000001E-2</v>
      </c>
      <c r="L13" s="5">
        <f t="shared" si="1"/>
        <v>2.0685585576243661</v>
      </c>
      <c r="M13" s="21" t="s">
        <v>39</v>
      </c>
      <c r="N13" s="6">
        <v>0</v>
      </c>
      <c r="O13" s="7">
        <v>2.5000000000000001E-3</v>
      </c>
      <c r="P13" s="5">
        <f t="shared" si="2"/>
        <v>2.0737429149116453</v>
      </c>
      <c r="Q13" s="329">
        <f>Weightings!C8</f>
        <v>273.77460524748824</v>
      </c>
      <c r="R13" s="5">
        <f t="shared" si="3"/>
        <v>7.1307967435906422E-3</v>
      </c>
      <c r="S13" s="5"/>
      <c r="T13" s="29"/>
    </row>
    <row r="14" spans="1:20">
      <c r="A14" s="1" t="s">
        <v>27</v>
      </c>
      <c r="B14" s="8" t="s">
        <v>20</v>
      </c>
      <c r="C14" s="37">
        <v>0</v>
      </c>
      <c r="D14" s="23">
        <f>'Input Gas Prices'!B10+'Baseload - Tier 1'!C14</f>
        <v>1.86</v>
      </c>
      <c r="E14" s="21" t="s">
        <v>265</v>
      </c>
      <c r="F14" s="425">
        <f>0.0305+0.0022+0.0097</f>
        <v>4.24E-2</v>
      </c>
      <c r="G14" s="426">
        <v>4.6199999999999998E-2</v>
      </c>
      <c r="H14" s="5">
        <f t="shared" si="0"/>
        <v>1.9924943594044875</v>
      </c>
      <c r="I14" s="21" t="s">
        <v>38</v>
      </c>
      <c r="J14" s="773">
        <f>F11</f>
        <v>0.1043</v>
      </c>
      <c r="K14" s="775">
        <v>2.2800000000000001E-2</v>
      </c>
      <c r="L14" s="5">
        <f t="shared" si="1"/>
        <v>2.1432831758130244</v>
      </c>
      <c r="M14" s="21" t="s">
        <v>39</v>
      </c>
      <c r="N14" s="6">
        <v>0</v>
      </c>
      <c r="O14" s="7">
        <v>2.5000000000000001E-3</v>
      </c>
      <c r="P14" s="5">
        <f t="shared" si="2"/>
        <v>2.148654812845137</v>
      </c>
      <c r="Q14" s="329">
        <f>Weightings!C9</f>
        <v>6.554456479221634</v>
      </c>
      <c r="R14" s="5">
        <f t="shared" si="3"/>
        <v>1.7688594066992498E-4</v>
      </c>
      <c r="S14" s="5"/>
      <c r="T14" s="29"/>
    </row>
    <row r="15" spans="1:20">
      <c r="A15" s="1" t="s">
        <v>54</v>
      </c>
      <c r="B15" s="8" t="s">
        <v>153</v>
      </c>
      <c r="C15" s="37"/>
      <c r="D15" s="23"/>
      <c r="E15" s="21"/>
      <c r="F15" s="773"/>
      <c r="G15" s="774"/>
      <c r="H15" s="5">
        <f t="shared" ref="H15:H22" si="4">+D15/(1-G15)+F15</f>
        <v>0</v>
      </c>
      <c r="I15" s="21"/>
      <c r="J15" s="773">
        <v>0</v>
      </c>
      <c r="K15" s="775">
        <v>0</v>
      </c>
      <c r="L15" s="5">
        <f t="shared" si="1"/>
        <v>0</v>
      </c>
      <c r="M15" s="21"/>
      <c r="N15" s="6">
        <v>0</v>
      </c>
      <c r="O15" s="7">
        <v>0</v>
      </c>
      <c r="P15" s="5">
        <f t="shared" si="2"/>
        <v>0</v>
      </c>
      <c r="Q15" s="329">
        <f>Weightings!C10</f>
        <v>0</v>
      </c>
      <c r="R15" s="5">
        <f t="shared" si="3"/>
        <v>0</v>
      </c>
      <c r="S15" s="5"/>
      <c r="T15" s="29"/>
    </row>
    <row r="16" spans="1:20">
      <c r="A16" s="1" t="s">
        <v>55</v>
      </c>
      <c r="B16" s="8" t="s">
        <v>153</v>
      </c>
      <c r="C16" s="37"/>
      <c r="D16" s="23"/>
      <c r="E16" s="21"/>
      <c r="F16" s="773"/>
      <c r="G16" s="774"/>
      <c r="H16" s="5">
        <f t="shared" si="4"/>
        <v>0</v>
      </c>
      <c r="I16" s="21"/>
      <c r="J16" s="773">
        <v>0</v>
      </c>
      <c r="K16" s="775">
        <v>0</v>
      </c>
      <c r="L16" s="5">
        <f t="shared" si="1"/>
        <v>0</v>
      </c>
      <c r="M16" s="21"/>
      <c r="N16" s="6">
        <v>0</v>
      </c>
      <c r="O16" s="7">
        <v>0</v>
      </c>
      <c r="P16" s="5">
        <f t="shared" si="2"/>
        <v>0</v>
      </c>
      <c r="Q16" s="329">
        <f>Weightings!C11</f>
        <v>0</v>
      </c>
      <c r="R16" s="5">
        <f t="shared" si="3"/>
        <v>0</v>
      </c>
      <c r="S16" s="5"/>
      <c r="T16" s="29"/>
    </row>
    <row r="17" spans="1:20">
      <c r="A17" s="1" t="s">
        <v>56</v>
      </c>
      <c r="B17" s="8" t="s">
        <v>153</v>
      </c>
      <c r="C17" s="37"/>
      <c r="D17" s="23"/>
      <c r="E17" s="21"/>
      <c r="F17" s="773"/>
      <c r="G17" s="774"/>
      <c r="H17" s="5">
        <f t="shared" si="4"/>
        <v>0</v>
      </c>
      <c r="I17" s="21"/>
      <c r="J17" s="773">
        <v>0</v>
      </c>
      <c r="K17" s="775">
        <v>0</v>
      </c>
      <c r="L17" s="5">
        <f t="shared" si="1"/>
        <v>0</v>
      </c>
      <c r="M17" s="15"/>
      <c r="N17" s="6">
        <v>0</v>
      </c>
      <c r="O17" s="7">
        <v>0</v>
      </c>
      <c r="P17" s="5">
        <f t="shared" si="2"/>
        <v>0</v>
      </c>
      <c r="Q17" s="329">
        <f>Weightings!C12</f>
        <v>0</v>
      </c>
      <c r="R17" s="5">
        <f t="shared" si="3"/>
        <v>0</v>
      </c>
      <c r="S17" s="5"/>
      <c r="T17" s="29"/>
    </row>
    <row r="18" spans="1:20">
      <c r="A18" s="1" t="s">
        <v>0</v>
      </c>
      <c r="B18" s="8" t="s">
        <v>36</v>
      </c>
      <c r="C18" s="37">
        <v>0</v>
      </c>
      <c r="D18" s="23">
        <f>'Input Gas Prices'!B11+'Baseload - Tier 1'!C18</f>
        <v>1.81</v>
      </c>
      <c r="E18" s="21" t="s">
        <v>37</v>
      </c>
      <c r="F18" s="773">
        <f>0.0366+0.0022</f>
        <v>3.8800000000000001E-2</v>
      </c>
      <c r="G18" s="774">
        <v>6.9699999999999996E-3</v>
      </c>
      <c r="H18" s="5">
        <f t="shared" si="4"/>
        <v>1.8615042486128315</v>
      </c>
      <c r="I18" s="21" t="s">
        <v>43</v>
      </c>
      <c r="J18" s="773">
        <f>0.017+0.0022</f>
        <v>1.9200000000000002E-2</v>
      </c>
      <c r="K18" s="774">
        <v>2.9020000000000001E-2</v>
      </c>
      <c r="L18" s="5">
        <f t="shared" si="1"/>
        <v>1.9363396409944917</v>
      </c>
      <c r="M18" s="15" t="s">
        <v>156</v>
      </c>
      <c r="N18" s="6">
        <f>0.0134+0.0022+0.007</f>
        <v>2.2600000000000002E-2</v>
      </c>
      <c r="O18" s="10">
        <v>2.776E-2</v>
      </c>
      <c r="P18" s="247">
        <f t="shared" si="2"/>
        <v>2.0142272124110217</v>
      </c>
      <c r="Q18" s="329">
        <f>Weightings!C13</f>
        <v>31370.607479626047</v>
      </c>
      <c r="R18" s="5">
        <f t="shared" si="3"/>
        <v>0.79363601647340698</v>
      </c>
      <c r="S18" s="247"/>
      <c r="T18" s="29"/>
    </row>
    <row r="19" spans="1:20">
      <c r="A19" s="1" t="s">
        <v>1</v>
      </c>
      <c r="B19" s="8" t="s">
        <v>17</v>
      </c>
      <c r="C19" s="37">
        <v>0</v>
      </c>
      <c r="D19" s="23">
        <f>'Input Gas Prices'!B12+'Baseload - Tier 1'!C19</f>
        <v>2.0499999999999998</v>
      </c>
      <c r="E19" s="21" t="s">
        <v>48</v>
      </c>
      <c r="F19" s="773">
        <f>0.0134+0.0022+0.007</f>
        <v>2.2600000000000002E-2</v>
      </c>
      <c r="G19" s="774">
        <v>2.776E-2</v>
      </c>
      <c r="H19" s="5">
        <f t="shared" si="4"/>
        <v>2.1311328725417593</v>
      </c>
      <c r="I19" s="21"/>
      <c r="J19" s="773">
        <v>0</v>
      </c>
      <c r="K19" s="775">
        <v>0</v>
      </c>
      <c r="L19" s="5">
        <f t="shared" si="1"/>
        <v>2.1311328725417593</v>
      </c>
      <c r="M19" s="15"/>
      <c r="N19" s="6">
        <v>0</v>
      </c>
      <c r="O19" s="7">
        <v>0</v>
      </c>
      <c r="P19" s="5">
        <f t="shared" si="2"/>
        <v>2.1311328725417593</v>
      </c>
      <c r="Q19" s="329">
        <f>Weightings!C14</f>
        <v>5614.3227016821775</v>
      </c>
      <c r="R19" s="5">
        <f t="shared" si="3"/>
        <v>0.15027885603239294</v>
      </c>
      <c r="S19" s="5"/>
      <c r="T19" s="246"/>
    </row>
    <row r="20" spans="1:20">
      <c r="A20" s="1" t="s">
        <v>2</v>
      </c>
      <c r="B20" s="8" t="s">
        <v>18</v>
      </c>
      <c r="C20" s="37">
        <v>0</v>
      </c>
      <c r="D20" s="23">
        <f>'Input Gas Prices'!B8+'Baseload - Tier 1'!C20</f>
        <v>1.76</v>
      </c>
      <c r="E20" s="21" t="s">
        <v>266</v>
      </c>
      <c r="F20" s="425">
        <f>0.0299+0.0022+0.0097</f>
        <v>4.1799999999999997E-2</v>
      </c>
      <c r="G20" s="426">
        <v>4.58E-2</v>
      </c>
      <c r="H20" s="5">
        <f t="shared" si="4"/>
        <v>1.8862770488367218</v>
      </c>
      <c r="I20" s="21" t="s">
        <v>42</v>
      </c>
      <c r="J20" s="773">
        <v>0</v>
      </c>
      <c r="K20" s="775">
        <v>0.01</v>
      </c>
      <c r="L20" s="5">
        <f t="shared" si="1"/>
        <v>1.9053303523603251</v>
      </c>
      <c r="M20" s="15"/>
      <c r="N20" s="6">
        <v>0</v>
      </c>
      <c r="O20" s="7">
        <v>0</v>
      </c>
      <c r="P20" s="5">
        <f t="shared" si="2"/>
        <v>1.9053303523603251</v>
      </c>
      <c r="Q20" s="329">
        <f>Weightings!C15</f>
        <v>3366</v>
      </c>
      <c r="R20" s="5">
        <f t="shared" si="3"/>
        <v>8.0551638418132149E-2</v>
      </c>
      <c r="S20" s="5"/>
      <c r="T20" s="29"/>
    </row>
    <row r="21" spans="1:20">
      <c r="A21" s="1" t="s">
        <v>3</v>
      </c>
      <c r="B21" s="8" t="s">
        <v>19</v>
      </c>
      <c r="C21" s="37">
        <v>0</v>
      </c>
      <c r="D21" s="23">
        <f>'Input Gas Prices'!B9+'Baseload - Tier 1'!C21</f>
        <v>1.78</v>
      </c>
      <c r="E21" s="21" t="s">
        <v>267</v>
      </c>
      <c r="F21" s="425">
        <f>0.0277+0.0022+0.0097</f>
        <v>3.9599999999999996E-2</v>
      </c>
      <c r="G21" s="426">
        <v>4.2299999999999997E-2</v>
      </c>
      <c r="H21" s="5">
        <f t="shared" si="4"/>
        <v>1.8982196094810484</v>
      </c>
      <c r="I21" s="21" t="s">
        <v>42</v>
      </c>
      <c r="J21" s="773">
        <v>0</v>
      </c>
      <c r="K21" s="775">
        <v>0.01</v>
      </c>
      <c r="L21" s="5">
        <f t="shared" si="1"/>
        <v>1.9173935449303519</v>
      </c>
      <c r="N21" s="6">
        <v>0</v>
      </c>
      <c r="O21" s="7">
        <v>0</v>
      </c>
      <c r="P21" s="5">
        <f t="shared" si="2"/>
        <v>1.9173935449303519</v>
      </c>
      <c r="Q21" s="329">
        <f>Weightings!C16</f>
        <v>4950</v>
      </c>
      <c r="R21" s="5">
        <f t="shared" si="3"/>
        <v>0.11920828518943194</v>
      </c>
      <c r="S21" s="5"/>
      <c r="T21" s="29"/>
    </row>
    <row r="22" spans="1:20">
      <c r="A22" s="1" t="s">
        <v>4</v>
      </c>
      <c r="B22" s="8" t="s">
        <v>20</v>
      </c>
      <c r="C22" s="37">
        <v>0</v>
      </c>
      <c r="D22" s="23">
        <f>'Input Gas Prices'!B10+'Baseload - Tier 1'!C22</f>
        <v>1.86</v>
      </c>
      <c r="E22" s="21" t="s">
        <v>268</v>
      </c>
      <c r="F22" s="425">
        <f>0.0251+0.0022+0.0097</f>
        <v>3.7000000000000005E-2</v>
      </c>
      <c r="G22" s="426">
        <v>3.8100000000000002E-2</v>
      </c>
      <c r="H22" s="5">
        <f t="shared" si="4"/>
        <v>1.9706729389749456</v>
      </c>
      <c r="I22" s="21" t="s">
        <v>42</v>
      </c>
      <c r="J22" s="773">
        <v>0</v>
      </c>
      <c r="K22" s="775">
        <v>0.01</v>
      </c>
      <c r="L22" s="5">
        <f t="shared" si="1"/>
        <v>1.9905787262373187</v>
      </c>
      <c r="N22" s="6">
        <v>0</v>
      </c>
      <c r="O22" s="7">
        <v>0</v>
      </c>
      <c r="P22" s="5">
        <f t="shared" si="2"/>
        <v>1.9905787262373187</v>
      </c>
      <c r="Q22" s="329">
        <f>Weightings!C17</f>
        <v>11172.172715894869</v>
      </c>
      <c r="R22" s="5">
        <f t="shared" si="3"/>
        <v>0.27932318162265068</v>
      </c>
      <c r="S22" s="5"/>
      <c r="T22" s="29"/>
    </row>
    <row r="23" spans="1:20">
      <c r="P23" s="35"/>
      <c r="Q23" s="67"/>
      <c r="R23" s="35"/>
      <c r="S23" s="35"/>
      <c r="T23" s="244"/>
    </row>
    <row r="24" spans="1:20" ht="13.5" thickBot="1">
      <c r="P24" s="36"/>
      <c r="Q24" s="330"/>
      <c r="R24" s="36"/>
      <c r="S24" s="36"/>
    </row>
    <row r="25" spans="1:20" ht="13.5" thickBot="1">
      <c r="P25" s="331" t="s">
        <v>198</v>
      </c>
      <c r="Q25" s="332"/>
      <c r="R25" s="333">
        <f>SUM(R9:R22)</f>
        <v>2.0515170145531911</v>
      </c>
      <c r="S25" s="35"/>
    </row>
    <row r="26" spans="1:20">
      <c r="P26" s="35"/>
      <c r="Q26" s="35"/>
      <c r="R26" s="35"/>
      <c r="S26" s="35"/>
      <c r="T26" s="35"/>
    </row>
    <row r="27" spans="1:20">
      <c r="E27" s="21"/>
      <c r="I27" s="5"/>
      <c r="P27" s="36" t="s">
        <v>205</v>
      </c>
      <c r="Q27" s="404">
        <f>Weightings!C21</f>
        <v>2257</v>
      </c>
      <c r="R27" s="35" t="s">
        <v>206</v>
      </c>
      <c r="S27" s="344" t="s">
        <v>208</v>
      </c>
      <c r="T27" s="35"/>
    </row>
    <row r="28" spans="1:20">
      <c r="E28" s="21"/>
      <c r="I28" s="5"/>
      <c r="Q28" s="420">
        <f>Q27*R29</f>
        <v>67710</v>
      </c>
      <c r="R28" s="1" t="s">
        <v>207</v>
      </c>
    </row>
    <row r="29" spans="1:20">
      <c r="E29" s="21"/>
      <c r="I29" s="5"/>
      <c r="P29" s="1" t="s">
        <v>292</v>
      </c>
      <c r="Q29" s="517">
        <f>B5</f>
        <v>37135</v>
      </c>
      <c r="R29" s="518">
        <v>30</v>
      </c>
    </row>
    <row r="30" spans="1:20">
      <c r="E30" s="21"/>
      <c r="I30" s="5"/>
    </row>
    <row r="31" spans="1:20">
      <c r="E31" s="21"/>
      <c r="I31" s="5"/>
    </row>
    <row r="32" spans="1:20">
      <c r="E32" s="21"/>
      <c r="I32" s="5"/>
    </row>
    <row r="33" spans="5:20">
      <c r="E33" s="21"/>
      <c r="I33" s="5"/>
      <c r="L33" s="35"/>
      <c r="M33" s="35"/>
      <c r="N33" s="35"/>
      <c r="O33" s="35"/>
      <c r="P33" s="35"/>
      <c r="Q33" s="35"/>
    </row>
    <row r="34" spans="5:20">
      <c r="E34" s="21"/>
      <c r="I34" s="5"/>
      <c r="L34" s="35"/>
      <c r="M34" s="35"/>
      <c r="N34" s="35"/>
      <c r="O34" s="35"/>
      <c r="P34" s="35"/>
      <c r="Q34" s="35"/>
      <c r="R34" s="42"/>
    </row>
    <row r="35" spans="5:20">
      <c r="E35" s="21"/>
      <c r="I35" s="5"/>
      <c r="L35" s="35"/>
      <c r="M35" s="35"/>
      <c r="N35" s="35"/>
      <c r="O35" s="35"/>
      <c r="P35" s="339"/>
      <c r="Q35" s="35"/>
      <c r="R35" s="42"/>
    </row>
    <row r="36" spans="5:20">
      <c r="E36" s="21"/>
      <c r="I36" s="5"/>
      <c r="L36" s="35"/>
      <c r="M36" s="241"/>
      <c r="N36" s="241"/>
      <c r="O36" s="241"/>
      <c r="P36" s="340"/>
      <c r="Q36" s="35"/>
      <c r="R36" s="42"/>
    </row>
    <row r="37" spans="5:20">
      <c r="I37" s="5"/>
      <c r="L37" s="35"/>
      <c r="M37" s="343"/>
      <c r="N37" s="343"/>
      <c r="O37" s="343"/>
      <c r="P37" s="341"/>
      <c r="Q37" s="35"/>
      <c r="R37" s="42"/>
    </row>
    <row r="38" spans="5:20">
      <c r="I38" s="247"/>
      <c r="L38" s="35"/>
      <c r="M38" s="35"/>
      <c r="N38" s="35"/>
      <c r="O38" s="35"/>
      <c r="P38" s="35"/>
      <c r="Q38" s="35"/>
      <c r="R38" s="42"/>
    </row>
    <row r="39" spans="5:20">
      <c r="I39" s="5"/>
      <c r="L39" s="35"/>
      <c r="M39" s="35"/>
      <c r="N39" s="35"/>
      <c r="O39" s="35"/>
      <c r="P39" s="35"/>
      <c r="Q39" s="35"/>
      <c r="R39" s="42"/>
    </row>
    <row r="40" spans="5:20">
      <c r="I40" s="5"/>
      <c r="L40" s="35"/>
      <c r="M40" s="35"/>
      <c r="N40" s="35"/>
      <c r="O40" s="35"/>
      <c r="P40" s="35"/>
      <c r="Q40" s="35"/>
      <c r="R40" s="42"/>
    </row>
    <row r="41" spans="5:20">
      <c r="L41" s="35"/>
      <c r="M41" s="35"/>
      <c r="N41" s="35"/>
      <c r="O41" s="35"/>
      <c r="P41" s="35"/>
      <c r="Q41" s="35"/>
      <c r="R41" s="42"/>
    </row>
    <row r="45" spans="5:20">
      <c r="O45" s="35"/>
      <c r="P45" s="35"/>
      <c r="Q45" s="35"/>
      <c r="R45" s="35"/>
      <c r="S45" s="35"/>
      <c r="T45" s="35"/>
    </row>
    <row r="46" spans="5:20">
      <c r="O46" s="35"/>
      <c r="P46" s="35"/>
      <c r="Q46" s="35"/>
      <c r="R46" s="35"/>
      <c r="S46" s="35"/>
      <c r="T46" s="35"/>
    </row>
    <row r="47" spans="5:20">
      <c r="O47" s="35"/>
      <c r="P47" s="35"/>
      <c r="Q47" s="35"/>
      <c r="R47" s="35"/>
      <c r="S47" s="35"/>
      <c r="T47" s="35"/>
    </row>
    <row r="48" spans="5:20">
      <c r="O48" s="35"/>
      <c r="P48" s="35"/>
      <c r="Q48" s="35"/>
      <c r="R48" s="35"/>
      <c r="S48" s="35"/>
      <c r="T48" s="35"/>
    </row>
    <row r="49" spans="15:20">
      <c r="O49" s="35"/>
      <c r="P49" s="35"/>
      <c r="Q49" s="35"/>
      <c r="R49" s="35"/>
      <c r="S49" s="35"/>
      <c r="T49" s="35"/>
    </row>
    <row r="50" spans="15:20">
      <c r="O50" s="35"/>
      <c r="P50" s="36"/>
      <c r="Q50" s="36"/>
      <c r="R50" s="36"/>
      <c r="S50" s="36"/>
      <c r="T50" s="35"/>
    </row>
    <row r="51" spans="15:20">
      <c r="O51" s="35"/>
      <c r="P51" s="35"/>
      <c r="Q51" s="35"/>
      <c r="R51" s="35"/>
      <c r="S51" s="35"/>
      <c r="T51" s="35"/>
    </row>
    <row r="52" spans="15:20">
      <c r="O52" s="35"/>
      <c r="P52" s="35"/>
      <c r="Q52" s="35"/>
      <c r="R52" s="35"/>
      <c r="S52" s="35"/>
      <c r="T52" s="35"/>
    </row>
    <row r="53" spans="15:20">
      <c r="O53" s="35"/>
      <c r="P53" s="36"/>
      <c r="Q53" s="36"/>
      <c r="R53" s="36"/>
      <c r="S53" s="36"/>
      <c r="T53" s="35"/>
    </row>
    <row r="54" spans="15:20">
      <c r="O54" s="35"/>
      <c r="P54" s="35"/>
      <c r="Q54" s="35"/>
      <c r="R54" s="35"/>
      <c r="S54" s="35"/>
      <c r="T54" s="35"/>
    </row>
    <row r="55" spans="15:20">
      <c r="O55" s="35"/>
      <c r="P55" s="35"/>
      <c r="Q55" s="35"/>
      <c r="R55" s="35"/>
      <c r="S55" s="35"/>
      <c r="T55" s="35"/>
    </row>
    <row r="56" spans="15:20">
      <c r="O56" s="35"/>
      <c r="P56" s="35"/>
      <c r="Q56" s="35"/>
      <c r="R56" s="35"/>
      <c r="S56" s="35"/>
      <c r="T56" s="35"/>
    </row>
    <row r="57" spans="15:20">
      <c r="O57" s="35"/>
      <c r="P57" s="35"/>
      <c r="Q57" s="35"/>
      <c r="R57" s="35"/>
      <c r="S57" s="35"/>
      <c r="T57" s="35"/>
    </row>
  </sheetData>
  <phoneticPr fontId="0" type="noConversion"/>
  <pageMargins left="0.44" right="0.51" top="1" bottom="1" header="0.5" footer="0.5"/>
  <pageSetup paperSize="5" scale="48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Summary-Invoice</vt:lpstr>
      <vt:lpstr>VNG Sheet</vt:lpstr>
      <vt:lpstr>Tier Volume Calc</vt:lpstr>
      <vt:lpstr>Tier Schedule</vt:lpstr>
      <vt:lpstr>Input Gas Prices</vt:lpstr>
      <vt:lpstr>Demand</vt:lpstr>
      <vt:lpstr>Weightings</vt:lpstr>
      <vt:lpstr>Williams FS Price</vt:lpstr>
      <vt:lpstr>Baseload - Tier 1</vt:lpstr>
      <vt:lpstr>Tier 2 Cost Calculator</vt:lpstr>
      <vt:lpstr>Gas Daily - Tier 2</vt:lpstr>
      <vt:lpstr>Strg WD - Tier 3</vt:lpstr>
      <vt:lpstr>Strg Activity</vt:lpstr>
      <vt:lpstr>Strg Refill Quantity</vt:lpstr>
      <vt:lpstr>Storage Fill Price</vt:lpstr>
      <vt:lpstr>'Baseload - Tier 1'!Print_Area</vt:lpstr>
      <vt:lpstr>Demand!Print_Area</vt:lpstr>
      <vt:lpstr>'Strg Refill Quantity'!Print_Area</vt:lpstr>
      <vt:lpstr>'VNG Sheet'!Print_Area</vt:lpstr>
      <vt:lpstr>'Baseload - Tier 1'!Print_Titles</vt:lpstr>
      <vt:lpstr>'Storage Fill Price'!Print_Titles</vt:lpstr>
      <vt:lpstr>'Tier Volume Calc'!SHEET</vt:lpstr>
      <vt:lpstr>SHEET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rsupert</dc:creator>
  <dc:description>- Oracle 8i ODBC QueryFix Applied</dc:description>
  <cp:lastModifiedBy>Jan Havlíček</cp:lastModifiedBy>
  <cp:lastPrinted>2001-10-26T17:29:51Z</cp:lastPrinted>
  <dcterms:created xsi:type="dcterms:W3CDTF">2000-09-18T20:50:58Z</dcterms:created>
  <dcterms:modified xsi:type="dcterms:W3CDTF">2023-09-10T17:36:55Z</dcterms:modified>
</cp:coreProperties>
</file>