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1AE1C8-E668-41BB-9C4F-742DFA3AEC09}" xr6:coauthVersionLast="47" xr6:coauthVersionMax="47" xr10:uidLastSave="{00000000-0000-0000-0000-000000000000}"/>
  <bookViews>
    <workbookView xWindow="-120" yWindow="-120" windowWidth="38640" windowHeight="15720" tabRatio="602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Entity'!$A$1:$I$29</definedName>
    <definedName name="_xlnm.Print_Area" localSheetId="1">'Edison Int''l '!$A$1:$T$37</definedName>
    <definedName name="_xlnm.Print_Area" localSheetId="0">'PG&amp;E Corp. '!$A$1:$T$73</definedName>
    <definedName name="_xlnm.Print_Area" localSheetId="2">'Px - ISO '!$A$1:$N$58</definedName>
    <definedName name="_xlnm.Print_Area" localSheetId="4">Summary!$A$6:$J$87</definedName>
    <definedName name="_xlnm.Print_Titles" localSheetId="4">Summary!$1:$5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D7" i="5"/>
  <c r="F7" i="5"/>
  <c r="H7" i="5"/>
  <c r="J7" i="5"/>
  <c r="B8" i="5"/>
  <c r="D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H30" i="5"/>
  <c r="H32" i="5"/>
  <c r="B2" i="2"/>
  <c r="H7" i="2"/>
  <c r="I7" i="2"/>
  <c r="K7" i="2"/>
  <c r="L7" i="2"/>
  <c r="P7" i="2"/>
  <c r="R7" i="2"/>
  <c r="H8" i="2"/>
  <c r="K8" i="2"/>
  <c r="L8" i="2"/>
  <c r="P8" i="2"/>
  <c r="Q8" i="2"/>
  <c r="H9" i="2"/>
  <c r="K9" i="2"/>
  <c r="L9" i="2"/>
  <c r="P9" i="2"/>
  <c r="Q9" i="2"/>
  <c r="H10" i="2"/>
  <c r="K10" i="2"/>
  <c r="L10" i="2"/>
  <c r="P10" i="2"/>
  <c r="Q10" i="2"/>
  <c r="F11" i="2"/>
  <c r="H11" i="2"/>
  <c r="K11" i="2"/>
  <c r="L11" i="2"/>
  <c r="P11" i="2"/>
  <c r="Q11" i="2"/>
  <c r="Q12" i="2"/>
  <c r="R12" i="2"/>
  <c r="S12" i="2"/>
  <c r="H16" i="2"/>
  <c r="K16" i="2"/>
  <c r="L16" i="2"/>
  <c r="P16" i="2"/>
  <c r="Q16" i="2"/>
  <c r="R16" i="2"/>
  <c r="H17" i="2"/>
  <c r="K17" i="2"/>
  <c r="L17" i="2"/>
  <c r="P17" i="2"/>
  <c r="R17" i="2"/>
  <c r="H18" i="2"/>
  <c r="K18" i="2"/>
  <c r="L18" i="2"/>
  <c r="P18" i="2"/>
  <c r="Q18" i="2"/>
  <c r="H19" i="2"/>
  <c r="K19" i="2"/>
  <c r="L19" i="2"/>
  <c r="M19" i="2"/>
  <c r="P19" i="2"/>
  <c r="R19" i="2"/>
  <c r="H22" i="2"/>
  <c r="K22" i="2"/>
  <c r="L22" i="2"/>
  <c r="P22" i="2"/>
  <c r="Q22" i="2"/>
  <c r="H23" i="2"/>
  <c r="I23" i="2"/>
  <c r="J23" i="2"/>
  <c r="K23" i="2"/>
  <c r="L23" i="2"/>
  <c r="P23" i="2"/>
  <c r="Q23" i="2"/>
  <c r="Q25" i="2"/>
  <c r="R25" i="2"/>
  <c r="S26" i="2"/>
  <c r="U26" i="2"/>
  <c r="W26" i="2"/>
  <c r="S27" i="2"/>
  <c r="S28" i="2"/>
  <c r="Q30" i="2"/>
  <c r="R30" i="2"/>
  <c r="S31" i="2"/>
  <c r="U31" i="2"/>
  <c r="S32" i="2"/>
  <c r="S33" i="2"/>
  <c r="Q40" i="2"/>
  <c r="R40" i="2"/>
  <c r="H8" i="1"/>
  <c r="K8" i="1"/>
  <c r="L8" i="1"/>
  <c r="P8" i="1"/>
  <c r="Q8" i="1"/>
  <c r="H9" i="1"/>
  <c r="K9" i="1"/>
  <c r="L9" i="1"/>
  <c r="P9" i="1"/>
  <c r="Q9" i="1"/>
  <c r="R9" i="1"/>
  <c r="H10" i="1"/>
  <c r="I10" i="1"/>
  <c r="K10" i="1"/>
  <c r="L10" i="1"/>
  <c r="P10" i="1"/>
  <c r="R10" i="1"/>
  <c r="F11" i="1"/>
  <c r="H11" i="1"/>
  <c r="K11" i="1"/>
  <c r="L11" i="1"/>
  <c r="P11" i="1"/>
  <c r="Q11" i="1"/>
  <c r="F12" i="1"/>
  <c r="H12" i="1"/>
  <c r="K12" i="1"/>
  <c r="L12" i="1"/>
  <c r="P12" i="1"/>
  <c r="Q12" i="1"/>
  <c r="G13" i="1"/>
  <c r="H13" i="1"/>
  <c r="K13" i="1"/>
  <c r="L13" i="1"/>
  <c r="P13" i="1"/>
  <c r="R13" i="1"/>
  <c r="F14" i="1"/>
  <c r="H14" i="1"/>
  <c r="K14" i="1"/>
  <c r="L14" i="1"/>
  <c r="P14" i="1"/>
  <c r="Q14" i="1"/>
  <c r="Q15" i="1"/>
  <c r="R15" i="1"/>
  <c r="S15" i="1"/>
  <c r="H17" i="1"/>
  <c r="K17" i="1"/>
  <c r="L17" i="1"/>
  <c r="P17" i="1"/>
  <c r="Q17" i="1"/>
  <c r="H18" i="1"/>
  <c r="K18" i="1"/>
  <c r="L18" i="1"/>
  <c r="P18" i="1"/>
  <c r="R18" i="1"/>
  <c r="K19" i="1"/>
  <c r="L19" i="1"/>
  <c r="P19" i="1"/>
  <c r="R19" i="1"/>
  <c r="H20" i="1"/>
  <c r="K20" i="1"/>
  <c r="L20" i="1"/>
  <c r="P20" i="1"/>
  <c r="Q20" i="1"/>
  <c r="S21" i="1"/>
  <c r="H23" i="1"/>
  <c r="K23" i="1"/>
  <c r="L23" i="1"/>
  <c r="P23" i="1"/>
  <c r="Q23" i="1"/>
  <c r="H24" i="1"/>
  <c r="K24" i="1"/>
  <c r="L24" i="1"/>
  <c r="P24" i="1"/>
  <c r="Q24" i="1"/>
  <c r="H25" i="1"/>
  <c r="K25" i="1"/>
  <c r="L25" i="1"/>
  <c r="P25" i="1"/>
  <c r="Q25" i="1"/>
  <c r="R25" i="1"/>
  <c r="H26" i="1"/>
  <c r="K26" i="1"/>
  <c r="L26" i="1"/>
  <c r="O26" i="1"/>
  <c r="P26" i="1"/>
  <c r="R26" i="1"/>
  <c r="H27" i="1"/>
  <c r="K27" i="1"/>
  <c r="L27" i="1"/>
  <c r="P27" i="1"/>
  <c r="Q27" i="1"/>
  <c r="H28" i="1"/>
  <c r="I28" i="1"/>
  <c r="J28" i="1"/>
  <c r="K28" i="1"/>
  <c r="L28" i="1"/>
  <c r="P28" i="1"/>
  <c r="Q28" i="1"/>
  <c r="S29" i="1"/>
  <c r="H31" i="1"/>
  <c r="K31" i="1"/>
  <c r="L31" i="1"/>
  <c r="P31" i="1"/>
  <c r="Q31" i="1"/>
  <c r="H32" i="1"/>
  <c r="L32" i="1"/>
  <c r="P32" i="1"/>
  <c r="Q32" i="1"/>
  <c r="S33" i="1"/>
  <c r="W33" i="1"/>
  <c r="H35" i="1"/>
  <c r="K35" i="1"/>
  <c r="L35" i="1"/>
  <c r="P35" i="1"/>
  <c r="Q35" i="1"/>
  <c r="H36" i="1"/>
  <c r="K36" i="1"/>
  <c r="L36" i="1"/>
  <c r="P36" i="1"/>
  <c r="R36" i="1"/>
  <c r="H37" i="1"/>
  <c r="K37" i="1"/>
  <c r="L37" i="1"/>
  <c r="Q37" i="1"/>
  <c r="H38" i="1"/>
  <c r="K38" i="1"/>
  <c r="L38" i="1"/>
  <c r="P38" i="1"/>
  <c r="Q38" i="1"/>
  <c r="S39" i="1"/>
  <c r="H41" i="1"/>
  <c r="K41" i="1"/>
  <c r="L41" i="1"/>
  <c r="P41" i="1"/>
  <c r="R41" i="1"/>
  <c r="H42" i="1"/>
  <c r="K42" i="1"/>
  <c r="L42" i="1"/>
  <c r="P42" i="1"/>
  <c r="R42" i="1"/>
  <c r="H43" i="1"/>
  <c r="K43" i="1"/>
  <c r="L43" i="1"/>
  <c r="P43" i="1"/>
  <c r="Q43" i="1"/>
  <c r="H44" i="1"/>
  <c r="K44" i="1"/>
  <c r="L44" i="1"/>
  <c r="P44" i="1"/>
  <c r="R44" i="1"/>
  <c r="H45" i="1"/>
  <c r="K45" i="1"/>
  <c r="L45" i="1"/>
  <c r="P45" i="1"/>
  <c r="Q45" i="1"/>
  <c r="F46" i="1"/>
  <c r="G46" i="1"/>
  <c r="H46" i="1"/>
  <c r="K46" i="1"/>
  <c r="L46" i="1"/>
  <c r="P46" i="1"/>
  <c r="R46" i="1"/>
  <c r="S47" i="1"/>
  <c r="Q48" i="1"/>
  <c r="R48" i="1"/>
  <c r="S50" i="1"/>
  <c r="S51" i="1"/>
  <c r="S52" i="1"/>
  <c r="S53" i="1"/>
  <c r="S54" i="1"/>
  <c r="V55" i="1"/>
  <c r="H56" i="1"/>
  <c r="K56" i="1"/>
  <c r="L56" i="1"/>
  <c r="P56" i="1"/>
  <c r="Q56" i="1"/>
  <c r="S56" i="1"/>
  <c r="V56" i="1"/>
  <c r="Q57" i="1"/>
  <c r="R57" i="1"/>
  <c r="S58" i="1"/>
  <c r="H60" i="1"/>
  <c r="K60" i="1"/>
  <c r="L60" i="1"/>
  <c r="P60" i="1"/>
  <c r="Q60" i="1"/>
  <c r="Q64" i="1"/>
  <c r="R64" i="1"/>
  <c r="S65" i="1"/>
  <c r="S66" i="1"/>
  <c r="S67" i="1"/>
  <c r="S68" i="1"/>
  <c r="S69" i="1"/>
  <c r="D77" i="1"/>
  <c r="E77" i="1"/>
  <c r="Q77" i="1"/>
  <c r="R77" i="1"/>
  <c r="D84" i="1"/>
  <c r="E84" i="1"/>
  <c r="D95" i="1"/>
  <c r="E95" i="1"/>
  <c r="L95" i="1"/>
  <c r="D96" i="1"/>
  <c r="E96" i="1"/>
  <c r="L96" i="1"/>
  <c r="D97" i="1"/>
  <c r="E97" i="1"/>
  <c r="L97" i="1"/>
  <c r="D98" i="1"/>
  <c r="E98" i="1"/>
  <c r="L98" i="1"/>
  <c r="D99" i="1"/>
  <c r="E99" i="1"/>
  <c r="L99" i="1"/>
  <c r="D101" i="1"/>
  <c r="E101" i="1"/>
  <c r="L101" i="1"/>
  <c r="Q101" i="1"/>
  <c r="B2" i="3"/>
  <c r="J7" i="3"/>
  <c r="K8" i="3"/>
  <c r="K9" i="3"/>
  <c r="G10" i="3"/>
  <c r="K10" i="3"/>
  <c r="J11" i="3"/>
  <c r="J12" i="3"/>
  <c r="F13" i="3"/>
  <c r="J13" i="3"/>
  <c r="F14" i="3"/>
  <c r="J14" i="3"/>
  <c r="F16" i="3"/>
  <c r="G16" i="3"/>
  <c r="J16" i="3"/>
  <c r="K16" i="3"/>
  <c r="K22" i="3"/>
  <c r="G23" i="3"/>
  <c r="J23" i="3"/>
  <c r="K23" i="3"/>
  <c r="J25" i="3"/>
  <c r="K27" i="3"/>
  <c r="K28" i="3"/>
  <c r="K29" i="3"/>
  <c r="F30" i="3"/>
  <c r="J30" i="3"/>
  <c r="J31" i="3"/>
  <c r="J32" i="3"/>
  <c r="J33" i="3"/>
  <c r="F34" i="3"/>
  <c r="G34" i="3"/>
  <c r="J34" i="3"/>
  <c r="K34" i="3"/>
  <c r="G41" i="3"/>
  <c r="L41" i="3"/>
  <c r="G42" i="3"/>
  <c r="L42" i="3"/>
  <c r="G43" i="3"/>
  <c r="L43" i="3"/>
  <c r="G44" i="3"/>
  <c r="J44" i="3"/>
  <c r="L44" i="3"/>
  <c r="G45" i="3"/>
  <c r="L45" i="3"/>
  <c r="G46" i="3"/>
  <c r="J46" i="3"/>
  <c r="L46" i="3"/>
  <c r="G48" i="3"/>
  <c r="J48" i="3"/>
  <c r="L48" i="3"/>
  <c r="G49" i="3"/>
  <c r="J49" i="3"/>
  <c r="L49" i="3"/>
  <c r="G50" i="3"/>
  <c r="J50" i="3"/>
  <c r="L50" i="3"/>
  <c r="B58" i="3"/>
  <c r="D58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comments1.xml><?xml version="1.0" encoding="utf-8"?>
<comments xmlns="http://schemas.openxmlformats.org/spreadsheetml/2006/main">
  <authors>
    <author>wconwell</author>
  </authors>
  <commentList>
    <comment ref="F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a combined amount of $292MM between EES/EEMC/IBM</t>
        </r>
      </text>
    </comment>
    <comment ref="F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a combined amount of $292MM between EES/EEMC/IBM</t>
        </r>
      </text>
    </comment>
    <comment ref="G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Intramonth receivable per EES</t>
        </r>
      </text>
    </comment>
    <comment ref="F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receivable per EES</t>
        </r>
      </text>
    </comment>
    <comment ref="G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payable per EES</t>
        </r>
      </text>
    </comment>
    <comment ref="E2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O2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Interpolated based on sell volume and sell exposure as there was buy volume but no buy exposure associated with it.</t>
        </r>
      </text>
    </comment>
  </commentList>
</comments>
</file>

<file path=xl/comments2.xml><?xml version="1.0" encoding="utf-8"?>
<comments xmlns="http://schemas.openxmlformats.org/spreadsheetml/2006/main">
  <authors>
    <author>wconwell</author>
  </authors>
  <commentList>
    <comment ref="F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F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D1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London, not on CAS</t>
        </r>
      </text>
    </comment>
  </commentList>
</comments>
</file>

<file path=xl/comments3.xml><?xml version="1.0" encoding="utf-8"?>
<comments xmlns="http://schemas.openxmlformats.org/spreadsheetml/2006/main">
  <authors>
    <author>wconwell</author>
  </authors>
  <commentList>
    <comment ref="F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F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F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F1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<sst xmlns="http://schemas.openxmlformats.org/spreadsheetml/2006/main" count="589" uniqueCount="231">
  <si>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</si>
  <si>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</si>
  <si>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</si>
  <si>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</si>
  <si>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</si>
  <si>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</si>
  <si>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</si>
  <si>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</si>
  <si>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</si>
  <si>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</si>
  <si>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</si>
  <si>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</si>
  <si>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</si>
  <si>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</si>
  <si>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</si>
  <si>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</si>
  <si>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</si>
  <si>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</si>
  <si>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</si>
  <si>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</si>
  <si>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</si>
  <si>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</si>
  <si>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</si>
  <si>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</si>
  <si>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</si>
  <si>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</si>
  <si>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</si>
  <si>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</si>
  <si>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</si>
  <si>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</si>
  <si>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</si>
  <si>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</si>
  <si>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</si>
  <si>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</si>
  <si>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</si>
  <si>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</si>
  <si>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</si>
  <si>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</si>
  <si>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</si>
  <si>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</si>
  <si>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</si>
  <si>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</si>
  <si>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</si>
  <si>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</si>
  <si>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</si>
  <si>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</si>
  <si>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</si>
  <si>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</si>
  <si>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</si>
  <si>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</si>
  <si>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</si>
  <si>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</si>
  <si>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</si>
  <si>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</si>
  <si>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</si>
  <si>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</si>
  <si>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</si>
  <si>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</si>
  <si>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</si>
  <si>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</si>
  <si>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</si>
  <si>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</si>
  <si>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</si>
  <si>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</si>
  <si>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</si>
  <si>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</si>
  <si>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</si>
  <si>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</si>
  <si>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</si>
  <si>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</si>
  <si>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</si>
  <si>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</si>
  <si>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</si>
  <si>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</si>
  <si>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</si>
  <si>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</si>
  <si>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</si>
  <si>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</si>
  <si>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</si>
  <si>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</si>
  <si>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</si>
  <si>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</si>
  <si>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</si>
  <si>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</si>
  <si>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</si>
  <si>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</si>
  <si>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</si>
  <si>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</si>
  <si>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</si>
  <si>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</si>
  <si>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</si>
  <si>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</si>
  <si>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>HPL Co.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</si>
  <si>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</si>
  <si>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</si>
  <si>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</si>
  <si>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</si>
  <si>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</si>
  <si>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</si>
  <si>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</si>
  <si>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</si>
  <si>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</si>
  <si>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</si>
  <si>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</si>
  <si>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</si>
  <si>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</si>
  <si>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</si>
  <si>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</si>
  <si>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</si>
  <si>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</si>
  <si>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</si>
  <si>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</si>
  <si>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</si>
  <si>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</si>
  <si>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</si>
  <si>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</si>
  <si>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</si>
  <si>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</si>
  <si>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</si>
  <si>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</si>
  <si>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</si>
  <si>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</si>
  <si>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</si>
  <si>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 xml:space="preserve">          Subtotal PG&amp;E Trading Subsidiaries</t>
  </si>
  <si>
    <t xml:space="preserve">     Total Exposure to PG&amp;E Trading Subsidiaries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</si>
  <si>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</si>
  <si>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</si>
  <si>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</si>
  <si>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</si>
  <si>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</si>
  <si>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</si>
  <si>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</si>
  <si>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</si>
  <si>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</si>
  <si>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</si>
  <si>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</si>
  <si>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</si>
  <si>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</si>
  <si>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</si>
  <si>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</si>
  <si>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</si>
  <si>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</si>
  <si>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</si>
  <si>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</si>
  <si>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</si>
  <si>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</si>
  <si>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(b)/('c)</t>
  </si>
  <si>
    <t>Per London. Financial swap settles weekly.</t>
  </si>
  <si>
    <t>Per London. Power Swaps</t>
  </si>
  <si>
    <t xml:space="preserve">Edison Mission Energy - First Hydro </t>
  </si>
  <si>
    <t>Check</t>
  </si>
  <si>
    <t>No Set Off</t>
  </si>
  <si>
    <t>Set Off W/I Enron Canada</t>
  </si>
  <si>
    <t xml:space="preserve">(b) Total California Utility Exposure assumes netting among Enron entities within both Utilities, </t>
  </si>
  <si>
    <t xml:space="preserve">and netting within Enron Canada for PG&amp;E Energy Trading, Canada Corp. </t>
  </si>
  <si>
    <t>Net Settlement Risk</t>
  </si>
  <si>
    <t>PG&amp;E Corp. guaranteed $10MM receivable to EES was received 01/23.</t>
  </si>
  <si>
    <t>Nine Energy Services LLC</t>
  </si>
  <si>
    <t>Cash</t>
  </si>
  <si>
    <t>EPMI paid invoice</t>
  </si>
  <si>
    <t>EPMI received $4.1MM of $12.5MM</t>
  </si>
  <si>
    <t>EES/EEMC</t>
  </si>
  <si>
    <t>California Exposure as of COB</t>
  </si>
  <si>
    <t>Enron Coal -London</t>
  </si>
  <si>
    <t>Phys. MTM per London</t>
  </si>
  <si>
    <t>March</t>
  </si>
  <si>
    <t>(a) Net Settlement Risk for Coal is only one-month receivables/payables due to approx. 10 day settlement for coal delivery.</t>
  </si>
  <si>
    <t>(a)approx.$180mm of exposure assigned from EES on 12/28/00.  MTM on 12/28/00 was $260.5mm.</t>
  </si>
  <si>
    <t xml:space="preserve">              Total Exposure after Set-Off</t>
  </si>
  <si>
    <t xml:space="preserve">     Total Master Set-Off Benefit</t>
  </si>
  <si>
    <t xml:space="preserve">           Total Relationship Exposure after Set-Off</t>
  </si>
  <si>
    <t>Power Swap - One day only</t>
  </si>
  <si>
    <t xml:space="preserve">March </t>
  </si>
  <si>
    <t>Credit Agg Tie</t>
  </si>
  <si>
    <t>Potential Margin</t>
  </si>
  <si>
    <t xml:space="preserve">           Total Relationship Net Position</t>
  </si>
  <si>
    <t xml:space="preserve">           Less Collateral Held</t>
  </si>
  <si>
    <t>Estimates of Portland General Exposure relating to an annuity stream (23 remaining monthly pmts of $2,667,000) for the termination of a long-term power sales agreement 3 years ago.</t>
  </si>
  <si>
    <t>Estimates of Portland General Exposure relating to an annuity stream due for the termination of power sales agreement 3 years ago.</t>
  </si>
  <si>
    <t>(b)</t>
  </si>
  <si>
    <t>('c)</t>
  </si>
  <si>
    <t>(a)+(b)+('c)</t>
  </si>
  <si>
    <t>April</t>
  </si>
  <si>
    <t xml:space="preserve"> Cash</t>
  </si>
  <si>
    <t>DOUBLE CHECK NETTING CALC.</t>
  </si>
  <si>
    <t>Threshold Plus Collateral</t>
  </si>
  <si>
    <t>EES gas exposure with PG&amp;E.  Does not include $638,654 in dusputed charges from September 2000</t>
  </si>
  <si>
    <t>Net Amts Paid @ 03/15/01</t>
  </si>
  <si>
    <t>ECC</t>
  </si>
  <si>
    <t>EPMI / EEMC+EES</t>
  </si>
  <si>
    <t>FMTM</t>
  </si>
  <si>
    <t>PMTM</t>
  </si>
  <si>
    <t>Net Receivables</t>
  </si>
  <si>
    <t>Total Exposure</t>
  </si>
  <si>
    <t>HPL</t>
  </si>
  <si>
    <t xml:space="preserve">           Total Exposure after Set-Off</t>
  </si>
  <si>
    <t xml:space="preserve">           Total PG&amp;E NEG Net Position</t>
  </si>
  <si>
    <t>Enron Coal sleeves for ECT Resources under one coal contract.</t>
  </si>
  <si>
    <t>SoCal Ed</t>
  </si>
  <si>
    <t>PG&amp;E</t>
  </si>
  <si>
    <t>BPA</t>
  </si>
  <si>
    <t>Sierra Pacific Industries</t>
  </si>
  <si>
    <t xml:space="preserve">Salt River Project </t>
  </si>
  <si>
    <t>WAPA</t>
  </si>
  <si>
    <t>Nov 2000</t>
  </si>
  <si>
    <t>Dec 2000</t>
  </si>
  <si>
    <t>Oct 2000 (Real Time Default Share)</t>
  </si>
  <si>
    <t>Nov 2000 (Real Time Default Share)</t>
  </si>
  <si>
    <t>Dec 2000 (Real Time Mkt)</t>
  </si>
  <si>
    <t>Dec 2000 (Blk FW Mkt)</t>
  </si>
  <si>
    <t>Dec 2000 (Core Mkt Default Share - SCE)</t>
  </si>
  <si>
    <t>Oct 2000 (Real Time Default Share - SCE)</t>
  </si>
  <si>
    <t>Nov 2000 (Real Time)</t>
  </si>
  <si>
    <t>(a) EPMI</t>
  </si>
  <si>
    <t>(b) Portland General</t>
  </si>
  <si>
    <t>Mark to Market as of 03/21/01; estimates on accrued A/R through January 30, 2001.</t>
  </si>
  <si>
    <t>Notes: EPMI and Portland General's share of Defaults from CPs (if FERC determines we must pay chargeback).</t>
  </si>
  <si>
    <t>January 2001 (Core Mkt)</t>
  </si>
  <si>
    <t>Jan 2001 (Core Mkt)</t>
  </si>
  <si>
    <t>Jan 2001 (Real Time Mkt)</t>
  </si>
  <si>
    <t>Feb 2001</t>
  </si>
  <si>
    <t>Jan 2001</t>
  </si>
  <si>
    <t>Physical MTM has been reduce by $348.4mm due to assigment to other CPs. Total cost of assigments is $56.4mm.</t>
  </si>
  <si>
    <t>As of COB 03/30/01</t>
  </si>
  <si>
    <t>March &amp; April</t>
  </si>
  <si>
    <t>\</t>
  </si>
  <si>
    <t>Px Credit due to EES.  Physical MTM of $277.6mm was released due to putting customers back to utility.</t>
  </si>
  <si>
    <t>Px Credit due to EEMC.  Physical MTM of $328.5mm was released due to putting customers back to utility.</t>
  </si>
  <si>
    <t>Px Credit due to EES.  Physical MTM of $132.4mm was released due to putting customers back to utility effective March 13.</t>
  </si>
  <si>
    <t>Px Credit due to EEMC.  Physical MTM of $233.3mm was released due to putting customers back to utility effective March 13.</t>
  </si>
  <si>
    <t>('c) Total California Utility Exposure will reduce to $924.4mm with Master Set-Off.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</si>
</sst>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4"/>
      <name val="Arial"/>
      <family val="2"/>
    </font>
    <font>
      <b/>
      <i/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gray0625">
        <bgColor indexed="11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7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4" fillId="0" borderId="1" xfId="0" applyNumberFormat="1" applyFont="1" applyBorder="1" applyAlignment="1">
      <alignment horizontal="center" wrapText="1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4" xfId="0" applyNumberFormat="1" applyFont="1" applyBorder="1" applyProtection="1">
      <protection locked="0"/>
    </xf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5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4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6" fontId="7" fillId="0" borderId="7" xfId="0" applyNumberFormat="1" applyFont="1" applyBorder="1"/>
    <xf numFmtId="0" fontId="9" fillId="0" borderId="6" xfId="0" applyFont="1" applyBorder="1" applyProtection="1">
      <protection locked="0"/>
    </xf>
    <xf numFmtId="0" fontId="8" fillId="0" borderId="6" xfId="0" applyFont="1" applyBorder="1" applyAlignment="1">
      <alignment vertical="top"/>
    </xf>
    <xf numFmtId="0" fontId="7" fillId="0" borderId="6" xfId="0" applyFont="1" applyBorder="1"/>
    <xf numFmtId="0" fontId="4" fillId="0" borderId="6" xfId="0" applyFont="1" applyBorder="1"/>
    <xf numFmtId="0" fontId="4" fillId="0" borderId="8" xfId="0" applyFont="1" applyBorder="1"/>
    <xf numFmtId="0" fontId="7" fillId="0" borderId="9" xfId="0" applyFont="1" applyBorder="1" applyProtection="1">
      <protection locked="0"/>
    </xf>
    <xf numFmtId="6" fontId="7" fillId="0" borderId="9" xfId="0" applyNumberFormat="1" applyFont="1" applyBorder="1" applyProtection="1">
      <protection locked="0"/>
    </xf>
    <xf numFmtId="6" fontId="7" fillId="0" borderId="9" xfId="0" applyNumberFormat="1" applyFont="1" applyBorder="1"/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6" fontId="7" fillId="2" borderId="11" xfId="0" applyNumberFormat="1" applyFont="1" applyFill="1" applyBorder="1" applyProtection="1">
      <protection locked="0"/>
    </xf>
    <xf numFmtId="6" fontId="4" fillId="2" borderId="11" xfId="0" applyNumberFormat="1" applyFont="1" applyFill="1" applyBorder="1"/>
    <xf numFmtId="0" fontId="4" fillId="2" borderId="6" xfId="0" applyFont="1" applyFill="1" applyBorder="1" applyProtection="1">
      <protection locked="0"/>
    </xf>
    <xf numFmtId="0" fontId="7" fillId="2" borderId="6" xfId="0" applyFont="1" applyFill="1" applyBorder="1" applyProtection="1">
      <protection locked="0"/>
    </xf>
    <xf numFmtId="6" fontId="7" fillId="2" borderId="7" xfId="0" applyNumberFormat="1" applyFont="1" applyFill="1" applyBorder="1"/>
    <xf numFmtId="0" fontId="4" fillId="2" borderId="6" xfId="0" applyFont="1" applyFill="1" applyBorder="1" applyAlignment="1">
      <alignment vertical="top"/>
    </xf>
    <xf numFmtId="6" fontId="4" fillId="2" borderId="7" xfId="0" applyNumberFormat="1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7" fillId="0" borderId="8" xfId="0" applyFont="1" applyBorder="1" applyProtection="1">
      <protection locked="0"/>
    </xf>
    <xf numFmtId="6" fontId="7" fillId="0" borderId="12" xfId="0" applyNumberFormat="1" applyFont="1" applyBorder="1"/>
    <xf numFmtId="6" fontId="4" fillId="0" borderId="9" xfId="0" applyNumberFormat="1" applyFont="1" applyBorder="1" applyAlignment="1">
      <alignment horizontal="center"/>
    </xf>
    <xf numFmtId="6" fontId="7" fillId="2" borderId="13" xfId="0" applyNumberFormat="1" applyFont="1" applyFill="1" applyBorder="1"/>
    <xf numFmtId="0" fontId="7" fillId="2" borderId="7" xfId="0" applyFont="1" applyFill="1" applyBorder="1"/>
    <xf numFmtId="6" fontId="7" fillId="0" borderId="7" xfId="0" applyNumberFormat="1" applyFont="1" applyFill="1" applyBorder="1"/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7" xfId="0" applyFont="1" applyFill="1" applyBorder="1" applyAlignment="1" applyProtection="1">
      <alignment horizontal="right" vertical="top"/>
      <protection locked="0"/>
    </xf>
    <xf numFmtId="0" fontId="4" fillId="2" borderId="6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9" xfId="0" applyFont="1" applyBorder="1"/>
    <xf numFmtId="40" fontId="7" fillId="0" borderId="9" xfId="0" applyNumberFormat="1" applyFont="1" applyBorder="1"/>
    <xf numFmtId="6" fontId="7" fillId="0" borderId="9" xfId="0" applyNumberFormat="1" applyFont="1" applyBorder="1" applyAlignment="1" applyProtection="1">
      <alignment vertical="top"/>
      <protection locked="0"/>
    </xf>
    <xf numFmtId="38" fontId="4" fillId="0" borderId="9" xfId="0" applyNumberFormat="1" applyFont="1" applyBorder="1"/>
    <xf numFmtId="6" fontId="4" fillId="0" borderId="9" xfId="0" applyNumberFormat="1" applyFont="1" applyBorder="1" applyAlignment="1">
      <alignment horizontal="center" vertical="top" wrapText="1"/>
    </xf>
    <xf numFmtId="0" fontId="4" fillId="0" borderId="12" xfId="0" applyFont="1" applyBorder="1" applyAlignment="1" applyProtection="1">
      <alignment horizontal="right" vertical="top"/>
      <protection locked="0"/>
    </xf>
    <xf numFmtId="0" fontId="4" fillId="0" borderId="10" xfId="0" applyFont="1" applyBorder="1"/>
    <xf numFmtId="0" fontId="7" fillId="0" borderId="11" xfId="0" applyFont="1" applyBorder="1"/>
    <xf numFmtId="40" fontId="7" fillId="0" borderId="11" xfId="0" applyNumberFormat="1" applyFont="1" applyBorder="1"/>
    <xf numFmtId="6" fontId="7" fillId="0" borderId="11" xfId="0" applyNumberFormat="1" applyFont="1" applyBorder="1" applyAlignment="1" applyProtection="1">
      <alignment vertical="top"/>
      <protection locked="0"/>
    </xf>
    <xf numFmtId="38" fontId="4" fillId="0" borderId="11" xfId="0" applyNumberFormat="1" applyFont="1" applyBorder="1"/>
    <xf numFmtId="6" fontId="4" fillId="0" borderId="11" xfId="0" applyNumberFormat="1" applyFont="1" applyBorder="1" applyAlignment="1">
      <alignment horizontal="center" vertical="top" wrapText="1"/>
    </xf>
    <xf numFmtId="0" fontId="4" fillId="0" borderId="13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7" xfId="0" applyFont="1" applyBorder="1" applyAlignment="1" applyProtection="1">
      <alignment horizontal="right" vertical="top"/>
      <protection locked="0"/>
    </xf>
    <xf numFmtId="0" fontId="7" fillId="0" borderId="7" xfId="0" applyFont="1" applyBorder="1"/>
    <xf numFmtId="6" fontId="4" fillId="0" borderId="6" xfId="0" applyNumberFormat="1" applyFont="1" applyBorder="1"/>
    <xf numFmtId="0" fontId="4" fillId="2" borderId="0" xfId="0" applyFont="1" applyFill="1" applyBorder="1"/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6" fontId="0" fillId="0" borderId="11" xfId="0" applyNumberFormat="1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6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7" fillId="0" borderId="1" xfId="0" applyFont="1" applyFill="1" applyBorder="1"/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0" fillId="5" borderId="0" xfId="0" applyNumberFormat="1" applyFill="1"/>
    <xf numFmtId="6" fontId="7" fillId="4" borderId="0" xfId="0" applyNumberFormat="1" applyFont="1" applyFill="1" applyBorder="1" applyProtection="1">
      <protection locked="0"/>
    </xf>
    <xf numFmtId="49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/>
    <xf numFmtId="6" fontId="7" fillId="4" borderId="0" xfId="1" applyNumberFormat="1" applyFont="1" applyFill="1"/>
    <xf numFmtId="6" fontId="7" fillId="4" borderId="0" xfId="1" applyNumberFormat="1" applyFont="1" applyFill="1" applyAlignment="1">
      <alignment horizontal="right"/>
    </xf>
    <xf numFmtId="6" fontId="7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6" fontId="7" fillId="4" borderId="0" xfId="0" applyNumberFormat="1" applyFont="1" applyFill="1" applyProtection="1">
      <protection locked="0"/>
    </xf>
    <xf numFmtId="6" fontId="7" fillId="0" borderId="9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6" fontId="7" fillId="4" borderId="13" xfId="0" applyNumberFormat="1" applyFont="1" applyFill="1" applyBorder="1"/>
    <xf numFmtId="0" fontId="7" fillId="4" borderId="0" xfId="0" applyFont="1" applyFill="1" applyBorder="1" applyProtection="1">
      <protection locked="0"/>
    </xf>
    <xf numFmtId="0" fontId="4" fillId="4" borderId="0" xfId="0" applyFont="1" applyFill="1" applyBorder="1" applyProtection="1">
      <protection locked="0"/>
    </xf>
    <xf numFmtId="6" fontId="7" fillId="4" borderId="0" xfId="0" applyNumberFormat="1" applyFont="1" applyFill="1" applyBorder="1" applyAlignment="1">
      <alignment horizontal="left" vertical="top" wrapText="1"/>
    </xf>
    <xf numFmtId="6" fontId="7" fillId="4" borderId="7" xfId="0" applyNumberFormat="1" applyFont="1" applyFill="1" applyBorder="1" applyAlignment="1">
      <alignment horizontal="center" vertical="top" wrapText="1"/>
    </xf>
    <xf numFmtId="6" fontId="7" fillId="4" borderId="7" xfId="0" applyNumberFormat="1" applyFont="1" applyFill="1" applyBorder="1"/>
    <xf numFmtId="0" fontId="8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6" fontId="7" fillId="4" borderId="0" xfId="0" applyNumberFormat="1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vertical="top"/>
    </xf>
    <xf numFmtId="0" fontId="7" fillId="4" borderId="6" xfId="0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vertical="top"/>
      <protection locked="0"/>
    </xf>
    <xf numFmtId="0" fontId="7" fillId="4" borderId="0" xfId="0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horizontal="center"/>
    </xf>
    <xf numFmtId="0" fontId="4" fillId="0" borderId="0" xfId="0" applyFont="1" applyFill="1" applyAlignment="1" applyProtection="1">
      <alignment horizontal="right"/>
      <protection locked="0"/>
    </xf>
    <xf numFmtId="0" fontId="7" fillId="4" borderId="10" xfId="0" applyFont="1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0" fontId="4" fillId="0" borderId="6" xfId="0" applyFont="1" applyFill="1" applyBorder="1" applyProtection="1">
      <protection locked="0"/>
    </xf>
    <xf numFmtId="6" fontId="4" fillId="0" borderId="3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vertical="top"/>
      <protection locked="0"/>
    </xf>
    <xf numFmtId="0" fontId="7" fillId="7" borderId="0" xfId="0" applyFont="1" applyFill="1"/>
    <xf numFmtId="0" fontId="4" fillId="7" borderId="0" xfId="0" applyFont="1" applyFill="1"/>
    <xf numFmtId="0" fontId="4" fillId="7" borderId="0" xfId="0" applyFont="1" applyFill="1" applyAlignment="1" applyProtection="1">
      <alignment horizontal="right"/>
      <protection locked="0"/>
    </xf>
    <xf numFmtId="0" fontId="7" fillId="7" borderId="0" xfId="0" applyFont="1" applyFill="1" applyProtection="1">
      <protection locked="0"/>
    </xf>
    <xf numFmtId="6" fontId="7" fillId="7" borderId="0" xfId="0" applyNumberFormat="1" applyFont="1" applyFill="1" applyBorder="1" applyProtection="1">
      <protection locked="0"/>
    </xf>
    <xf numFmtId="6" fontId="7" fillId="7" borderId="9" xfId="0" applyNumberFormat="1" applyFont="1" applyFill="1" applyBorder="1" applyProtection="1">
      <protection locked="0"/>
    </xf>
    <xf numFmtId="6" fontId="7" fillId="7" borderId="0" xfId="0" applyNumberFormat="1" applyFont="1" applyFill="1" applyBorder="1"/>
    <xf numFmtId="6" fontId="7" fillId="7" borderId="0" xfId="0" applyNumberFormat="1" applyFont="1" applyFill="1"/>
    <xf numFmtId="0" fontId="0" fillId="7" borderId="0" xfId="0" applyFill="1"/>
    <xf numFmtId="0" fontId="2" fillId="7" borderId="0" xfId="0" applyFont="1" applyFill="1"/>
    <xf numFmtId="6" fontId="4" fillId="2" borderId="0" xfId="0" applyNumberFormat="1" applyFont="1" applyFill="1" applyBorder="1" applyAlignment="1">
      <alignment wrapText="1"/>
    </xf>
    <xf numFmtId="6" fontId="4" fillId="0" borderId="14" xfId="0" applyNumberFormat="1" applyFont="1" applyBorder="1" applyAlignment="1">
      <alignment horizontal="center"/>
    </xf>
    <xf numFmtId="40" fontId="7" fillId="0" borderId="9" xfId="0" applyNumberFormat="1" applyFont="1" applyFill="1" applyBorder="1"/>
    <xf numFmtId="6" fontId="7" fillId="0" borderId="9" xfId="0" applyNumberFormat="1" applyFont="1" applyFill="1" applyBorder="1" applyAlignment="1" applyProtection="1">
      <alignment vertical="top"/>
      <protection locked="0"/>
    </xf>
    <xf numFmtId="38" fontId="4" fillId="0" borderId="9" xfId="0" applyNumberFormat="1" applyFont="1" applyFill="1" applyBorder="1"/>
    <xf numFmtId="40" fontId="7" fillId="0" borderId="11" xfId="0" applyNumberFormat="1" applyFont="1" applyFill="1" applyBorder="1"/>
    <xf numFmtId="6" fontId="7" fillId="0" borderId="11" xfId="0" applyNumberFormat="1" applyFont="1" applyFill="1" applyBorder="1" applyAlignment="1" applyProtection="1">
      <alignment vertical="top"/>
      <protection locked="0"/>
    </xf>
    <xf numFmtId="38" fontId="4" fillId="0" borderId="11" xfId="0" applyNumberFormat="1" applyFont="1" applyFill="1" applyBorder="1"/>
    <xf numFmtId="40" fontId="7" fillId="0" borderId="0" xfId="0" applyNumberFormat="1" applyFont="1" applyFill="1" applyBorder="1"/>
    <xf numFmtId="6" fontId="7" fillId="0" borderId="0" xfId="0" applyNumberFormat="1" applyFon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6" fontId="4" fillId="4" borderId="0" xfId="0" applyNumberFormat="1" applyFont="1" applyFill="1" applyBorder="1" applyAlignment="1">
      <alignment wrapText="1"/>
    </xf>
    <xf numFmtId="0" fontId="9" fillId="4" borderId="0" xfId="0" applyFont="1" applyFill="1" applyBorder="1" applyAlignment="1" applyProtection="1">
      <alignment vertical="top"/>
      <protection locked="0"/>
    </xf>
    <xf numFmtId="6" fontId="4" fillId="4" borderId="0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 applyProtection="1">
      <alignment vertical="top"/>
      <protection locked="0"/>
    </xf>
    <xf numFmtId="6" fontId="0" fillId="2" borderId="0" xfId="0" applyNumberFormat="1" applyFill="1" applyProtection="1">
      <protection locked="0"/>
    </xf>
    <xf numFmtId="6" fontId="7" fillId="4" borderId="2" xfId="0" applyNumberFormat="1" applyFont="1" applyFill="1" applyBorder="1"/>
    <xf numFmtId="6" fontId="4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6" fontId="7" fillId="2" borderId="11" xfId="0" applyNumberFormat="1" applyFont="1" applyFill="1" applyBorder="1"/>
    <xf numFmtId="0" fontId="4" fillId="2" borderId="0" xfId="0" applyFont="1" applyFill="1" applyBorder="1" applyAlignment="1" applyProtection="1">
      <alignment vertical="top"/>
      <protection locked="0"/>
    </xf>
    <xf numFmtId="6" fontId="7" fillId="2" borderId="0" xfId="0" applyNumberFormat="1" applyFont="1" applyFill="1" applyAlignment="1" applyProtection="1">
      <alignment vertical="top"/>
      <protection locked="0"/>
    </xf>
    <xf numFmtId="0" fontId="4" fillId="2" borderId="6" xfId="0" applyFont="1" applyFill="1" applyBorder="1" applyAlignment="1" applyProtection="1">
      <alignment vertical="top"/>
      <protection locked="0"/>
    </xf>
    <xf numFmtId="0" fontId="7" fillId="4" borderId="6" xfId="0" applyFont="1" applyFill="1" applyBorder="1" applyAlignment="1">
      <alignment vertical="top"/>
    </xf>
    <xf numFmtId="0" fontId="4" fillId="4" borderId="6" xfId="0" applyFont="1" applyFill="1" applyBorder="1" applyProtection="1">
      <protection locked="0"/>
    </xf>
    <xf numFmtId="0" fontId="7" fillId="0" borderId="6" xfId="0" applyFont="1" applyBorder="1" applyAlignment="1">
      <alignment vertical="top"/>
    </xf>
    <xf numFmtId="0" fontId="7" fillId="2" borderId="6" xfId="0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 applyProtection="1">
      <alignment vertical="top"/>
      <protection locked="0"/>
    </xf>
    <xf numFmtId="0" fontId="7" fillId="2" borderId="10" xfId="0" applyFont="1" applyFill="1" applyBorder="1"/>
    <xf numFmtId="0" fontId="7" fillId="2" borderId="11" xfId="0" applyFont="1" applyFill="1" applyBorder="1"/>
    <xf numFmtId="6" fontId="7" fillId="2" borderId="11" xfId="1" applyNumberFormat="1" applyFont="1" applyFill="1" applyBorder="1"/>
    <xf numFmtId="6" fontId="7" fillId="2" borderId="11" xfId="0" applyNumberFormat="1" applyFont="1" applyFill="1" applyBorder="1" applyAlignment="1">
      <alignment horizontal="center"/>
    </xf>
    <xf numFmtId="0" fontId="7" fillId="2" borderId="8" xfId="0" applyFont="1" applyFill="1" applyBorder="1" applyProtection="1">
      <protection locked="0"/>
    </xf>
    <xf numFmtId="0" fontId="7" fillId="2" borderId="9" xfId="0" applyFont="1" applyFill="1" applyBorder="1"/>
    <xf numFmtId="0" fontId="4" fillId="2" borderId="9" xfId="0" applyFont="1" applyFill="1" applyBorder="1" applyProtection="1">
      <protection locked="0"/>
    </xf>
    <xf numFmtId="6" fontId="7" fillId="2" borderId="9" xfId="0" applyNumberFormat="1" applyFont="1" applyFill="1" applyBorder="1"/>
    <xf numFmtId="6" fontId="7" fillId="2" borderId="12" xfId="0" applyNumberFormat="1" applyFont="1" applyFill="1" applyBorder="1"/>
    <xf numFmtId="6" fontId="4" fillId="2" borderId="0" xfId="0" applyNumberFormat="1" applyFont="1" applyFill="1" applyBorder="1" applyAlignment="1">
      <alignment horizontal="left" wrapText="1"/>
    </xf>
    <xf numFmtId="6" fontId="7" fillId="2" borderId="0" xfId="0" applyNumberFormat="1" applyFont="1" applyFill="1" applyBorder="1" applyAlignment="1">
      <alignment horizontal="left" wrapText="1"/>
    </xf>
    <xf numFmtId="0" fontId="7" fillId="2" borderId="10" xfId="0" applyFont="1" applyFill="1" applyBorder="1" applyAlignment="1" applyProtection="1">
      <alignment vertical="top"/>
      <protection locked="0"/>
    </xf>
    <xf numFmtId="0" fontId="7" fillId="2" borderId="11" xfId="0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vertical="top"/>
      <protection locked="0"/>
    </xf>
    <xf numFmtId="6" fontId="7" fillId="2" borderId="11" xfId="0" applyNumberFormat="1" applyFont="1" applyFill="1" applyBorder="1" applyAlignment="1" applyProtection="1">
      <alignment vertical="top"/>
      <protection locked="0"/>
    </xf>
    <xf numFmtId="6" fontId="4" fillId="2" borderId="11" xfId="0" applyNumberFormat="1" applyFont="1" applyFill="1" applyBorder="1" applyAlignment="1" applyProtection="1">
      <alignment horizontal="right" vertical="top"/>
      <protection locked="0"/>
    </xf>
    <xf numFmtId="6" fontId="7" fillId="2" borderId="11" xfId="0" applyNumberFormat="1" applyFont="1" applyFill="1" applyBorder="1" applyAlignment="1">
      <alignment horizontal="left" vertical="top" wrapText="1"/>
    </xf>
    <xf numFmtId="0" fontId="4" fillId="2" borderId="13" xfId="0" applyFont="1" applyFill="1" applyBorder="1" applyAlignment="1" applyProtection="1">
      <alignment horizontal="right" vertical="top"/>
      <protection locked="0"/>
    </xf>
    <xf numFmtId="6" fontId="7" fillId="2" borderId="3" xfId="0" applyNumberFormat="1" applyFont="1" applyFill="1" applyBorder="1" applyAlignment="1">
      <alignment horizontal="left" vertical="top" wrapText="1"/>
    </xf>
    <xf numFmtId="0" fontId="4" fillId="8" borderId="6" xfId="0" applyFont="1" applyFill="1" applyBorder="1"/>
    <xf numFmtId="0" fontId="7" fillId="8" borderId="0" xfId="0" applyFont="1" applyFill="1" applyBorder="1" applyProtection="1">
      <protection locked="0"/>
    </xf>
    <xf numFmtId="6" fontId="7" fillId="8" borderId="0" xfId="0" applyNumberFormat="1" applyFont="1" applyFill="1" applyBorder="1" applyProtection="1">
      <protection locked="0"/>
    </xf>
    <xf numFmtId="6" fontId="7" fillId="8" borderId="0" xfId="0" applyNumberFormat="1" applyFont="1" applyFill="1" applyBorder="1"/>
    <xf numFmtId="6" fontId="4" fillId="8" borderId="0" xfId="0" applyNumberFormat="1" applyFont="1" applyFill="1" applyBorder="1" applyAlignment="1">
      <alignment horizontal="center"/>
    </xf>
    <xf numFmtId="6" fontId="7" fillId="8" borderId="7" xfId="0" applyNumberFormat="1" applyFont="1" applyFill="1" applyBorder="1"/>
    <xf numFmtId="0" fontId="7" fillId="8" borderId="0" xfId="0" applyFont="1" applyFill="1"/>
    <xf numFmtId="6" fontId="7" fillId="8" borderId="0" xfId="0" applyNumberFormat="1" applyFont="1" applyFill="1"/>
    <xf numFmtId="6" fontId="4" fillId="8" borderId="2" xfId="0" applyNumberFormat="1" applyFont="1" applyFill="1" applyBorder="1" applyAlignment="1">
      <alignment horizontal="center"/>
    </xf>
    <xf numFmtId="6" fontId="4" fillId="8" borderId="15" xfId="0" applyNumberFormat="1" applyFont="1" applyFill="1" applyBorder="1" applyAlignment="1">
      <alignment horizontal="center"/>
    </xf>
    <xf numFmtId="0" fontId="7" fillId="8" borderId="10" xfId="0" applyFont="1" applyFill="1" applyBorder="1"/>
    <xf numFmtId="0" fontId="7" fillId="8" borderId="11" xfId="0" applyFont="1" applyFill="1" applyBorder="1"/>
    <xf numFmtId="6" fontId="7" fillId="8" borderId="11" xfId="0" applyNumberFormat="1" applyFont="1" applyFill="1" applyBorder="1"/>
    <xf numFmtId="6" fontId="7" fillId="8" borderId="13" xfId="0" applyNumberFormat="1" applyFont="1" applyFill="1" applyBorder="1"/>
    <xf numFmtId="0" fontId="7" fillId="8" borderId="6" xfId="0" applyFont="1" applyFill="1" applyBorder="1"/>
    <xf numFmtId="0" fontId="7" fillId="8" borderId="0" xfId="0" applyFont="1" applyFill="1" applyBorder="1"/>
    <xf numFmtId="6" fontId="4" fillId="8" borderId="4" xfId="0" applyNumberFormat="1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6" fontId="7" fillId="8" borderId="9" xfId="0" applyNumberFormat="1" applyFont="1" applyFill="1" applyBorder="1"/>
    <xf numFmtId="6" fontId="7" fillId="8" borderId="12" xfId="0" applyNumberFormat="1" applyFont="1" applyFill="1" applyBorder="1"/>
    <xf numFmtId="6" fontId="4" fillId="9" borderId="10" xfId="0" applyNumberFormat="1" applyFont="1" applyFill="1" applyBorder="1"/>
    <xf numFmtId="0" fontId="7" fillId="9" borderId="11" xfId="0" applyFont="1" applyFill="1" applyBorder="1" applyProtection="1">
      <protection locked="0"/>
    </xf>
    <xf numFmtId="6" fontId="7" fillId="9" borderId="11" xfId="0" applyNumberFormat="1" applyFont="1" applyFill="1" applyBorder="1" applyProtection="1">
      <protection locked="0"/>
    </xf>
    <xf numFmtId="6" fontId="4" fillId="9" borderId="16" xfId="0" applyNumberFormat="1" applyFont="1" applyFill="1" applyBorder="1" applyProtection="1">
      <protection locked="0"/>
    </xf>
    <xf numFmtId="0" fontId="4" fillId="9" borderId="11" xfId="0" applyFont="1" applyFill="1" applyBorder="1"/>
    <xf numFmtId="0" fontId="7" fillId="9" borderId="13" xfId="0" applyFont="1" applyFill="1" applyBorder="1"/>
    <xf numFmtId="0" fontId="7" fillId="9" borderId="0" xfId="0" applyFont="1" applyFill="1"/>
    <xf numFmtId="6" fontId="4" fillId="9" borderId="6" xfId="0" applyNumberFormat="1" applyFont="1" applyFill="1" applyBorder="1"/>
    <xf numFmtId="0" fontId="7" fillId="9" borderId="0" xfId="0" applyFont="1" applyFill="1" applyBorder="1" applyProtection="1">
      <protection locked="0"/>
    </xf>
    <xf numFmtId="6" fontId="7" fillId="9" borderId="0" xfId="0" applyNumberFormat="1" applyFont="1" applyFill="1" applyBorder="1" applyProtection="1">
      <protection locked="0"/>
    </xf>
    <xf numFmtId="0" fontId="7" fillId="9" borderId="7" xfId="0" applyFont="1" applyFill="1" applyBorder="1"/>
    <xf numFmtId="0" fontId="7" fillId="9" borderId="9" xfId="0" applyFont="1" applyFill="1" applyBorder="1"/>
    <xf numFmtId="0" fontId="7" fillId="9" borderId="12" xfId="0" applyFont="1" applyFill="1" applyBorder="1"/>
    <xf numFmtId="6" fontId="7" fillId="9" borderId="0" xfId="0" applyNumberFormat="1" applyFont="1" applyFill="1"/>
    <xf numFmtId="0" fontId="4" fillId="0" borderId="0" xfId="0" applyFont="1" applyBorder="1"/>
    <xf numFmtId="0" fontId="4" fillId="0" borderId="6" xfId="0" applyFont="1" applyFill="1" applyBorder="1"/>
    <xf numFmtId="6" fontId="4" fillId="0" borderId="2" xfId="0" applyNumberFormat="1" applyFont="1" applyBorder="1" applyAlignment="1">
      <alignment horizontal="center"/>
    </xf>
    <xf numFmtId="0" fontId="7" fillId="9" borderId="0" xfId="0" applyFont="1" applyFill="1" applyBorder="1"/>
    <xf numFmtId="6" fontId="4" fillId="9" borderId="0" xfId="0" applyNumberFormat="1" applyFont="1" applyFill="1" applyBorder="1" applyAlignment="1">
      <alignment horizontal="center"/>
    </xf>
    <xf numFmtId="6" fontId="4" fillId="9" borderId="0" xfId="0" applyNumberFormat="1" applyFont="1" applyFill="1" applyBorder="1" applyProtection="1">
      <protection locked="0"/>
    </xf>
    <xf numFmtId="6" fontId="7" fillId="9" borderId="0" xfId="0" applyNumberFormat="1" applyFont="1" applyFill="1" applyBorder="1"/>
    <xf numFmtId="6" fontId="4" fillId="9" borderId="2" xfId="0" applyNumberFormat="1" applyFont="1" applyFill="1" applyBorder="1" applyAlignment="1">
      <alignment horizontal="center"/>
    </xf>
    <xf numFmtId="6" fontId="4" fillId="9" borderId="17" xfId="0" applyNumberFormat="1" applyFont="1" applyFill="1" applyBorder="1" applyAlignment="1">
      <alignment horizontal="center"/>
    </xf>
    <xf numFmtId="0" fontId="7" fillId="9" borderId="6" xfId="0" applyFont="1" applyFill="1" applyBorder="1"/>
    <xf numFmtId="0" fontId="4" fillId="9" borderId="6" xfId="0" applyFont="1" applyFill="1" applyBorder="1"/>
    <xf numFmtId="0" fontId="4" fillId="9" borderId="8" xfId="0" applyFont="1" applyFill="1" applyBorder="1"/>
    <xf numFmtId="6" fontId="7" fillId="7" borderId="9" xfId="0" applyNumberFormat="1" applyFont="1" applyFill="1" applyBorder="1"/>
    <xf numFmtId="6" fontId="7" fillId="10" borderId="0" xfId="0" applyNumberFormat="1" applyFont="1" applyFill="1"/>
    <xf numFmtId="0" fontId="7" fillId="10" borderId="0" xfId="0" applyFont="1" applyFill="1"/>
    <xf numFmtId="6" fontId="4" fillId="10" borderId="0" xfId="0" applyNumberFormat="1" applyFont="1" applyFill="1"/>
    <xf numFmtId="6" fontId="4" fillId="8" borderId="0" xfId="0" applyNumberFormat="1" applyFont="1" applyFill="1"/>
    <xf numFmtId="6" fontId="4" fillId="10" borderId="0" xfId="0" applyNumberFormat="1" applyFont="1" applyFill="1" applyAlignment="1">
      <alignment horizontal="right"/>
    </xf>
    <xf numFmtId="6" fontId="7" fillId="2" borderId="0" xfId="0" applyNumberFormat="1" applyFont="1" applyFill="1" applyBorder="1" applyAlignment="1">
      <alignment vertical="top" wrapText="1"/>
    </xf>
    <xf numFmtId="0" fontId="7" fillId="11" borderId="6" xfId="0" applyFont="1" applyFill="1" applyBorder="1" applyProtection="1">
      <protection locked="0"/>
    </xf>
    <xf numFmtId="0" fontId="7" fillId="11" borderId="0" xfId="0" applyFont="1" applyFill="1" applyBorder="1" applyProtection="1">
      <protection locked="0"/>
    </xf>
    <xf numFmtId="0" fontId="4" fillId="11" borderId="0" xfId="0" applyFont="1" applyFill="1" applyBorder="1" applyProtection="1">
      <protection locked="0"/>
    </xf>
    <xf numFmtId="6" fontId="7" fillId="11" borderId="0" xfId="0" applyNumberFormat="1" applyFont="1" applyFill="1" applyProtection="1">
      <protection locked="0"/>
    </xf>
    <xf numFmtId="6" fontId="7" fillId="11" borderId="0" xfId="0" applyNumberFormat="1" applyFont="1" applyFill="1" applyBorder="1"/>
    <xf numFmtId="6" fontId="7" fillId="11" borderId="7" xfId="0" applyNumberFormat="1" applyFont="1" applyFill="1" applyBorder="1"/>
    <xf numFmtId="6" fontId="7" fillId="11" borderId="0" xfId="0" applyNumberFormat="1" applyFont="1" applyFill="1"/>
    <xf numFmtId="0" fontId="7" fillId="11" borderId="0" xfId="0" applyFont="1" applyFill="1"/>
    <xf numFmtId="0" fontId="4" fillId="11" borderId="6" xfId="0" applyFont="1" applyFill="1" applyBorder="1" applyAlignment="1">
      <alignment vertical="top"/>
    </xf>
    <xf numFmtId="0" fontId="4" fillId="11" borderId="0" xfId="0" applyFont="1" applyFill="1" applyBorder="1" applyAlignment="1">
      <alignment vertical="top"/>
    </xf>
    <xf numFmtId="6" fontId="4" fillId="11" borderId="0" xfId="0" applyNumberFormat="1" applyFont="1" applyFill="1" applyBorder="1" applyAlignment="1">
      <alignment vertical="top"/>
    </xf>
    <xf numFmtId="6" fontId="7" fillId="11" borderId="0" xfId="0" applyNumberFormat="1" applyFont="1" applyFill="1" applyBorder="1" applyAlignment="1" applyProtection="1">
      <alignment vertical="top"/>
      <protection locked="0"/>
    </xf>
    <xf numFmtId="6" fontId="4" fillId="11" borderId="0" xfId="0" applyNumberFormat="1" applyFont="1" applyFill="1" applyBorder="1" applyAlignment="1" applyProtection="1">
      <alignment vertical="top"/>
      <protection locked="0"/>
    </xf>
    <xf numFmtId="6" fontId="4" fillId="11" borderId="0" xfId="0" applyNumberFormat="1" applyFont="1" applyFill="1" applyBorder="1" applyAlignment="1" applyProtection="1">
      <alignment horizontal="right" vertical="top"/>
      <protection locked="0"/>
    </xf>
    <xf numFmtId="0" fontId="4" fillId="11" borderId="7" xfId="0" applyFont="1" applyFill="1" applyBorder="1" applyAlignment="1" applyProtection="1">
      <alignment horizontal="right" vertical="top"/>
      <protection locked="0"/>
    </xf>
    <xf numFmtId="0" fontId="4" fillId="11" borderId="0" xfId="0" applyFont="1" applyFill="1" applyAlignment="1">
      <alignment horizontal="right" vertical="top"/>
    </xf>
    <xf numFmtId="6" fontId="4" fillId="11" borderId="0" xfId="0" applyNumberFormat="1" applyFont="1" applyFill="1" applyBorder="1" applyAlignment="1">
      <alignment horizontal="left" vertical="top" wrapText="1"/>
    </xf>
    <xf numFmtId="6" fontId="7" fillId="11" borderId="0" xfId="0" applyNumberFormat="1" applyFont="1" applyFill="1" applyBorder="1" applyProtection="1">
      <protection locked="0"/>
    </xf>
    <xf numFmtId="6" fontId="7" fillId="11" borderId="3" xfId="0" applyNumberFormat="1" applyFont="1" applyFill="1" applyBorder="1"/>
    <xf numFmtId="38" fontId="7" fillId="0" borderId="9" xfId="0" applyNumberFormat="1" applyFont="1" applyBorder="1"/>
    <xf numFmtId="6" fontId="4" fillId="2" borderId="0" xfId="1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4" borderId="18" xfId="0" applyNumberFormat="1" applyFont="1" applyFill="1" applyBorder="1" applyProtection="1">
      <protection locked="0"/>
    </xf>
    <xf numFmtId="0" fontId="4" fillId="11" borderId="0" xfId="0" applyFont="1" applyFill="1" applyAlignment="1" applyProtection="1">
      <alignment horizontal="right"/>
      <protection locked="0"/>
    </xf>
    <xf numFmtId="0" fontId="7" fillId="11" borderId="0" xfId="0" applyFont="1" applyFill="1" applyProtection="1">
      <protection locked="0"/>
    </xf>
    <xf numFmtId="6" fontId="7" fillId="11" borderId="11" xfId="0" applyNumberFormat="1" applyFont="1" applyFill="1" applyBorder="1" applyProtection="1">
      <protection locked="0"/>
    </xf>
    <xf numFmtId="6" fontId="4" fillId="11" borderId="0" xfId="0" applyNumberFormat="1" applyFont="1" applyFill="1" applyBorder="1" applyProtection="1">
      <protection locked="0"/>
    </xf>
    <xf numFmtId="6" fontId="7" fillId="11" borderId="9" xfId="0" applyNumberFormat="1" applyFont="1" applyFill="1" applyBorder="1" applyProtection="1">
      <protection locked="0"/>
    </xf>
    <xf numFmtId="6" fontId="7" fillId="11" borderId="11" xfId="0" applyNumberFormat="1" applyFont="1" applyFill="1" applyBorder="1"/>
    <xf numFmtId="6" fontId="7" fillId="11" borderId="9" xfId="0" applyNumberFormat="1" applyFont="1" applyFill="1" applyBorder="1"/>
    <xf numFmtId="0" fontId="0" fillId="11" borderId="0" xfId="0" applyFill="1"/>
    <xf numFmtId="6" fontId="7" fillId="11" borderId="11" xfId="0" applyNumberFormat="1" applyFont="1" applyFill="1" applyBorder="1" applyAlignment="1" applyProtection="1">
      <alignment vertical="top"/>
      <protection locked="0"/>
    </xf>
    <xf numFmtId="40" fontId="7" fillId="11" borderId="0" xfId="0" applyNumberFormat="1" applyFont="1" applyFill="1" applyBorder="1"/>
    <xf numFmtId="6" fontId="7" fillId="11" borderId="9" xfId="0" applyNumberFormat="1" applyFont="1" applyFill="1" applyBorder="1" applyAlignment="1" applyProtection="1">
      <alignment vertical="top"/>
      <protection locked="0"/>
    </xf>
    <xf numFmtId="40" fontId="7" fillId="11" borderId="9" xfId="0" applyNumberFormat="1" applyFont="1" applyFill="1" applyBorder="1"/>
    <xf numFmtId="40" fontId="7" fillId="11" borderId="11" xfId="0" applyNumberFormat="1" applyFont="1" applyFill="1" applyBorder="1"/>
    <xf numFmtId="6" fontId="7" fillId="11" borderId="0" xfId="0" applyNumberFormat="1" applyFont="1" applyFill="1" applyAlignment="1" applyProtection="1">
      <alignment vertical="top"/>
      <protection locked="0"/>
    </xf>
    <xf numFmtId="0" fontId="7" fillId="11" borderId="0" xfId="0" applyFont="1" applyFill="1" applyBorder="1"/>
    <xf numFmtId="0" fontId="7" fillId="11" borderId="9" xfId="0" applyFont="1" applyFill="1" applyBorder="1"/>
    <xf numFmtId="6" fontId="7" fillId="5" borderId="11" xfId="0" applyNumberFormat="1" applyFont="1" applyFill="1" applyBorder="1"/>
    <xf numFmtId="6" fontId="7" fillId="4" borderId="0" xfId="0" applyNumberFormat="1" applyFont="1" applyFill="1" applyBorder="1" applyAlignment="1">
      <alignment horizontal="left" wrapText="1"/>
    </xf>
    <xf numFmtId="0" fontId="7" fillId="4" borderId="0" xfId="0" applyFont="1" applyFill="1" applyBorder="1" applyAlignment="1">
      <alignment vertical="top"/>
    </xf>
    <xf numFmtId="6" fontId="9" fillId="0" borderId="0" xfId="0" applyNumberFormat="1" applyFont="1" applyBorder="1" applyProtection="1">
      <protection locked="0"/>
    </xf>
    <xf numFmtId="6" fontId="4" fillId="0" borderId="0" xfId="0" applyNumberFormat="1" applyFont="1" applyFill="1" applyAlignment="1">
      <alignment horizontal="right"/>
    </xf>
    <xf numFmtId="6" fontId="4" fillId="7" borderId="0" xfId="0" applyNumberFormat="1" applyFont="1" applyFill="1" applyAlignment="1">
      <alignment horizontal="right"/>
    </xf>
    <xf numFmtId="6" fontId="4" fillId="11" borderId="0" xfId="0" applyNumberFormat="1" applyFont="1" applyFill="1" applyAlignment="1">
      <alignment horizontal="right"/>
    </xf>
    <xf numFmtId="6" fontId="7" fillId="5" borderId="2" xfId="0" applyNumberFormat="1" applyFont="1" applyFill="1" applyBorder="1"/>
    <xf numFmtId="0" fontId="7" fillId="5" borderId="2" xfId="0" applyFont="1" applyFill="1" applyBorder="1"/>
    <xf numFmtId="0" fontId="7" fillId="0" borderId="0" xfId="0" applyFont="1" applyAlignment="1">
      <alignment horizontal="right"/>
    </xf>
    <xf numFmtId="6" fontId="7" fillId="4" borderId="15" xfId="0" applyNumberFormat="1" applyFont="1" applyFill="1" applyBorder="1"/>
    <xf numFmtId="6" fontId="7" fillId="0" borderId="0" xfId="0" applyNumberFormat="1" applyFont="1" applyAlignment="1" applyProtection="1">
      <alignment horizontal="right"/>
      <protection locked="0"/>
    </xf>
    <xf numFmtId="0" fontId="7" fillId="0" borderId="0" xfId="0" applyFont="1" applyAlignment="1">
      <alignment vertical="top" wrapText="1"/>
    </xf>
    <xf numFmtId="0" fontId="7" fillId="0" borderId="0" xfId="0" applyFont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38" fontId="7" fillId="0" borderId="0" xfId="0" applyNumberFormat="1" applyFont="1" applyAlignment="1">
      <alignment horizontal="center" vertical="top" wrapText="1"/>
    </xf>
    <xf numFmtId="6" fontId="7" fillId="0" borderId="0" xfId="0" applyNumberFormat="1" applyFont="1" applyAlignment="1">
      <alignment vertical="top" wrapText="1"/>
    </xf>
    <xf numFmtId="6" fontId="7" fillId="0" borderId="0" xfId="1" applyNumberFormat="1" applyFont="1" applyAlignment="1">
      <alignment horizontal="right" vertical="top" wrapText="1"/>
    </xf>
    <xf numFmtId="164" fontId="7" fillId="0" borderId="0" xfId="0" applyNumberFormat="1" applyFont="1" applyAlignment="1">
      <alignment horizontal="center" vertical="top" wrapText="1"/>
    </xf>
    <xf numFmtId="164" fontId="4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36"/>
  <sheetViews>
    <sheetView tabSelected="1" topLeftCell="D1" zoomScale="75" workbookViewId="0">
      <pane ySplit="7" topLeftCell="A8" activePane="bottomLeft" state="frozen"/>
      <selection pane="bottomLeft" activeCell="L4" sqref="L4"/>
    </sheetView>
  </sheetViews>
  <sheetFormatPr defaultColWidth="20.5703125" defaultRowHeight="15" x14ac:dyDescent="0.2"/>
  <cols>
    <col min="1" max="1" width="57.42578125" style="22" customWidth="1"/>
    <col min="2" max="2" width="23.140625" style="22" customWidth="1"/>
    <col min="3" max="3" width="10.28515625" style="22" hidden="1" customWidth="1"/>
    <col min="4" max="4" width="20.5703125" style="93" customWidth="1"/>
    <col min="5" max="5" width="21.140625" style="22" customWidth="1"/>
    <col min="6" max="11" width="20.5703125" style="22" hidden="1" customWidth="1"/>
    <col min="12" max="12" width="24.85546875" style="22" customWidth="1"/>
    <col min="13" max="13" width="20.5703125" style="283" hidden="1" customWidth="1"/>
    <col min="14" max="14" width="21.140625" style="401" hidden="1" customWidth="1"/>
    <col min="15" max="16" width="20.5703125" style="401" hidden="1" customWidth="1"/>
    <col min="17" max="18" width="20.5703125" style="22" customWidth="1"/>
    <col min="19" max="19" width="46.5703125" style="22" customWidth="1"/>
    <col min="20" max="20" width="12.85546875" style="22" bestFit="1" customWidth="1"/>
    <col min="21" max="21" width="26.85546875" style="22" customWidth="1"/>
    <col min="22" max="16384" width="20.5703125" style="22"/>
  </cols>
  <sheetData>
    <row r="1" spans="1:22" ht="18" x14ac:dyDescent="0.25">
      <c r="A1" s="128" t="s">
        <v>74</v>
      </c>
      <c r="B1" s="129"/>
      <c r="C1" s="129"/>
    </row>
    <row r="2" spans="1:22" ht="18" x14ac:dyDescent="0.25">
      <c r="A2" s="16" t="s">
        <v>162</v>
      </c>
      <c r="B2" s="15">
        <v>36980</v>
      </c>
      <c r="C2" s="15"/>
    </row>
    <row r="3" spans="1:22" ht="18" x14ac:dyDescent="0.25">
      <c r="A3" s="15"/>
      <c r="B3" s="15"/>
      <c r="C3" s="15"/>
    </row>
    <row r="4" spans="1:22" s="35" customFormat="1" ht="15.75" x14ac:dyDescent="0.25">
      <c r="D4" s="122"/>
      <c r="F4" s="453" t="s">
        <v>172</v>
      </c>
      <c r="G4" s="453"/>
      <c r="H4" s="453"/>
      <c r="I4" s="453" t="s">
        <v>182</v>
      </c>
      <c r="J4" s="453"/>
      <c r="K4" s="453"/>
      <c r="L4" s="19" t="s">
        <v>224</v>
      </c>
      <c r="M4" s="284"/>
      <c r="N4" s="454" t="s">
        <v>182</v>
      </c>
      <c r="O4" s="454"/>
      <c r="P4" s="454"/>
      <c r="T4" s="30"/>
      <c r="U4" s="36"/>
    </row>
    <row r="5" spans="1:22" s="19" customFormat="1" ht="15.75" x14ac:dyDescent="0.25">
      <c r="A5" s="18"/>
      <c r="B5" s="18"/>
      <c r="C5" s="18"/>
      <c r="D5" s="277" t="s">
        <v>7</v>
      </c>
      <c r="E5" s="18" t="s">
        <v>8</v>
      </c>
      <c r="F5" s="18" t="s">
        <v>9</v>
      </c>
      <c r="G5" s="18" t="s">
        <v>10</v>
      </c>
      <c r="H5" s="18" t="s">
        <v>158</v>
      </c>
      <c r="I5" s="18" t="s">
        <v>9</v>
      </c>
      <c r="J5" s="18" t="s">
        <v>10</v>
      </c>
      <c r="K5" s="18" t="s">
        <v>158</v>
      </c>
      <c r="L5" s="19" t="s">
        <v>155</v>
      </c>
      <c r="M5" s="285" t="s">
        <v>22</v>
      </c>
      <c r="N5" s="417" t="s">
        <v>9</v>
      </c>
      <c r="O5" s="417" t="s">
        <v>10</v>
      </c>
      <c r="P5" s="417" t="s">
        <v>183</v>
      </c>
      <c r="Q5" s="18" t="s">
        <v>11</v>
      </c>
      <c r="R5" s="18" t="s">
        <v>12</v>
      </c>
      <c r="T5" s="18"/>
      <c r="U5" s="36"/>
    </row>
    <row r="6" spans="1:22" s="19" customFormat="1" ht="15.75" x14ac:dyDescent="0.25">
      <c r="A6" s="20" t="s">
        <v>13</v>
      </c>
      <c r="B6" s="20" t="s">
        <v>14</v>
      </c>
      <c r="C6" s="20" t="s">
        <v>137</v>
      </c>
      <c r="D6" s="277" t="s">
        <v>15</v>
      </c>
      <c r="E6" s="18" t="s">
        <v>15</v>
      </c>
      <c r="F6" s="18" t="s">
        <v>16</v>
      </c>
      <c r="G6" s="18" t="s">
        <v>17</v>
      </c>
      <c r="H6" s="18" t="s">
        <v>18</v>
      </c>
      <c r="I6" s="18" t="s">
        <v>16</v>
      </c>
      <c r="J6" s="18" t="s">
        <v>17</v>
      </c>
      <c r="K6" s="18" t="s">
        <v>18</v>
      </c>
      <c r="L6" s="18" t="s">
        <v>18</v>
      </c>
      <c r="M6" s="285" t="s">
        <v>23</v>
      </c>
      <c r="N6" s="417" t="s">
        <v>16</v>
      </c>
      <c r="O6" s="417" t="s">
        <v>17</v>
      </c>
      <c r="P6" s="417" t="s">
        <v>18</v>
      </c>
      <c r="Q6" s="18" t="s">
        <v>19</v>
      </c>
      <c r="R6" s="18" t="s">
        <v>20</v>
      </c>
      <c r="T6" s="18"/>
      <c r="U6" s="36"/>
    </row>
    <row r="7" spans="1:22" ht="15.75" thickBot="1" x14ac:dyDescent="0.25">
      <c r="A7" s="21"/>
      <c r="B7" s="21"/>
      <c r="C7" s="21"/>
      <c r="D7" s="99"/>
      <c r="E7" s="21"/>
      <c r="F7" s="21"/>
      <c r="G7" s="21"/>
      <c r="H7" s="21"/>
      <c r="I7" s="21"/>
      <c r="J7" s="21"/>
      <c r="K7" s="21"/>
      <c r="L7" s="21"/>
      <c r="M7" s="286"/>
      <c r="N7" s="418"/>
      <c r="O7" s="418"/>
      <c r="P7" s="418"/>
      <c r="Q7" s="21"/>
    </row>
    <row r="8" spans="1:22" s="24" customFormat="1" ht="15.75" x14ac:dyDescent="0.25">
      <c r="A8" s="186" t="s">
        <v>0</v>
      </c>
      <c r="B8" s="187" t="s">
        <v>88</v>
      </c>
      <c r="C8" s="187" t="s">
        <v>133</v>
      </c>
      <c r="D8" s="188">
        <v>0</v>
      </c>
      <c r="E8" s="188">
        <v>-1484274</v>
      </c>
      <c r="F8" s="188">
        <v>23127420</v>
      </c>
      <c r="G8" s="188">
        <v>-489692</v>
      </c>
      <c r="H8" s="188">
        <f t="shared" ref="H8:H14" si="0">SUM(F8:G8)</f>
        <v>22637728</v>
      </c>
      <c r="I8" s="188">
        <v>13721952</v>
      </c>
      <c r="J8" s="188">
        <v>0</v>
      </c>
      <c r="K8" s="188">
        <f t="shared" ref="K8:K14" si="1">SUM(I8:J8)</f>
        <v>13721952</v>
      </c>
      <c r="L8" s="188">
        <f>+K8+H8</f>
        <v>36359680</v>
      </c>
      <c r="M8" s="308">
        <v>70169385</v>
      </c>
      <c r="N8" s="419">
        <v>7520451</v>
      </c>
      <c r="O8" s="419">
        <v>0</v>
      </c>
      <c r="P8" s="419">
        <f t="shared" ref="P8:P14" si="2">SUM(N8:O8)</f>
        <v>7520451</v>
      </c>
      <c r="Q8" s="188">
        <f>+L8+E8</f>
        <v>34875406</v>
      </c>
      <c r="R8" s="189">
        <v>0</v>
      </c>
      <c r="S8" s="189"/>
      <c r="T8" s="199"/>
      <c r="U8" s="23"/>
      <c r="V8" s="23"/>
    </row>
    <row r="9" spans="1:22" s="24" customFormat="1" ht="15.75" x14ac:dyDescent="0.25">
      <c r="A9" s="190" t="s">
        <v>0</v>
      </c>
      <c r="B9" s="158" t="s">
        <v>89</v>
      </c>
      <c r="C9" s="158" t="s">
        <v>133</v>
      </c>
      <c r="D9" s="247">
        <v>44774599</v>
      </c>
      <c r="E9" s="247">
        <v>-55537770</v>
      </c>
      <c r="F9" s="247">
        <v>12727229</v>
      </c>
      <c r="G9" s="247">
        <v>-1916245</v>
      </c>
      <c r="H9" s="159">
        <f t="shared" si="0"/>
        <v>10810984</v>
      </c>
      <c r="I9" s="247">
        <v>0</v>
      </c>
      <c r="J9" s="247">
        <v>0</v>
      </c>
      <c r="K9" s="159">
        <f t="shared" si="1"/>
        <v>0</v>
      </c>
      <c r="L9" s="159">
        <f t="shared" ref="L9:L20" si="3">+K9+H9</f>
        <v>10810984</v>
      </c>
      <c r="M9" s="308">
        <v>-21241850</v>
      </c>
      <c r="N9" s="405">
        <v>0</v>
      </c>
      <c r="O9" s="406">
        <v>0</v>
      </c>
      <c r="P9" s="405">
        <f>SUM(N9:O9)</f>
        <v>0</v>
      </c>
      <c r="Q9" s="159">
        <f>+D9</f>
        <v>44774599</v>
      </c>
      <c r="R9" s="162">
        <f>+L9+E9</f>
        <v>-44726786</v>
      </c>
      <c r="S9" s="160"/>
      <c r="T9" s="192"/>
      <c r="U9" s="23"/>
      <c r="V9" s="23"/>
    </row>
    <row r="10" spans="1:22" s="24" customFormat="1" ht="15.75" x14ac:dyDescent="0.25">
      <c r="A10" s="191" t="s">
        <v>0</v>
      </c>
      <c r="B10" s="161" t="s">
        <v>90</v>
      </c>
      <c r="C10" s="158" t="s">
        <v>133</v>
      </c>
      <c r="D10" s="247">
        <v>0</v>
      </c>
      <c r="E10" s="247">
        <v>-134176796</v>
      </c>
      <c r="F10" s="247">
        <v>577800</v>
      </c>
      <c r="G10" s="247">
        <v>0</v>
      </c>
      <c r="H10" s="159">
        <f t="shared" si="0"/>
        <v>577800</v>
      </c>
      <c r="I10" s="247">
        <f>2623040+2248320</f>
        <v>4871360</v>
      </c>
      <c r="J10" s="247">
        <v>0</v>
      </c>
      <c r="K10" s="159">
        <f t="shared" si="1"/>
        <v>4871360</v>
      </c>
      <c r="L10" s="159">
        <f t="shared" si="3"/>
        <v>5449160</v>
      </c>
      <c r="M10" s="308">
        <v>-102163008</v>
      </c>
      <c r="N10" s="405">
        <v>2342000</v>
      </c>
      <c r="O10" s="406">
        <v>0</v>
      </c>
      <c r="P10" s="405">
        <f>SUM(N10:O10)</f>
        <v>2342000</v>
      </c>
      <c r="Q10" s="247">
        <v>0</v>
      </c>
      <c r="R10" s="162">
        <f>+L10+E10</f>
        <v>-128727636</v>
      </c>
      <c r="S10" s="162"/>
      <c r="T10" s="192"/>
      <c r="U10" s="23"/>
      <c r="V10" s="23"/>
    </row>
    <row r="11" spans="1:22" s="24" customFormat="1" ht="47.25" x14ac:dyDescent="0.25">
      <c r="A11" s="193" t="s">
        <v>0</v>
      </c>
      <c r="B11" s="163" t="s">
        <v>113</v>
      </c>
      <c r="C11" s="163" t="s">
        <v>113</v>
      </c>
      <c r="D11" s="85">
        <v>0</v>
      </c>
      <c r="E11" s="85">
        <v>0</v>
      </c>
      <c r="F11" s="202">
        <f>197000000/264500000*325000000</f>
        <v>242060491.49338374</v>
      </c>
      <c r="G11" s="202">
        <v>0</v>
      </c>
      <c r="H11" s="207">
        <f t="shared" si="0"/>
        <v>242060491.49338374</v>
      </c>
      <c r="I11" s="202">
        <v>0</v>
      </c>
      <c r="J11" s="202">
        <v>0</v>
      </c>
      <c r="K11" s="207">
        <f t="shared" si="1"/>
        <v>0</v>
      </c>
      <c r="L11" s="207">
        <f t="shared" si="3"/>
        <v>242060491.49338374</v>
      </c>
      <c r="M11" s="202"/>
      <c r="N11" s="406">
        <v>0</v>
      </c>
      <c r="O11" s="406">
        <v>0</v>
      </c>
      <c r="P11" s="405">
        <f t="shared" si="2"/>
        <v>0</v>
      </c>
      <c r="Q11" s="202">
        <f>+L11+E11+D11</f>
        <v>242060491.49338374</v>
      </c>
      <c r="R11" s="85">
        <v>0</v>
      </c>
      <c r="S11" s="293" t="s">
        <v>226</v>
      </c>
      <c r="T11" s="192"/>
      <c r="U11" s="23"/>
      <c r="V11" s="23"/>
    </row>
    <row r="12" spans="1:22" s="24" customFormat="1" ht="47.25" x14ac:dyDescent="0.25">
      <c r="A12" s="193" t="s">
        <v>0</v>
      </c>
      <c r="B12" s="163" t="s">
        <v>26</v>
      </c>
      <c r="C12" s="163" t="s">
        <v>113</v>
      </c>
      <c r="D12" s="85">
        <v>0</v>
      </c>
      <c r="E12" s="85">
        <v>0</v>
      </c>
      <c r="F12" s="85">
        <f>67500000/264500000*325000000</f>
        <v>82939508.50661625</v>
      </c>
      <c r="G12" s="85">
        <v>0</v>
      </c>
      <c r="H12" s="207">
        <f t="shared" si="0"/>
        <v>82939508.50661625</v>
      </c>
      <c r="I12" s="202">
        <v>0</v>
      </c>
      <c r="J12" s="202">
        <v>0</v>
      </c>
      <c r="K12" s="207">
        <f t="shared" si="1"/>
        <v>0</v>
      </c>
      <c r="L12" s="207">
        <f t="shared" si="3"/>
        <v>82939508.50661625</v>
      </c>
      <c r="M12" s="85"/>
      <c r="N12" s="406">
        <v>0</v>
      </c>
      <c r="O12" s="406">
        <v>0</v>
      </c>
      <c r="P12" s="405">
        <f t="shared" si="2"/>
        <v>0</v>
      </c>
      <c r="Q12" s="85">
        <f>+L12+E12+D12</f>
        <v>82939508.50661625</v>
      </c>
      <c r="R12" s="85">
        <v>0</v>
      </c>
      <c r="S12" s="293" t="s">
        <v>227</v>
      </c>
      <c r="T12" s="194"/>
    </row>
    <row r="13" spans="1:22" s="24" customFormat="1" ht="15.75" x14ac:dyDescent="0.25">
      <c r="A13" s="195" t="s">
        <v>0</v>
      </c>
      <c r="B13" s="163" t="s">
        <v>113</v>
      </c>
      <c r="C13" s="227" t="s">
        <v>113</v>
      </c>
      <c r="D13" s="85">
        <v>0</v>
      </c>
      <c r="E13" s="85">
        <v>0</v>
      </c>
      <c r="F13" s="85">
        <v>0</v>
      </c>
      <c r="G13" s="85">
        <f>-100000-925908</f>
        <v>-1025908</v>
      </c>
      <c r="H13" s="159">
        <f t="shared" si="0"/>
        <v>-1025908</v>
      </c>
      <c r="I13" s="164">
        <v>0</v>
      </c>
      <c r="J13" s="164">
        <v>0</v>
      </c>
      <c r="K13" s="159">
        <f t="shared" si="1"/>
        <v>0</v>
      </c>
      <c r="L13" s="159">
        <f t="shared" si="3"/>
        <v>-1025908</v>
      </c>
      <c r="M13" s="85"/>
      <c r="N13" s="420">
        <v>0</v>
      </c>
      <c r="O13" s="420">
        <v>0</v>
      </c>
      <c r="P13" s="411">
        <f t="shared" si="2"/>
        <v>0</v>
      </c>
      <c r="Q13" s="85">
        <v>0</v>
      </c>
      <c r="R13" s="162">
        <f>+L13+E13</f>
        <v>-1025908</v>
      </c>
      <c r="S13" s="86"/>
      <c r="T13" s="194"/>
    </row>
    <row r="14" spans="1:22" s="24" customFormat="1" ht="16.5" thickBot="1" x14ac:dyDescent="0.3">
      <c r="A14" s="195" t="s">
        <v>0</v>
      </c>
      <c r="B14" s="165" t="s">
        <v>91</v>
      </c>
      <c r="C14" s="163" t="s">
        <v>138</v>
      </c>
      <c r="D14" s="166">
        <v>0</v>
      </c>
      <c r="E14" s="166">
        <v>0</v>
      </c>
      <c r="F14" s="166">
        <f>172801.92+275000</f>
        <v>447801.92000000004</v>
      </c>
      <c r="G14" s="166">
        <v>0</v>
      </c>
      <c r="H14" s="159">
        <f t="shared" si="0"/>
        <v>447801.92000000004</v>
      </c>
      <c r="I14" s="164">
        <v>0</v>
      </c>
      <c r="J14" s="164">
        <v>0</v>
      </c>
      <c r="K14" s="159">
        <f t="shared" si="1"/>
        <v>0</v>
      </c>
      <c r="L14" s="159">
        <f t="shared" si="3"/>
        <v>447801.92000000004</v>
      </c>
      <c r="M14" s="166"/>
      <c r="N14" s="420">
        <v>0</v>
      </c>
      <c r="O14" s="420">
        <v>0</v>
      </c>
      <c r="P14" s="411">
        <f t="shared" si="2"/>
        <v>0</v>
      </c>
      <c r="Q14" s="25">
        <f>+L14</f>
        <v>447801.92000000004</v>
      </c>
      <c r="R14" s="25">
        <v>0</v>
      </c>
      <c r="S14" s="26"/>
      <c r="T14" s="200"/>
    </row>
    <row r="15" spans="1:22" s="93" customFormat="1" ht="17.25" thickTop="1" thickBot="1" x14ac:dyDescent="0.3">
      <c r="A15" s="280" t="s">
        <v>24</v>
      </c>
      <c r="B15" s="169"/>
      <c r="C15" s="169"/>
      <c r="D15" s="95"/>
      <c r="E15" s="95"/>
      <c r="F15" s="95"/>
      <c r="G15" s="95"/>
      <c r="H15" s="95"/>
      <c r="I15" s="123"/>
      <c r="J15" s="123"/>
      <c r="K15" s="95"/>
      <c r="L15" s="95"/>
      <c r="M15" s="287"/>
      <c r="N15" s="420"/>
      <c r="O15" s="420"/>
      <c r="P15" s="411"/>
      <c r="Q15" s="95">
        <f>SUM(Q8:Q14)</f>
        <v>405097806.92000002</v>
      </c>
      <c r="R15" s="95">
        <f>SUM(R8:R14)</f>
        <v>-174480330</v>
      </c>
      <c r="S15" s="281">
        <f>+Q15+R15</f>
        <v>230617476.92000002</v>
      </c>
      <c r="T15" s="201" t="s">
        <v>121</v>
      </c>
      <c r="U15" s="90"/>
      <c r="V15" s="90"/>
    </row>
    <row r="16" spans="1:22" ht="15.75" customHeight="1" thickTop="1" thickBot="1" x14ac:dyDescent="0.25">
      <c r="A16" s="196"/>
      <c r="B16" s="183"/>
      <c r="C16" s="183"/>
      <c r="D16" s="257"/>
      <c r="E16" s="184"/>
      <c r="F16" s="184"/>
      <c r="G16" s="184"/>
      <c r="H16" s="257"/>
      <c r="I16" s="184"/>
      <c r="J16" s="184"/>
      <c r="K16" s="184"/>
      <c r="L16" s="184"/>
      <c r="M16" s="288"/>
      <c r="N16" s="421"/>
      <c r="O16" s="421"/>
      <c r="P16" s="421"/>
      <c r="Q16" s="184"/>
      <c r="R16" s="185"/>
      <c r="S16" s="185"/>
      <c r="T16" s="197"/>
      <c r="U16" s="27"/>
      <c r="V16" s="27"/>
    </row>
    <row r="17" spans="1:22" s="48" customFormat="1" ht="15.75" x14ac:dyDescent="0.25">
      <c r="A17" s="278" t="s">
        <v>2</v>
      </c>
      <c r="B17" s="279" t="s">
        <v>88</v>
      </c>
      <c r="C17" s="262" t="s">
        <v>133</v>
      </c>
      <c r="D17" s="256">
        <v>0</v>
      </c>
      <c r="E17" s="256">
        <v>0</v>
      </c>
      <c r="F17" s="256">
        <v>0</v>
      </c>
      <c r="G17" s="256">
        <v>0</v>
      </c>
      <c r="H17" s="256">
        <f>SUM(F17:G17)</f>
        <v>0</v>
      </c>
      <c r="I17" s="256">
        <v>0</v>
      </c>
      <c r="J17" s="256">
        <v>0</v>
      </c>
      <c r="K17" s="256">
        <f>SUM(I17:J17)</f>
        <v>0</v>
      </c>
      <c r="L17" s="249">
        <f t="shared" si="3"/>
        <v>0</v>
      </c>
      <c r="M17" s="256">
        <v>50460</v>
      </c>
      <c r="N17" s="397">
        <v>0</v>
      </c>
      <c r="O17" s="397">
        <v>0</v>
      </c>
      <c r="P17" s="397">
        <f>SUM(N17:O17)</f>
        <v>0</v>
      </c>
      <c r="Q17" s="256">
        <f>+L17+E17</f>
        <v>0</v>
      </c>
      <c r="R17" s="259">
        <v>0</v>
      </c>
      <c r="S17" s="259"/>
      <c r="T17" s="260"/>
      <c r="U17" s="29"/>
      <c r="V17" s="29"/>
    </row>
    <row r="18" spans="1:22" s="48" customFormat="1" ht="15.75" x14ac:dyDescent="0.25">
      <c r="A18" s="270" t="s">
        <v>2</v>
      </c>
      <c r="B18" s="261" t="s">
        <v>89</v>
      </c>
      <c r="C18" s="262" t="s">
        <v>133</v>
      </c>
      <c r="D18" s="256">
        <v>0</v>
      </c>
      <c r="E18" s="256">
        <v>0</v>
      </c>
      <c r="F18" s="256">
        <v>0</v>
      </c>
      <c r="G18" s="256">
        <v>0</v>
      </c>
      <c r="H18" s="256">
        <f>SUM(F18:G18)</f>
        <v>0</v>
      </c>
      <c r="I18" s="256">
        <v>0</v>
      </c>
      <c r="J18" s="256">
        <v>0</v>
      </c>
      <c r="K18" s="256">
        <f>SUM(I18:J18)</f>
        <v>0</v>
      </c>
      <c r="L18" s="249">
        <f t="shared" si="3"/>
        <v>0</v>
      </c>
      <c r="M18" s="256">
        <v>290238</v>
      </c>
      <c r="N18" s="397">
        <v>0</v>
      </c>
      <c r="O18" s="397">
        <v>0</v>
      </c>
      <c r="P18" s="397">
        <f>SUM(N18:O18)</f>
        <v>0</v>
      </c>
      <c r="Q18" s="256">
        <v>0</v>
      </c>
      <c r="R18" s="258">
        <f>+L18+D18</f>
        <v>0</v>
      </c>
      <c r="S18" s="258"/>
      <c r="T18" s="265"/>
      <c r="U18" s="29"/>
      <c r="V18" s="29"/>
    </row>
    <row r="19" spans="1:22" s="48" customFormat="1" ht="15.75" x14ac:dyDescent="0.25">
      <c r="A19" s="270" t="s">
        <v>2</v>
      </c>
      <c r="B19" s="261" t="s">
        <v>90</v>
      </c>
      <c r="C19" s="262" t="s">
        <v>133</v>
      </c>
      <c r="D19" s="256">
        <v>0</v>
      </c>
      <c r="E19" s="256">
        <v>0</v>
      </c>
      <c r="F19" s="256">
        <v>0</v>
      </c>
      <c r="G19" s="256">
        <v>0</v>
      </c>
      <c r="H19" s="256"/>
      <c r="I19" s="256">
        <v>0</v>
      </c>
      <c r="J19" s="256">
        <v>0</v>
      </c>
      <c r="K19" s="256">
        <f>SUM(I19:J19)</f>
        <v>0</v>
      </c>
      <c r="L19" s="249">
        <f t="shared" si="3"/>
        <v>0</v>
      </c>
      <c r="M19" s="256"/>
      <c r="N19" s="397">
        <v>0</v>
      </c>
      <c r="O19" s="397">
        <v>0</v>
      </c>
      <c r="P19" s="397">
        <f>SUM(N19:O19)</f>
        <v>0</v>
      </c>
      <c r="Q19" s="256">
        <v>0</v>
      </c>
      <c r="R19" s="258">
        <f>+L19</f>
        <v>0</v>
      </c>
      <c r="S19" s="258" t="s">
        <v>171</v>
      </c>
      <c r="T19" s="265"/>
      <c r="U19" s="29"/>
      <c r="V19" s="29"/>
    </row>
    <row r="20" spans="1:22" s="401" customFormat="1" ht="16.5" thickBot="1" x14ac:dyDescent="0.3">
      <c r="A20" s="394" t="s">
        <v>2</v>
      </c>
      <c r="B20" s="395" t="s">
        <v>161</v>
      </c>
      <c r="C20" s="396" t="s">
        <v>113</v>
      </c>
      <c r="D20" s="397">
        <v>0</v>
      </c>
      <c r="E20" s="397">
        <v>0</v>
      </c>
      <c r="F20" s="397">
        <v>160804</v>
      </c>
      <c r="G20" s="397">
        <v>0</v>
      </c>
      <c r="H20" s="397">
        <f>SUM(F20:G20)</f>
        <v>160804</v>
      </c>
      <c r="I20" s="397">
        <v>0</v>
      </c>
      <c r="J20" s="397">
        <v>0</v>
      </c>
      <c r="K20" s="397">
        <f>SUM(I20:J20)</f>
        <v>0</v>
      </c>
      <c r="L20" s="411">
        <f t="shared" si="3"/>
        <v>160804</v>
      </c>
      <c r="M20" s="397"/>
      <c r="N20" s="397">
        <v>0</v>
      </c>
      <c r="O20" s="397">
        <v>0</v>
      </c>
      <c r="P20" s="397">
        <f>SUM(N20:O20)</f>
        <v>0</v>
      </c>
      <c r="Q20" s="397">
        <f>+L20+E20</f>
        <v>160804</v>
      </c>
      <c r="R20" s="398">
        <v>0</v>
      </c>
      <c r="S20" s="412"/>
      <c r="T20" s="399"/>
      <c r="U20" s="400"/>
      <c r="V20" s="400"/>
    </row>
    <row r="21" spans="1:22" ht="17.25" thickTop="1" thickBot="1" x14ac:dyDescent="0.3">
      <c r="A21" s="175" t="s">
        <v>25</v>
      </c>
      <c r="B21" s="171"/>
      <c r="C21" s="171"/>
      <c r="D21" s="95"/>
      <c r="E21" s="156"/>
      <c r="F21" s="156"/>
      <c r="G21" s="156"/>
      <c r="H21" s="95"/>
      <c r="I21" s="156"/>
      <c r="J21" s="156"/>
      <c r="K21" s="156"/>
      <c r="L21" s="156"/>
      <c r="M21" s="287"/>
      <c r="N21" s="411"/>
      <c r="O21" s="411"/>
      <c r="P21" s="411"/>
      <c r="Q21" s="156"/>
      <c r="R21" s="87"/>
      <c r="S21" s="33">
        <f>IF(SUM(Q17:Q20)&gt;-SUM(R17:R20),SUM(Q17:Q20),0)</f>
        <v>160804</v>
      </c>
      <c r="T21" s="177"/>
      <c r="U21" s="27" t="s">
        <v>151</v>
      </c>
      <c r="V21" s="27"/>
    </row>
    <row r="22" spans="1:22" ht="15.75" thickTop="1" x14ac:dyDescent="0.2">
      <c r="A22" s="176"/>
      <c r="B22" s="171"/>
      <c r="C22" s="171"/>
      <c r="D22" s="95"/>
      <c r="E22" s="156"/>
      <c r="F22" s="156"/>
      <c r="G22" s="156"/>
      <c r="H22" s="95"/>
      <c r="I22" s="156"/>
      <c r="J22" s="156"/>
      <c r="K22" s="156"/>
      <c r="L22" s="156"/>
      <c r="M22" s="287"/>
      <c r="N22" s="411"/>
      <c r="O22" s="411"/>
      <c r="P22" s="411"/>
      <c r="Q22" s="156"/>
      <c r="R22" s="87"/>
      <c r="S22" s="87"/>
      <c r="T22" s="177"/>
      <c r="U22" s="27"/>
      <c r="V22" s="27"/>
    </row>
    <row r="23" spans="1:22" s="48" customFormat="1" ht="18.75" hidden="1" customHeight="1" x14ac:dyDescent="0.25">
      <c r="A23" s="271" t="s">
        <v>3</v>
      </c>
      <c r="B23" s="272" t="s">
        <v>99</v>
      </c>
      <c r="C23" s="262" t="s">
        <v>133</v>
      </c>
      <c r="D23" s="256">
        <v>0</v>
      </c>
      <c r="E23" s="256">
        <v>0</v>
      </c>
      <c r="F23" s="256">
        <v>0</v>
      </c>
      <c r="G23" s="256">
        <v>0</v>
      </c>
      <c r="H23" s="256">
        <f t="shared" ref="H23:H28" si="4">SUM(F23:G23)</f>
        <v>0</v>
      </c>
      <c r="I23" s="256"/>
      <c r="J23" s="256"/>
      <c r="K23" s="256">
        <f t="shared" ref="K23:K28" si="5">SUM(I23:J23)</f>
        <v>0</v>
      </c>
      <c r="L23" s="249">
        <f t="shared" ref="L23:L28" si="6">+K23+H23</f>
        <v>0</v>
      </c>
      <c r="M23" s="247">
        <v>0</v>
      </c>
      <c r="N23" s="406">
        <v>0</v>
      </c>
      <c r="O23" s="406">
        <v>0</v>
      </c>
      <c r="P23" s="405">
        <f t="shared" ref="P23:P28" si="7">SUM(N23:O23)</f>
        <v>0</v>
      </c>
      <c r="Q23" s="256">
        <f>+L23+E23</f>
        <v>0</v>
      </c>
      <c r="R23" s="258">
        <v>0</v>
      </c>
      <c r="S23" s="258"/>
      <c r="T23" s="265"/>
      <c r="U23" s="29"/>
      <c r="V23" s="29"/>
    </row>
    <row r="24" spans="1:22" s="48" customFormat="1" ht="15.75" x14ac:dyDescent="0.25">
      <c r="A24" s="270" t="s">
        <v>3</v>
      </c>
      <c r="B24" s="272" t="s">
        <v>163</v>
      </c>
      <c r="C24" s="262" t="s">
        <v>134</v>
      </c>
      <c r="D24" s="256">
        <v>0</v>
      </c>
      <c r="E24" s="256">
        <v>324630</v>
      </c>
      <c r="F24" s="256">
        <v>0</v>
      </c>
      <c r="G24" s="256">
        <v>0</v>
      </c>
      <c r="H24" s="256">
        <f t="shared" si="4"/>
        <v>0</v>
      </c>
      <c r="I24" s="256">
        <v>0</v>
      </c>
      <c r="J24" s="256">
        <v>0</v>
      </c>
      <c r="K24" s="256">
        <f t="shared" si="5"/>
        <v>0</v>
      </c>
      <c r="L24" s="249">
        <f t="shared" si="6"/>
        <v>0</v>
      </c>
      <c r="M24" s="256"/>
      <c r="N24" s="406">
        <v>0</v>
      </c>
      <c r="O24" s="406">
        <v>0</v>
      </c>
      <c r="P24" s="405">
        <f t="shared" si="7"/>
        <v>0</v>
      </c>
      <c r="Q24" s="256">
        <f>+L24+E24</f>
        <v>324630</v>
      </c>
      <c r="R24" s="258">
        <v>0</v>
      </c>
      <c r="S24" s="258" t="s">
        <v>164</v>
      </c>
      <c r="T24" s="265"/>
      <c r="U24" s="29"/>
      <c r="V24" s="29"/>
    </row>
    <row r="25" spans="1:22" s="48" customFormat="1" ht="15.75" x14ac:dyDescent="0.25">
      <c r="A25" s="270" t="s">
        <v>3</v>
      </c>
      <c r="B25" s="272" t="s">
        <v>89</v>
      </c>
      <c r="C25" s="262" t="s">
        <v>133</v>
      </c>
      <c r="D25" s="256">
        <v>-3936493</v>
      </c>
      <c r="E25" s="249">
        <v>0</v>
      </c>
      <c r="F25" s="249">
        <v>0</v>
      </c>
      <c r="G25" s="249">
        <v>0</v>
      </c>
      <c r="H25" s="256">
        <f t="shared" si="4"/>
        <v>0</v>
      </c>
      <c r="I25" s="249">
        <v>0</v>
      </c>
      <c r="J25" s="249">
        <v>0</v>
      </c>
      <c r="K25" s="256">
        <f t="shared" si="5"/>
        <v>0</v>
      </c>
      <c r="L25" s="249">
        <f t="shared" si="6"/>
        <v>0</v>
      </c>
      <c r="M25" s="249">
        <v>0</v>
      </c>
      <c r="N25" s="406">
        <v>0</v>
      </c>
      <c r="O25" s="406">
        <v>0</v>
      </c>
      <c r="P25" s="405">
        <f t="shared" si="7"/>
        <v>0</v>
      </c>
      <c r="Q25" s="256">
        <f>+L25+E25</f>
        <v>0</v>
      </c>
      <c r="R25" s="258">
        <f>+D25</f>
        <v>-3936493</v>
      </c>
      <c r="S25" s="258"/>
      <c r="T25" s="265"/>
      <c r="U25" s="29"/>
      <c r="V25" s="29"/>
    </row>
    <row r="26" spans="1:22" s="48" customFormat="1" ht="15.75" x14ac:dyDescent="0.25">
      <c r="A26" s="270" t="s">
        <v>3</v>
      </c>
      <c r="B26" s="272" t="s">
        <v>89</v>
      </c>
      <c r="C26" s="262" t="s">
        <v>133</v>
      </c>
      <c r="D26" s="249">
        <v>0</v>
      </c>
      <c r="E26" s="256">
        <v>-1438419</v>
      </c>
      <c r="F26" s="29">
        <v>431300</v>
      </c>
      <c r="G26" s="29">
        <v>0</v>
      </c>
      <c r="H26" s="256">
        <f t="shared" si="4"/>
        <v>431300</v>
      </c>
      <c r="I26" s="256">
        <v>4360651</v>
      </c>
      <c r="J26" s="256">
        <v>-3556513</v>
      </c>
      <c r="K26" s="256">
        <f t="shared" si="5"/>
        <v>804138</v>
      </c>
      <c r="L26" s="249">
        <f t="shared" si="6"/>
        <v>1235438</v>
      </c>
      <c r="M26" s="256">
        <v>758150</v>
      </c>
      <c r="N26" s="397">
        <v>531901</v>
      </c>
      <c r="O26" s="397">
        <f>-(531901/255000)*189500</f>
        <v>-395275.44901960786</v>
      </c>
      <c r="P26" s="405">
        <f t="shared" si="7"/>
        <v>136625.55098039214</v>
      </c>
      <c r="Q26" s="256">
        <v>0</v>
      </c>
      <c r="R26" s="258">
        <f>+L26+E26</f>
        <v>-202981</v>
      </c>
      <c r="S26" s="258"/>
      <c r="T26" s="265"/>
      <c r="U26" s="29"/>
      <c r="V26" s="29"/>
    </row>
    <row r="27" spans="1:22" s="48" customFormat="1" ht="15.75" x14ac:dyDescent="0.25">
      <c r="A27" s="270" t="s">
        <v>3</v>
      </c>
      <c r="B27" s="272" t="s">
        <v>26</v>
      </c>
      <c r="C27" s="262" t="s">
        <v>133</v>
      </c>
      <c r="D27" s="249">
        <v>0</v>
      </c>
      <c r="E27" s="249">
        <v>32025407.169517606</v>
      </c>
      <c r="F27" s="249">
        <v>1015705</v>
      </c>
      <c r="G27" s="249">
        <v>0</v>
      </c>
      <c r="H27" s="256">
        <f t="shared" si="4"/>
        <v>1015705</v>
      </c>
      <c r="I27" s="256">
        <v>0</v>
      </c>
      <c r="J27" s="256">
        <v>0</v>
      </c>
      <c r="K27" s="256">
        <f t="shared" si="5"/>
        <v>0</v>
      </c>
      <c r="L27" s="249">
        <f t="shared" si="6"/>
        <v>1015705</v>
      </c>
      <c r="M27" s="249">
        <v>0</v>
      </c>
      <c r="N27" s="406">
        <v>0</v>
      </c>
      <c r="O27" s="406">
        <v>0</v>
      </c>
      <c r="P27" s="405">
        <f t="shared" si="7"/>
        <v>0</v>
      </c>
      <c r="Q27" s="256">
        <f>+L27+E27</f>
        <v>33041112.169517606</v>
      </c>
      <c r="R27" s="258">
        <v>0</v>
      </c>
      <c r="S27" s="258"/>
      <c r="T27" s="265"/>
      <c r="U27" s="29"/>
      <c r="V27" s="29"/>
    </row>
    <row r="28" spans="1:22" s="48" customFormat="1" ht="63.75" thickBot="1" x14ac:dyDescent="0.3">
      <c r="A28" s="282" t="s">
        <v>3</v>
      </c>
      <c r="B28" s="305" t="s">
        <v>90</v>
      </c>
      <c r="C28" s="275" t="s">
        <v>133</v>
      </c>
      <c r="D28" s="148">
        <v>0</v>
      </c>
      <c r="E28" s="148">
        <v>54642603</v>
      </c>
      <c r="F28" s="148">
        <v>64279928</v>
      </c>
      <c r="G28" s="148">
        <v>-41605059</v>
      </c>
      <c r="H28" s="148">
        <f t="shared" si="4"/>
        <v>22674869</v>
      </c>
      <c r="I28" s="148">
        <f>23338725+58705960</f>
        <v>82044685</v>
      </c>
      <c r="J28" s="148">
        <f>-32989270-60140128</f>
        <v>-93129398</v>
      </c>
      <c r="K28" s="148">
        <f t="shared" si="5"/>
        <v>-11084713</v>
      </c>
      <c r="L28" s="268">
        <f t="shared" si="6"/>
        <v>11590156</v>
      </c>
      <c r="M28" s="148">
        <v>221533072</v>
      </c>
      <c r="N28" s="406">
        <v>55537009</v>
      </c>
      <c r="O28" s="405">
        <v>-59699521</v>
      </c>
      <c r="P28" s="405">
        <f t="shared" si="7"/>
        <v>-4162512</v>
      </c>
      <c r="Q28" s="148">
        <f>+E28+L28</f>
        <v>66232759</v>
      </c>
      <c r="R28" s="269">
        <v>0</v>
      </c>
      <c r="S28" s="304" t="s">
        <v>222</v>
      </c>
      <c r="T28" s="265"/>
      <c r="U28" s="29"/>
      <c r="V28" s="29"/>
    </row>
    <row r="29" spans="1:22" ht="17.25" thickTop="1" thickBot="1" x14ac:dyDescent="0.3">
      <c r="A29" s="175" t="s">
        <v>117</v>
      </c>
      <c r="B29" s="172"/>
      <c r="C29" s="172"/>
      <c r="D29" s="172"/>
      <c r="E29" s="436"/>
      <c r="F29" s="156"/>
      <c r="G29" s="156"/>
      <c r="H29" s="95"/>
      <c r="I29" s="156"/>
      <c r="J29" s="156"/>
      <c r="K29" s="156"/>
      <c r="L29" s="156"/>
      <c r="M29" s="287"/>
      <c r="N29" s="411"/>
      <c r="O29" s="411"/>
      <c r="P29" s="411"/>
      <c r="Q29" s="156"/>
      <c r="R29" s="39"/>
      <c r="S29" s="33">
        <f>IF(SUM(Q24:Q28)&gt;-SUM(R24:R28),SUM(Q24:Q28),0)</f>
        <v>99598501.169517606</v>
      </c>
      <c r="T29" s="177"/>
      <c r="U29" s="27" t="s">
        <v>151</v>
      </c>
      <c r="V29" s="27"/>
    </row>
    <row r="30" spans="1:22" ht="16.5" hidden="1" thickTop="1" x14ac:dyDescent="0.25">
      <c r="A30" s="178"/>
      <c r="B30" s="172"/>
      <c r="C30" s="172"/>
      <c r="D30" s="95"/>
      <c r="E30" s="156"/>
      <c r="F30" s="156"/>
      <c r="G30" s="156"/>
      <c r="H30" s="95"/>
      <c r="I30" s="156"/>
      <c r="J30" s="156"/>
      <c r="K30" s="156"/>
      <c r="L30" s="156"/>
      <c r="M30" s="287"/>
      <c r="N30" s="411"/>
      <c r="O30" s="411"/>
      <c r="P30" s="411"/>
      <c r="Q30" s="156"/>
      <c r="R30" s="39"/>
      <c r="S30" s="39"/>
      <c r="T30" s="177"/>
      <c r="U30" s="27"/>
      <c r="V30" s="27"/>
    </row>
    <row r="31" spans="1:22" s="150" customFormat="1" ht="30" hidden="1" x14ac:dyDescent="0.2">
      <c r="A31" s="316" t="s">
        <v>116</v>
      </c>
      <c r="B31" s="266" t="s">
        <v>26</v>
      </c>
      <c r="C31" s="267" t="s">
        <v>113</v>
      </c>
      <c r="D31" s="268">
        <v>0</v>
      </c>
      <c r="E31" s="268">
        <v>0</v>
      </c>
      <c r="F31" s="268">
        <v>0</v>
      </c>
      <c r="G31" s="268">
        <v>0</v>
      </c>
      <c r="H31" s="148">
        <f>SUM(F31:G31)</f>
        <v>0</v>
      </c>
      <c r="I31" s="268"/>
      <c r="J31" s="268"/>
      <c r="K31" s="148">
        <f>SUM(I31:J31)</f>
        <v>0</v>
      </c>
      <c r="L31" s="268">
        <f>+K31+H31</f>
        <v>0</v>
      </c>
      <c r="M31" s="268"/>
      <c r="N31" s="405">
        <v>0</v>
      </c>
      <c r="O31" s="405">
        <v>0</v>
      </c>
      <c r="P31" s="430">
        <f>SUM(N31:O31)</f>
        <v>0</v>
      </c>
      <c r="Q31" s="148">
        <f>+L31+E31</f>
        <v>0</v>
      </c>
      <c r="R31" s="269">
        <v>0</v>
      </c>
      <c r="S31" s="263" t="s">
        <v>156</v>
      </c>
      <c r="T31" s="264"/>
      <c r="U31" s="151"/>
      <c r="V31" s="151"/>
    </row>
    <row r="32" spans="1:22" s="150" customFormat="1" ht="16.5" hidden="1" thickBot="1" x14ac:dyDescent="0.3">
      <c r="A32" s="317" t="s">
        <v>119</v>
      </c>
      <c r="B32" s="261" t="s">
        <v>89</v>
      </c>
      <c r="C32" s="262" t="s">
        <v>133</v>
      </c>
      <c r="D32" s="256">
        <v>0</v>
      </c>
      <c r="E32" s="256">
        <v>0</v>
      </c>
      <c r="F32" s="256">
        <v>9</v>
      </c>
      <c r="G32" s="256">
        <v>0</v>
      </c>
      <c r="H32" s="256">
        <f>SUM(F32:G32)</f>
        <v>9</v>
      </c>
      <c r="I32" s="256"/>
      <c r="J32" s="256"/>
      <c r="K32" s="256">
        <v>0</v>
      </c>
      <c r="L32" s="249">
        <f>+K32+H32</f>
        <v>9</v>
      </c>
      <c r="M32" s="256">
        <v>997337</v>
      </c>
      <c r="N32" s="397">
        <v>0</v>
      </c>
      <c r="O32" s="397">
        <v>0</v>
      </c>
      <c r="P32" s="397">
        <f>SUM(N32:O32)</f>
        <v>0</v>
      </c>
      <c r="Q32" s="256">
        <f>+L32+E32</f>
        <v>9</v>
      </c>
      <c r="R32" s="258">
        <v>0</v>
      </c>
      <c r="S32" s="263"/>
      <c r="T32" s="264"/>
      <c r="U32" s="151"/>
      <c r="V32" s="151"/>
    </row>
    <row r="33" spans="1:23" ht="17.25" hidden="1" thickTop="1" thickBot="1" x14ac:dyDescent="0.3">
      <c r="A33" s="318" t="s">
        <v>120</v>
      </c>
      <c r="B33" s="173"/>
      <c r="C33" s="173"/>
      <c r="D33" s="95"/>
      <c r="E33" s="156"/>
      <c r="F33" s="156"/>
      <c r="G33" s="156"/>
      <c r="H33" s="95"/>
      <c r="I33" s="156"/>
      <c r="J33" s="156"/>
      <c r="K33" s="156"/>
      <c r="L33" s="156"/>
      <c r="M33" s="287"/>
      <c r="N33" s="411"/>
      <c r="O33" s="411"/>
      <c r="P33" s="411"/>
      <c r="Q33" s="156"/>
      <c r="R33" s="156"/>
      <c r="S33" s="33">
        <f>+Q31+Q32</f>
        <v>9</v>
      </c>
      <c r="T33" s="177"/>
      <c r="U33" s="27" t="s">
        <v>151</v>
      </c>
      <c r="V33" s="27"/>
      <c r="W33" s="27">
        <f>+Q35+Q36+Q38</f>
        <v>4618869</v>
      </c>
    </row>
    <row r="34" spans="1:23" ht="15.75" thickTop="1" x14ac:dyDescent="0.2">
      <c r="A34" s="179"/>
      <c r="B34" s="173"/>
      <c r="C34" s="173"/>
      <c r="D34" s="95"/>
      <c r="E34" s="156"/>
      <c r="F34" s="156"/>
      <c r="G34" s="156"/>
      <c r="H34" s="95"/>
      <c r="I34" s="156"/>
      <c r="J34" s="156"/>
      <c r="K34" s="156"/>
      <c r="L34" s="156"/>
      <c r="M34" s="287"/>
      <c r="N34" s="411"/>
      <c r="O34" s="411"/>
      <c r="P34" s="411"/>
      <c r="Q34" s="156"/>
      <c r="R34" s="87"/>
      <c r="S34" s="87"/>
      <c r="T34" s="177"/>
      <c r="U34" s="27"/>
      <c r="V34" s="27"/>
    </row>
    <row r="35" spans="1:23" s="48" customFormat="1" ht="15.75" x14ac:dyDescent="0.2">
      <c r="A35" s="273" t="s">
        <v>4</v>
      </c>
      <c r="B35" s="307" t="s">
        <v>88</v>
      </c>
      <c r="C35" s="275" t="s">
        <v>133</v>
      </c>
      <c r="D35" s="148">
        <v>3862226</v>
      </c>
      <c r="E35" s="268">
        <v>0</v>
      </c>
      <c r="F35" s="268">
        <v>0</v>
      </c>
      <c r="G35" s="268">
        <v>0</v>
      </c>
      <c r="H35" s="148">
        <f>SUM(F35:G35)</f>
        <v>0</v>
      </c>
      <c r="I35" s="268">
        <v>0</v>
      </c>
      <c r="J35" s="268">
        <v>0</v>
      </c>
      <c r="K35" s="148">
        <f>SUM(I35:J35)</f>
        <v>0</v>
      </c>
      <c r="L35" s="268">
        <f>+K35+H35</f>
        <v>0</v>
      </c>
      <c r="M35" s="268">
        <v>13062536</v>
      </c>
      <c r="N35" s="406">
        <v>0</v>
      </c>
      <c r="O35" s="406">
        <v>0</v>
      </c>
      <c r="P35" s="405">
        <f>SUM(N35:O35)</f>
        <v>0</v>
      </c>
      <c r="Q35" s="148">
        <f>+L35+D35</f>
        <v>3862226</v>
      </c>
      <c r="R35" s="269">
        <v>0</v>
      </c>
      <c r="S35" s="306"/>
      <c r="T35" s="265"/>
      <c r="U35" s="29" t="s">
        <v>152</v>
      </c>
      <c r="V35" s="29"/>
    </row>
    <row r="36" spans="1:23" s="48" customFormat="1" ht="15.75" x14ac:dyDescent="0.2">
      <c r="A36" s="273" t="s">
        <v>4</v>
      </c>
      <c r="B36" s="307" t="s">
        <v>88</v>
      </c>
      <c r="C36" s="275" t="s">
        <v>133</v>
      </c>
      <c r="D36" s="268">
        <v>0</v>
      </c>
      <c r="E36" s="148">
        <v>-32554283</v>
      </c>
      <c r="F36" s="148">
        <v>25337655</v>
      </c>
      <c r="G36" s="148">
        <v>-22595605</v>
      </c>
      <c r="H36" s="148">
        <f>SUM(F36:G36)</f>
        <v>2742050</v>
      </c>
      <c r="I36" s="148">
        <v>40303214</v>
      </c>
      <c r="J36" s="148">
        <v>-22314847</v>
      </c>
      <c r="K36" s="148">
        <f>SUM(I36:J36)</f>
        <v>17988367</v>
      </c>
      <c r="L36" s="268">
        <f>+K36+H36</f>
        <v>20730417</v>
      </c>
      <c r="M36" s="148">
        <v>19833122</v>
      </c>
      <c r="N36" s="406">
        <v>23522410</v>
      </c>
      <c r="O36" s="406">
        <v>-14836237</v>
      </c>
      <c r="P36" s="405">
        <f>SUM(N36:O36)</f>
        <v>8686173</v>
      </c>
      <c r="Q36" s="148">
        <v>0</v>
      </c>
      <c r="R36" s="269">
        <f>+L36+E36</f>
        <v>-11823866</v>
      </c>
      <c r="S36" s="306"/>
      <c r="T36" s="265"/>
      <c r="U36" s="29" t="s">
        <v>152</v>
      </c>
      <c r="V36" s="29"/>
    </row>
    <row r="37" spans="1:23" s="48" customFormat="1" ht="15.75" x14ac:dyDescent="0.2">
      <c r="A37" s="270" t="s">
        <v>4</v>
      </c>
      <c r="B37" s="272" t="s">
        <v>89</v>
      </c>
      <c r="C37" s="275" t="s">
        <v>133</v>
      </c>
      <c r="D37" s="268">
        <v>0</v>
      </c>
      <c r="E37" s="148">
        <v>0</v>
      </c>
      <c r="F37" s="148">
        <v>0</v>
      </c>
      <c r="G37" s="148">
        <v>0</v>
      </c>
      <c r="H37" s="148">
        <f>SUM(F37:G37)</f>
        <v>0</v>
      </c>
      <c r="I37" s="268">
        <v>0</v>
      </c>
      <c r="J37" s="268">
        <v>0</v>
      </c>
      <c r="K37" s="148">
        <f>SUM(I37:J37)</f>
        <v>0</v>
      </c>
      <c r="L37" s="268">
        <f>+K37+H37</f>
        <v>0</v>
      </c>
      <c r="M37" s="148"/>
      <c r="N37" s="406"/>
      <c r="O37" s="406"/>
      <c r="P37" s="405"/>
      <c r="Q37" s="148">
        <f>+L37+D37</f>
        <v>0</v>
      </c>
      <c r="R37" s="269">
        <v>0</v>
      </c>
      <c r="S37" s="306"/>
      <c r="T37" s="265"/>
      <c r="U37" s="29"/>
      <c r="V37" s="29"/>
    </row>
    <row r="38" spans="1:23" s="48" customFormat="1" ht="16.5" thickBot="1" x14ac:dyDescent="0.3">
      <c r="A38" s="270" t="s">
        <v>4</v>
      </c>
      <c r="B38" s="272" t="s">
        <v>89</v>
      </c>
      <c r="C38" s="262" t="s">
        <v>133</v>
      </c>
      <c r="D38" s="148">
        <v>0</v>
      </c>
      <c r="E38" s="148">
        <v>-172975</v>
      </c>
      <c r="F38" s="256">
        <v>2544718</v>
      </c>
      <c r="G38" s="256">
        <v>-3326300</v>
      </c>
      <c r="H38" s="256">
        <f>SUM(F38:G38)</f>
        <v>-781582</v>
      </c>
      <c r="I38" s="256">
        <v>1711200</v>
      </c>
      <c r="J38" s="268">
        <v>0</v>
      </c>
      <c r="K38" s="256">
        <f>SUM(I38:J38)</f>
        <v>1711200</v>
      </c>
      <c r="L38" s="249">
        <f>+K38+H38</f>
        <v>929618</v>
      </c>
      <c r="M38" s="256">
        <v>-3205556</v>
      </c>
      <c r="N38" s="406">
        <v>0</v>
      </c>
      <c r="O38" s="406">
        <v>0</v>
      </c>
      <c r="P38" s="405">
        <f>SUM(N38:O38)</f>
        <v>0</v>
      </c>
      <c r="Q38" s="256">
        <f>+L38+E38</f>
        <v>756643</v>
      </c>
      <c r="R38" s="258">
        <v>0</v>
      </c>
      <c r="S38" s="258"/>
      <c r="T38" s="265"/>
      <c r="U38" s="29"/>
      <c r="V38" s="29"/>
    </row>
    <row r="39" spans="1:23" ht="17.25" thickTop="1" thickBot="1" x14ac:dyDescent="0.3">
      <c r="A39" s="176" t="s">
        <v>27</v>
      </c>
      <c r="B39" s="171"/>
      <c r="C39" s="171"/>
      <c r="D39" s="171"/>
      <c r="E39" s="171"/>
      <c r="F39" s="95"/>
      <c r="G39" s="95"/>
      <c r="H39" s="95"/>
      <c r="I39" s="156"/>
      <c r="J39" s="156"/>
      <c r="K39" s="156"/>
      <c r="L39" s="156"/>
      <c r="M39" s="287"/>
      <c r="N39" s="411"/>
      <c r="O39" s="411"/>
      <c r="P39" s="411"/>
      <c r="Q39" s="156"/>
      <c r="R39" s="87"/>
      <c r="S39" s="33">
        <f>IF(SUM(Q35:Q38)&gt;-SUM(R35:R38),SUM(Q35:Q38),0)</f>
        <v>0</v>
      </c>
      <c r="T39" s="177"/>
      <c r="U39" s="27"/>
      <c r="V39" s="27"/>
    </row>
    <row r="40" spans="1:23" ht="15.75" thickTop="1" x14ac:dyDescent="0.2">
      <c r="A40" s="176"/>
      <c r="B40" s="171"/>
      <c r="C40" s="171"/>
      <c r="D40" s="95"/>
      <c r="E40" s="156"/>
      <c r="F40" s="95"/>
      <c r="G40" s="95"/>
      <c r="H40" s="95"/>
      <c r="I40" s="156"/>
      <c r="J40" s="156"/>
      <c r="K40" s="156"/>
      <c r="L40" s="156"/>
      <c r="M40" s="287"/>
      <c r="N40" s="411"/>
      <c r="O40" s="411"/>
      <c r="P40" s="411"/>
      <c r="Q40" s="156"/>
      <c r="R40" s="87"/>
      <c r="S40" s="87"/>
      <c r="T40" s="177"/>
      <c r="U40" s="27"/>
      <c r="V40" s="27"/>
    </row>
    <row r="41" spans="1:23" s="48" customFormat="1" ht="15.75" x14ac:dyDescent="0.25">
      <c r="A41" s="270" t="s">
        <v>5</v>
      </c>
      <c r="B41" s="261" t="s">
        <v>88</v>
      </c>
      <c r="C41" s="262" t="s">
        <v>133</v>
      </c>
      <c r="D41" s="256">
        <v>9122</v>
      </c>
      <c r="E41" s="256">
        <v>0</v>
      </c>
      <c r="F41" s="256">
        <v>0</v>
      </c>
      <c r="G41" s="256">
        <v>0</v>
      </c>
      <c r="H41" s="256">
        <f t="shared" ref="H41:H46" si="8">SUM(F41:G41)</f>
        <v>0</v>
      </c>
      <c r="I41" s="256"/>
      <c r="J41" s="256"/>
      <c r="K41" s="256">
        <f t="shared" ref="K41:K46" si="9">SUM(I41:J41)</f>
        <v>0</v>
      </c>
      <c r="L41" s="249">
        <f t="shared" ref="L41:L46" si="10">+K41+H41</f>
        <v>0</v>
      </c>
      <c r="M41" s="256">
        <v>-2501719</v>
      </c>
      <c r="N41" s="406">
        <v>0</v>
      </c>
      <c r="O41" s="405">
        <v>0</v>
      </c>
      <c r="P41" s="405">
        <f t="shared" ref="P41:P46" si="11">SUM(N41:O41)</f>
        <v>0</v>
      </c>
      <c r="Q41" s="256">
        <v>0</v>
      </c>
      <c r="R41" s="258">
        <f>+L41+E41</f>
        <v>0</v>
      </c>
      <c r="S41" s="258"/>
      <c r="T41" s="265"/>
      <c r="U41" s="29"/>
      <c r="V41" s="29"/>
    </row>
    <row r="42" spans="1:23" s="48" customFormat="1" ht="15.75" x14ac:dyDescent="0.25">
      <c r="A42" s="270" t="s">
        <v>5</v>
      </c>
      <c r="B42" s="261" t="s">
        <v>88</v>
      </c>
      <c r="C42" s="262" t="s">
        <v>133</v>
      </c>
      <c r="D42" s="256">
        <v>0</v>
      </c>
      <c r="E42" s="256">
        <v>127752</v>
      </c>
      <c r="F42" s="256">
        <v>0</v>
      </c>
      <c r="G42" s="256">
        <v>-811115</v>
      </c>
      <c r="H42" s="256">
        <f t="shared" si="8"/>
        <v>-811115</v>
      </c>
      <c r="I42" s="256"/>
      <c r="J42" s="256">
        <v>-1653965</v>
      </c>
      <c r="K42" s="256">
        <f t="shared" si="9"/>
        <v>-1653965</v>
      </c>
      <c r="L42" s="249">
        <f t="shared" si="10"/>
        <v>-2465080</v>
      </c>
      <c r="M42" s="256">
        <v>-2501719</v>
      </c>
      <c r="N42" s="406">
        <v>0</v>
      </c>
      <c r="O42" s="405">
        <v>0</v>
      </c>
      <c r="P42" s="405">
        <f t="shared" si="11"/>
        <v>0</v>
      </c>
      <c r="Q42" s="256">
        <v>0</v>
      </c>
      <c r="R42" s="258">
        <f>+L42+E42</f>
        <v>-2337328</v>
      </c>
      <c r="S42" s="258"/>
      <c r="T42" s="265"/>
      <c r="U42" s="29"/>
      <c r="V42" s="29"/>
    </row>
    <row r="43" spans="1:23" s="48" customFormat="1" ht="15.75" x14ac:dyDescent="0.25">
      <c r="A43" s="270" t="s">
        <v>5</v>
      </c>
      <c r="B43" s="261" t="s">
        <v>89</v>
      </c>
      <c r="C43" s="262" t="s">
        <v>133</v>
      </c>
      <c r="D43" s="256">
        <v>214573641</v>
      </c>
      <c r="E43" s="249">
        <v>0</v>
      </c>
      <c r="F43" s="249">
        <v>0</v>
      </c>
      <c r="G43" s="249">
        <v>0</v>
      </c>
      <c r="H43" s="256">
        <f t="shared" si="8"/>
        <v>0</v>
      </c>
      <c r="I43" s="249"/>
      <c r="J43" s="249"/>
      <c r="K43" s="256">
        <f t="shared" si="9"/>
        <v>0</v>
      </c>
      <c r="L43" s="249">
        <f t="shared" si="10"/>
        <v>0</v>
      </c>
      <c r="M43" s="249">
        <v>-22486468</v>
      </c>
      <c r="N43" s="406">
        <v>0</v>
      </c>
      <c r="O43" s="406">
        <v>0</v>
      </c>
      <c r="P43" s="405">
        <f t="shared" si="11"/>
        <v>0</v>
      </c>
      <c r="Q43" s="249">
        <f>+L43+E43+D43</f>
        <v>214573641</v>
      </c>
      <c r="R43" s="258">
        <v>0</v>
      </c>
      <c r="S43" s="258"/>
      <c r="T43" s="265"/>
      <c r="U43" s="29"/>
      <c r="V43" s="29"/>
    </row>
    <row r="44" spans="1:23" s="48" customFormat="1" ht="15.75" x14ac:dyDescent="0.2">
      <c r="A44" s="273" t="s">
        <v>5</v>
      </c>
      <c r="B44" s="274" t="s">
        <v>89</v>
      </c>
      <c r="C44" s="275" t="s">
        <v>133</v>
      </c>
      <c r="D44" s="268">
        <v>0</v>
      </c>
      <c r="E44" s="256">
        <v>-8151903</v>
      </c>
      <c r="F44" s="148">
        <v>29769800</v>
      </c>
      <c r="G44" s="148">
        <v>-49153571</v>
      </c>
      <c r="H44" s="148">
        <f t="shared" si="8"/>
        <v>-19383771</v>
      </c>
      <c r="I44" s="148">
        <v>6466350</v>
      </c>
      <c r="J44" s="148">
        <v>-17177462</v>
      </c>
      <c r="K44" s="148">
        <f t="shared" si="9"/>
        <v>-10711112</v>
      </c>
      <c r="L44" s="249">
        <f t="shared" si="10"/>
        <v>-30094883</v>
      </c>
      <c r="M44" s="148">
        <v>-14187360</v>
      </c>
      <c r="N44" s="406">
        <v>0</v>
      </c>
      <c r="O44" s="406">
        <v>0</v>
      </c>
      <c r="P44" s="405">
        <f t="shared" si="11"/>
        <v>0</v>
      </c>
      <c r="Q44" s="148">
        <v>0</v>
      </c>
      <c r="R44" s="269">
        <f>+L44+E44</f>
        <v>-38246786</v>
      </c>
      <c r="S44" s="306"/>
      <c r="T44" s="265"/>
      <c r="U44" s="29"/>
      <c r="V44" s="29"/>
    </row>
    <row r="45" spans="1:23" s="48" customFormat="1" ht="15.75" x14ac:dyDescent="0.25">
      <c r="A45" s="270" t="s">
        <v>5</v>
      </c>
      <c r="B45" s="261" t="s">
        <v>92</v>
      </c>
      <c r="C45" s="262" t="s">
        <v>133</v>
      </c>
      <c r="D45" s="256">
        <v>0</v>
      </c>
      <c r="E45" s="256">
        <v>0</v>
      </c>
      <c r="F45" s="256">
        <v>1045275</v>
      </c>
      <c r="G45" s="256">
        <v>-936500</v>
      </c>
      <c r="H45" s="256">
        <f t="shared" si="8"/>
        <v>108775</v>
      </c>
      <c r="I45" s="256"/>
      <c r="J45" s="256">
        <v>-21566</v>
      </c>
      <c r="K45" s="256">
        <f t="shared" si="9"/>
        <v>-21566</v>
      </c>
      <c r="L45" s="249">
        <f t="shared" si="10"/>
        <v>87209</v>
      </c>
      <c r="M45" s="256">
        <v>1507632</v>
      </c>
      <c r="N45" s="406">
        <v>0</v>
      </c>
      <c r="O45" s="406">
        <v>0</v>
      </c>
      <c r="P45" s="405">
        <f t="shared" si="11"/>
        <v>0</v>
      </c>
      <c r="Q45" s="256">
        <f>+L45+E45</f>
        <v>87209</v>
      </c>
      <c r="R45" s="258">
        <v>0</v>
      </c>
      <c r="S45" s="258"/>
      <c r="T45" s="265"/>
      <c r="U45" s="29"/>
      <c r="V45" s="29"/>
    </row>
    <row r="46" spans="1:23" s="48" customFormat="1" ht="45.75" thickBot="1" x14ac:dyDescent="0.25">
      <c r="A46" s="316" t="s">
        <v>28</v>
      </c>
      <c r="B46" s="435" t="s">
        <v>21</v>
      </c>
      <c r="C46" s="267" t="s">
        <v>113</v>
      </c>
      <c r="D46" s="268">
        <v>3807950</v>
      </c>
      <c r="E46" s="268">
        <v>-3020424</v>
      </c>
      <c r="F46" s="268">
        <f>638654+282</f>
        <v>638936</v>
      </c>
      <c r="G46" s="268">
        <f>-318995-488037</f>
        <v>-807032</v>
      </c>
      <c r="H46" s="148">
        <f t="shared" si="8"/>
        <v>-168096</v>
      </c>
      <c r="I46" s="268"/>
      <c r="J46" s="268"/>
      <c r="K46" s="148">
        <f t="shared" si="9"/>
        <v>0</v>
      </c>
      <c r="L46" s="268">
        <f t="shared" si="10"/>
        <v>-168096</v>
      </c>
      <c r="M46" s="268"/>
      <c r="N46" s="406">
        <v>0</v>
      </c>
      <c r="O46" s="406">
        <v>0</v>
      </c>
      <c r="P46" s="405">
        <f t="shared" si="11"/>
        <v>0</v>
      </c>
      <c r="Q46" s="268">
        <v>0</v>
      </c>
      <c r="R46" s="269">
        <f>+L46+E46</f>
        <v>-3188520</v>
      </c>
      <c r="S46" s="434" t="s">
        <v>186</v>
      </c>
      <c r="T46" s="265"/>
      <c r="U46" s="29"/>
      <c r="V46" s="29"/>
    </row>
    <row r="47" spans="1:23" ht="17.25" thickTop="1" thickBot="1" x14ac:dyDescent="0.3">
      <c r="A47" s="181" t="s">
        <v>30</v>
      </c>
      <c r="B47" s="171"/>
      <c r="C47" s="171"/>
      <c r="D47" s="156"/>
      <c r="E47" s="156"/>
      <c r="F47" s="156"/>
      <c r="G47" s="95"/>
      <c r="H47" s="95"/>
      <c r="I47" s="156"/>
      <c r="J47" s="156"/>
      <c r="K47" s="156"/>
      <c r="L47" s="156"/>
      <c r="M47" s="287"/>
      <c r="N47" s="411"/>
      <c r="O47" s="411"/>
      <c r="P47" s="411"/>
      <c r="Q47" s="167"/>
      <c r="R47" s="168"/>
      <c r="S47" s="33">
        <f>IF(SUM(Q41:Q46)&gt;-SUM(R41:R46),SUM(Q41:Q46),0)</f>
        <v>214660850</v>
      </c>
      <c r="T47" s="177"/>
      <c r="U47" s="27" t="s">
        <v>151</v>
      </c>
      <c r="V47" s="27"/>
    </row>
    <row r="48" spans="1:23" ht="16.5" thickTop="1" x14ac:dyDescent="0.25">
      <c r="A48" s="175" t="s">
        <v>123</v>
      </c>
      <c r="B48" s="171"/>
      <c r="C48" s="171"/>
      <c r="D48" s="156"/>
      <c r="E48" s="156"/>
      <c r="F48" s="156"/>
      <c r="G48" s="95"/>
      <c r="H48" s="95"/>
      <c r="I48" s="156"/>
      <c r="J48" s="156"/>
      <c r="K48" s="156"/>
      <c r="L48" s="156"/>
      <c r="M48" s="287"/>
      <c r="N48" s="411"/>
      <c r="O48" s="411"/>
      <c r="P48" s="411"/>
      <c r="Q48" s="156">
        <f>SUM(Q17:Q46)</f>
        <v>319039033.16951764</v>
      </c>
      <c r="R48" s="156">
        <f>SUM(R17:R46)</f>
        <v>-59735974</v>
      </c>
      <c r="S48" s="87"/>
      <c r="T48" s="177"/>
      <c r="U48" s="27"/>
      <c r="V48" s="27"/>
    </row>
    <row r="49" spans="1:27" ht="15.75" x14ac:dyDescent="0.25">
      <c r="A49" s="175"/>
      <c r="B49" s="171"/>
      <c r="C49" s="171"/>
      <c r="D49" s="95"/>
      <c r="E49" s="156"/>
      <c r="F49" s="156"/>
      <c r="G49" s="95"/>
      <c r="H49" s="95"/>
      <c r="I49" s="156"/>
      <c r="J49" s="156"/>
      <c r="K49" s="156"/>
      <c r="L49" s="95"/>
      <c r="M49" s="287"/>
      <c r="N49" s="411"/>
      <c r="O49" s="411"/>
      <c r="P49" s="411"/>
      <c r="Q49" s="156"/>
      <c r="R49" s="156"/>
      <c r="S49" s="87"/>
      <c r="T49" s="177"/>
      <c r="U49" s="27"/>
      <c r="V49" s="27"/>
    </row>
    <row r="50" spans="1:27" s="346" customFormat="1" ht="15.75" x14ac:dyDescent="0.25">
      <c r="A50" s="340" t="s">
        <v>124</v>
      </c>
      <c r="B50" s="341"/>
      <c r="C50" s="341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411"/>
      <c r="O50" s="411"/>
      <c r="P50" s="411"/>
      <c r="Q50" s="342"/>
      <c r="R50" s="343"/>
      <c r="S50" s="344">
        <f>+S47+S39+S33+S29+S21</f>
        <v>314420164.16951764</v>
      </c>
      <c r="T50" s="345" t="s">
        <v>179</v>
      </c>
      <c r="U50" s="390" t="s">
        <v>184</v>
      </c>
      <c r="V50" s="390"/>
      <c r="W50" s="347"/>
    </row>
    <row r="51" spans="1:27" s="346" customFormat="1" ht="15.75" x14ac:dyDescent="0.25">
      <c r="A51" s="340" t="s">
        <v>169</v>
      </c>
      <c r="B51" s="341"/>
      <c r="C51" s="341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411"/>
      <c r="O51" s="411"/>
      <c r="P51" s="411"/>
      <c r="Q51" s="342"/>
      <c r="R51" s="343"/>
      <c r="S51" s="348">
        <f>+R48</f>
        <v>-59735974</v>
      </c>
      <c r="T51" s="345"/>
      <c r="U51" s="390" t="s">
        <v>185</v>
      </c>
      <c r="V51" s="392" t="s">
        <v>174</v>
      </c>
      <c r="W51" s="388"/>
      <c r="X51" s="389"/>
      <c r="Y51" s="389"/>
      <c r="Z51" s="389"/>
      <c r="AA51" s="389"/>
    </row>
    <row r="52" spans="1:27" s="346" customFormat="1" ht="15.75" x14ac:dyDescent="0.25">
      <c r="A52" s="340" t="s">
        <v>195</v>
      </c>
      <c r="B52" s="341"/>
      <c r="C52" s="341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411"/>
      <c r="O52" s="411"/>
      <c r="P52" s="411"/>
      <c r="Q52" s="342"/>
      <c r="R52" s="343"/>
      <c r="S52" s="344">
        <f>+S50+S51</f>
        <v>254684190.16951764</v>
      </c>
      <c r="T52" s="345"/>
      <c r="U52" s="391"/>
      <c r="V52" s="391"/>
      <c r="W52" s="347"/>
    </row>
    <row r="53" spans="1:27" s="346" customFormat="1" ht="15.75" x14ac:dyDescent="0.25">
      <c r="A53" s="340" t="s">
        <v>176</v>
      </c>
      <c r="B53" s="341"/>
      <c r="C53" s="341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411"/>
      <c r="O53" s="411"/>
      <c r="P53" s="411"/>
      <c r="Q53" s="342"/>
      <c r="R53" s="343"/>
      <c r="S53" s="344">
        <f>-94000000-6000000-30000000</f>
        <v>-130000000</v>
      </c>
      <c r="T53" s="345"/>
      <c r="U53" s="391"/>
      <c r="V53" s="391"/>
      <c r="W53" s="347"/>
    </row>
    <row r="54" spans="1:27" s="346" customFormat="1" ht="16.5" thickBot="1" x14ac:dyDescent="0.3">
      <c r="A54" s="340" t="s">
        <v>196</v>
      </c>
      <c r="B54" s="341"/>
      <c r="C54" s="341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411"/>
      <c r="O54" s="411"/>
      <c r="P54" s="411"/>
      <c r="Q54" s="342"/>
      <c r="R54" s="343"/>
      <c r="S54" s="349">
        <f>+S52+S53</f>
        <v>124684190.16951764</v>
      </c>
      <c r="T54" s="345"/>
      <c r="U54" s="391"/>
      <c r="V54" s="391"/>
      <c r="W54" s="347"/>
    </row>
    <row r="55" spans="1:27" ht="17.25" thickTop="1" thickBot="1" x14ac:dyDescent="0.3">
      <c r="A55" s="182"/>
      <c r="B55" s="183"/>
      <c r="C55" s="183"/>
      <c r="D55" s="257"/>
      <c r="E55" s="184"/>
      <c r="F55" s="184"/>
      <c r="G55" s="257"/>
      <c r="H55" s="257"/>
      <c r="I55" s="184"/>
      <c r="J55" s="184"/>
      <c r="K55" s="184"/>
      <c r="L55" s="257"/>
      <c r="M55" s="288"/>
      <c r="N55" s="421"/>
      <c r="O55" s="421"/>
      <c r="P55" s="421"/>
      <c r="Q55" s="184"/>
      <c r="R55" s="185"/>
      <c r="S55" s="198"/>
      <c r="T55" s="197"/>
      <c r="U55" s="27"/>
      <c r="V55" s="27">
        <f>2761920-975600+1691082.7-441575</f>
        <v>3035827.7</v>
      </c>
      <c r="W55" s="22" t="s">
        <v>187</v>
      </c>
    </row>
    <row r="56" spans="1:27" s="48" customFormat="1" ht="16.5" thickBot="1" x14ac:dyDescent="0.3">
      <c r="A56" s="317" t="s">
        <v>6</v>
      </c>
      <c r="B56" s="261" t="s">
        <v>89</v>
      </c>
      <c r="C56" s="262" t="s">
        <v>133</v>
      </c>
      <c r="D56" s="256">
        <v>0</v>
      </c>
      <c r="E56" s="256">
        <v>165908694</v>
      </c>
      <c r="F56" s="256">
        <v>0</v>
      </c>
      <c r="G56" s="256">
        <v>0</v>
      </c>
      <c r="H56" s="256">
        <f>SUM(F56:G56)</f>
        <v>0</v>
      </c>
      <c r="I56" s="256">
        <v>0</v>
      </c>
      <c r="J56" s="256">
        <v>0</v>
      </c>
      <c r="K56" s="256">
        <f>SUM(I56:J56)</f>
        <v>0</v>
      </c>
      <c r="L56" s="249">
        <f>+K56+H56</f>
        <v>0</v>
      </c>
      <c r="M56" s="256">
        <v>-18574001</v>
      </c>
      <c r="N56" s="397">
        <v>0</v>
      </c>
      <c r="O56" s="397">
        <v>0</v>
      </c>
      <c r="P56" s="397">
        <f>SUM(N56:O56)</f>
        <v>0</v>
      </c>
      <c r="Q56" s="416">
        <f>+L56+E56</f>
        <v>165908694</v>
      </c>
      <c r="R56" s="309">
        <v>0</v>
      </c>
      <c r="S56" s="276">
        <f>+Q56</f>
        <v>165908694</v>
      </c>
      <c r="T56" s="265" t="s">
        <v>180</v>
      </c>
      <c r="U56" s="29"/>
      <c r="V56" s="29">
        <f>+V52-V55</f>
        <v>-3035827.7</v>
      </c>
    </row>
    <row r="57" spans="1:27" ht="16.5" hidden="1" thickBot="1" x14ac:dyDescent="0.3">
      <c r="A57" s="175"/>
      <c r="B57" s="171"/>
      <c r="C57" s="171"/>
      <c r="D57" s="95"/>
      <c r="E57" s="156"/>
      <c r="F57" s="156"/>
      <c r="G57" s="156"/>
      <c r="H57" s="95"/>
      <c r="I57" s="156"/>
      <c r="J57" s="156"/>
      <c r="K57" s="156"/>
      <c r="L57" s="95"/>
      <c r="M57" s="287"/>
      <c r="N57" s="411"/>
      <c r="O57" s="411"/>
      <c r="P57" s="411"/>
      <c r="Q57" s="156">
        <f>SUM(Q56:Q56)</f>
        <v>165908694</v>
      </c>
      <c r="R57" s="87">
        <f>SUM(R56:R56)</f>
        <v>0</v>
      </c>
      <c r="S57" s="174"/>
      <c r="T57" s="177"/>
      <c r="U57" s="27"/>
      <c r="V57" s="27"/>
    </row>
    <row r="58" spans="1:27" ht="17.25" hidden="1" thickTop="1" thickBot="1" x14ac:dyDescent="0.3">
      <c r="A58" s="180"/>
      <c r="B58" s="174"/>
      <c r="C58" s="174"/>
      <c r="D58" s="170"/>
      <c r="E58" s="87"/>
      <c r="F58" s="87"/>
      <c r="G58" s="87"/>
      <c r="H58" s="170"/>
      <c r="I58" s="87"/>
      <c r="J58" s="87"/>
      <c r="K58" s="87"/>
      <c r="L58" s="170"/>
      <c r="M58" s="289"/>
      <c r="N58" s="398"/>
      <c r="O58" s="398"/>
      <c r="P58" s="398"/>
      <c r="Q58" s="174"/>
      <c r="R58" s="174"/>
      <c r="S58" s="157">
        <f>+Q57</f>
        <v>165908694</v>
      </c>
      <c r="T58" s="177"/>
      <c r="U58" s="27" t="s">
        <v>151</v>
      </c>
      <c r="V58" s="27"/>
    </row>
    <row r="59" spans="1:27" ht="17.25" hidden="1" thickTop="1" thickBot="1" x14ac:dyDescent="0.3">
      <c r="A59" s="180"/>
      <c r="B59" s="174"/>
      <c r="C59" s="174"/>
      <c r="D59" s="170"/>
      <c r="E59" s="87"/>
      <c r="F59" s="87"/>
      <c r="G59" s="87"/>
      <c r="H59" s="170"/>
      <c r="I59" s="87"/>
      <c r="J59" s="87"/>
      <c r="K59" s="87"/>
      <c r="L59" s="170"/>
      <c r="M59" s="289"/>
      <c r="N59" s="398"/>
      <c r="O59" s="398"/>
      <c r="P59" s="398"/>
      <c r="Q59" s="174"/>
      <c r="R59" s="174"/>
      <c r="S59" s="68"/>
      <c r="T59" s="177"/>
      <c r="U59" s="27"/>
      <c r="V59" s="27"/>
    </row>
    <row r="60" spans="1:27" s="24" customFormat="1" ht="18.75" hidden="1" customHeight="1" x14ac:dyDescent="0.25">
      <c r="A60" s="321" t="s">
        <v>157</v>
      </c>
      <c r="B60" s="322" t="s">
        <v>89</v>
      </c>
      <c r="C60" s="187" t="s">
        <v>133</v>
      </c>
      <c r="D60" s="312">
        <v>0</v>
      </c>
      <c r="E60" s="312">
        <v>0</v>
      </c>
      <c r="F60" s="312">
        <v>0</v>
      </c>
      <c r="G60" s="312">
        <v>0</v>
      </c>
      <c r="H60" s="188">
        <f>SUM(F60:G60)</f>
        <v>0</v>
      </c>
      <c r="I60" s="312">
        <v>0</v>
      </c>
      <c r="J60" s="312">
        <v>0</v>
      </c>
      <c r="K60" s="188">
        <f>SUM(I60:J60)</f>
        <v>0</v>
      </c>
      <c r="L60" s="188">
        <f>+K60+H60</f>
        <v>0</v>
      </c>
      <c r="M60" s="312"/>
      <c r="N60" s="422">
        <v>0</v>
      </c>
      <c r="O60" s="422">
        <v>0</v>
      </c>
      <c r="P60" s="419">
        <f>SUM(N60:O60)</f>
        <v>0</v>
      </c>
      <c r="Q60" s="312">
        <f>+L60</f>
        <v>0</v>
      </c>
      <c r="R60" s="323">
        <v>0</v>
      </c>
      <c r="S60" s="324"/>
      <c r="T60" s="199" t="s">
        <v>121</v>
      </c>
      <c r="U60" s="23"/>
      <c r="V60" s="23"/>
    </row>
    <row r="61" spans="1:27" s="24" customFormat="1" ht="16.5" hidden="1" thickBot="1" x14ac:dyDescent="0.3">
      <c r="A61" s="325"/>
      <c r="B61" s="326"/>
      <c r="C61" s="327" t="s">
        <v>133</v>
      </c>
      <c r="D61" s="328"/>
      <c r="E61" s="328"/>
      <c r="F61" s="328"/>
      <c r="G61" s="328"/>
      <c r="H61" s="328"/>
      <c r="I61" s="328"/>
      <c r="J61" s="328"/>
      <c r="K61" s="328"/>
      <c r="L61" s="159"/>
      <c r="M61" s="162"/>
      <c r="N61" s="398"/>
      <c r="O61" s="398"/>
      <c r="P61" s="398"/>
      <c r="Q61" s="162"/>
      <c r="R61" s="328"/>
      <c r="S61" s="326"/>
      <c r="T61" s="329"/>
      <c r="U61" s="23"/>
      <c r="V61" s="23"/>
    </row>
    <row r="62" spans="1:27" ht="16.5" thickBot="1" x14ac:dyDescent="0.3">
      <c r="A62" s="176"/>
      <c r="B62" s="174"/>
      <c r="C62" s="174"/>
      <c r="D62" s="170"/>
      <c r="E62" s="87"/>
      <c r="F62" s="87"/>
      <c r="G62" s="87"/>
      <c r="H62" s="87"/>
      <c r="I62" s="87"/>
      <c r="J62" s="87"/>
      <c r="K62" s="87"/>
      <c r="L62" s="257"/>
      <c r="M62" s="387"/>
      <c r="N62" s="423"/>
      <c r="O62" s="423"/>
      <c r="P62" s="423"/>
      <c r="Q62" s="185"/>
      <c r="R62" s="87"/>
      <c r="S62" s="294"/>
      <c r="T62" s="177"/>
      <c r="U62" s="27"/>
      <c r="V62" s="27"/>
    </row>
    <row r="63" spans="1:27" s="346" customFormat="1" x14ac:dyDescent="0.2">
      <c r="A63" s="350"/>
      <c r="B63" s="351"/>
      <c r="C63" s="351"/>
      <c r="D63" s="352"/>
      <c r="E63" s="352"/>
      <c r="F63" s="352"/>
      <c r="G63" s="352"/>
      <c r="H63" s="352"/>
      <c r="I63" s="352"/>
      <c r="J63" s="352"/>
      <c r="K63" s="352"/>
      <c r="L63" s="343"/>
      <c r="M63" s="343"/>
      <c r="N63" s="398"/>
      <c r="O63" s="398"/>
      <c r="P63" s="398"/>
      <c r="Q63" s="343"/>
      <c r="R63" s="352"/>
      <c r="S63" s="343"/>
      <c r="T63" s="353"/>
      <c r="U63" s="347"/>
      <c r="V63" s="347"/>
    </row>
    <row r="64" spans="1:27" s="346" customFormat="1" ht="15.75" hidden="1" x14ac:dyDescent="0.25">
      <c r="A64" s="354"/>
      <c r="B64" s="355"/>
      <c r="C64" s="355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98"/>
      <c r="O64" s="398"/>
      <c r="P64" s="398"/>
      <c r="Q64" s="356">
        <f>+Q15+Q48+Q57</f>
        <v>890045534.08951759</v>
      </c>
      <c r="R64" s="356">
        <f>+R15+R48+R57</f>
        <v>-234216304</v>
      </c>
      <c r="S64" s="343"/>
      <c r="T64" s="345"/>
      <c r="V64" s="347"/>
    </row>
    <row r="65" spans="1:22" s="346" customFormat="1" ht="15.75" x14ac:dyDescent="0.25">
      <c r="A65" s="340" t="s">
        <v>29</v>
      </c>
      <c r="B65" s="355"/>
      <c r="C65" s="355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98"/>
      <c r="O65" s="398"/>
      <c r="P65" s="398"/>
      <c r="Q65" s="355"/>
      <c r="R65" s="355"/>
      <c r="S65" s="344">
        <f>+S15+S50+S58</f>
        <v>710946335.08951759</v>
      </c>
      <c r="T65" s="345" t="s">
        <v>181</v>
      </c>
      <c r="U65" s="347"/>
      <c r="V65" s="347"/>
    </row>
    <row r="66" spans="1:22" s="346" customFormat="1" ht="15.75" x14ac:dyDescent="0.25">
      <c r="A66" s="340" t="s">
        <v>169</v>
      </c>
      <c r="B66" s="355"/>
      <c r="C66" s="35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98"/>
      <c r="O66" s="398"/>
      <c r="P66" s="398"/>
      <c r="Q66" s="355"/>
      <c r="R66" s="355"/>
      <c r="S66" s="348">
        <f>+S51</f>
        <v>-59735974</v>
      </c>
      <c r="T66" s="345"/>
      <c r="U66" s="347"/>
      <c r="V66" s="347"/>
    </row>
    <row r="67" spans="1:22" s="346" customFormat="1" ht="15.75" x14ac:dyDescent="0.25">
      <c r="A67" s="340" t="s">
        <v>170</v>
      </c>
      <c r="B67" s="355"/>
      <c r="C67" s="355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98"/>
      <c r="O67" s="398"/>
      <c r="P67" s="398"/>
      <c r="Q67" s="355"/>
      <c r="R67" s="355"/>
      <c r="S67" s="344">
        <f>+S65+S66</f>
        <v>651210361.08951759</v>
      </c>
      <c r="T67" s="345"/>
      <c r="U67" s="347"/>
      <c r="V67" s="347"/>
    </row>
    <row r="68" spans="1:22" s="346" customFormat="1" ht="15.75" x14ac:dyDescent="0.25">
      <c r="A68" s="340" t="s">
        <v>176</v>
      </c>
      <c r="B68" s="355"/>
      <c r="C68" s="355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98"/>
      <c r="O68" s="398"/>
      <c r="P68" s="398"/>
      <c r="Q68" s="355"/>
      <c r="R68" s="355"/>
      <c r="S68" s="344">
        <f>+S53</f>
        <v>-130000000</v>
      </c>
      <c r="T68" s="345"/>
      <c r="U68" s="347"/>
      <c r="V68" s="347"/>
    </row>
    <row r="69" spans="1:22" s="346" customFormat="1" ht="16.5" thickBot="1" x14ac:dyDescent="0.3">
      <c r="A69" s="340" t="s">
        <v>175</v>
      </c>
      <c r="B69" s="355"/>
      <c r="C69" s="35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98"/>
      <c r="O69" s="398"/>
      <c r="P69" s="398"/>
      <c r="Q69" s="355"/>
      <c r="R69" s="355"/>
      <c r="S69" s="349">
        <f>SUM(S67:S68)</f>
        <v>521210361.08951759</v>
      </c>
      <c r="T69" s="345"/>
      <c r="U69" s="347"/>
      <c r="V69" s="347"/>
    </row>
    <row r="70" spans="1:22" s="346" customFormat="1" ht="16.5" thickTop="1" thickBot="1" x14ac:dyDescent="0.25">
      <c r="A70" s="357"/>
      <c r="B70" s="358"/>
      <c r="C70" s="358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423"/>
      <c r="O70" s="423"/>
      <c r="P70" s="423"/>
      <c r="Q70" s="359"/>
      <c r="R70" s="359"/>
      <c r="S70" s="359"/>
      <c r="T70" s="360"/>
      <c r="U70" s="347"/>
      <c r="V70" s="347"/>
    </row>
    <row r="71" spans="1:22" ht="15.75" x14ac:dyDescent="0.25">
      <c r="D71" s="90"/>
      <c r="E71" s="27"/>
      <c r="F71" s="27"/>
      <c r="G71" s="27"/>
      <c r="H71" s="27"/>
      <c r="I71" s="27"/>
      <c r="J71" s="27"/>
      <c r="K71" s="27"/>
      <c r="L71" s="39"/>
      <c r="M71" s="290"/>
      <c r="N71" s="400"/>
      <c r="O71" s="400"/>
      <c r="P71" s="400"/>
      <c r="Q71" s="27"/>
      <c r="R71" s="27"/>
      <c r="S71" s="27"/>
      <c r="T71" s="27"/>
      <c r="U71" s="27"/>
      <c r="V71" s="27"/>
    </row>
    <row r="72" spans="1:22" x14ac:dyDescent="0.2">
      <c r="A72" s="93"/>
      <c r="B72" s="93"/>
      <c r="C72" s="93"/>
      <c r="D72" s="90"/>
      <c r="E72" s="27"/>
      <c r="F72" s="27"/>
      <c r="G72" s="27"/>
      <c r="H72" s="27"/>
      <c r="I72" s="27"/>
      <c r="J72" s="27"/>
      <c r="K72" s="27"/>
      <c r="L72" s="27"/>
      <c r="M72" s="290"/>
      <c r="N72" s="400"/>
      <c r="O72" s="400"/>
      <c r="P72" s="400"/>
      <c r="Q72" s="27"/>
      <c r="R72" s="27"/>
      <c r="S72" s="27"/>
      <c r="T72" s="27"/>
      <c r="U72" s="27"/>
      <c r="V72" s="27"/>
    </row>
    <row r="73" spans="1:22" x14ac:dyDescent="0.2">
      <c r="A73" s="93"/>
      <c r="B73" s="93"/>
      <c r="C73" s="93"/>
      <c r="D73" s="90"/>
      <c r="E73" s="27"/>
      <c r="F73" s="27"/>
      <c r="G73" s="27"/>
      <c r="H73" s="27"/>
      <c r="I73" s="27"/>
      <c r="J73" s="27"/>
      <c r="K73" s="27"/>
      <c r="L73" s="27"/>
      <c r="M73" s="290"/>
      <c r="N73" s="400"/>
      <c r="O73" s="400"/>
      <c r="P73" s="400"/>
      <c r="Q73" s="27"/>
      <c r="R73" s="27"/>
      <c r="S73" s="27"/>
      <c r="T73" s="27"/>
      <c r="U73" s="27"/>
      <c r="V73" s="27"/>
    </row>
    <row r="74" spans="1:22" x14ac:dyDescent="0.2">
      <c r="A74" s="93"/>
      <c r="B74" s="93"/>
      <c r="C74" s="93"/>
      <c r="D74" s="90"/>
      <c r="E74" s="27"/>
      <c r="F74" s="27"/>
      <c r="G74" s="27"/>
      <c r="H74" s="27"/>
      <c r="I74" s="27"/>
      <c r="J74" s="27"/>
      <c r="K74" s="27"/>
      <c r="L74" s="27"/>
      <c r="M74" s="290"/>
      <c r="N74" s="400"/>
      <c r="O74" s="400"/>
      <c r="P74" s="400"/>
      <c r="Q74" s="27"/>
      <c r="R74" s="27"/>
      <c r="S74" s="27"/>
      <c r="T74" s="27"/>
      <c r="U74" s="27"/>
      <c r="V74" s="27"/>
    </row>
    <row r="75" spans="1:22" x14ac:dyDescent="0.2">
      <c r="A75" s="93"/>
      <c r="B75" s="93"/>
      <c r="C75" s="93"/>
      <c r="F75" s="27"/>
      <c r="G75" s="27"/>
      <c r="H75" s="27"/>
      <c r="I75" s="27"/>
      <c r="J75" s="27"/>
      <c r="K75" s="27"/>
      <c r="L75" s="27"/>
      <c r="M75" s="290"/>
      <c r="N75" s="400"/>
      <c r="O75" s="400"/>
      <c r="P75" s="400"/>
      <c r="Q75" s="27"/>
      <c r="R75" s="27"/>
      <c r="S75" s="27"/>
      <c r="T75" s="27"/>
      <c r="U75" s="27"/>
      <c r="V75" s="27"/>
    </row>
    <row r="76" spans="1:22" s="93" customFormat="1" ht="18.75" thickBot="1" x14ac:dyDescent="0.3">
      <c r="A76" s="246"/>
      <c r="D76" s="90"/>
      <c r="E76" s="90"/>
      <c r="F76" s="90"/>
      <c r="G76" s="90"/>
      <c r="H76" s="90"/>
      <c r="I76" s="90"/>
      <c r="J76" s="90"/>
      <c r="K76" s="90"/>
      <c r="L76" s="90"/>
      <c r="M76" s="290"/>
      <c r="N76" s="400"/>
      <c r="O76" s="400"/>
      <c r="P76" s="400"/>
      <c r="Q76" s="90"/>
      <c r="R76" s="90"/>
      <c r="S76" s="90"/>
      <c r="T76" s="90"/>
      <c r="U76" s="90"/>
      <c r="V76" s="90"/>
    </row>
    <row r="77" spans="1:22" ht="15.75" x14ac:dyDescent="0.25">
      <c r="D77" s="433">
        <f>+D56+SUM(D28:D45)+D26+D25+SUM(D8:D14)</f>
        <v>259283095</v>
      </c>
      <c r="E77" s="433">
        <f>+E56+SUM(E28:E45)+E26+E25+SUM(E8:E14)+E24</f>
        <v>-12512741</v>
      </c>
      <c r="F77" s="27"/>
      <c r="G77" s="27"/>
      <c r="H77" s="27"/>
      <c r="I77" s="90"/>
      <c r="J77" s="90"/>
      <c r="K77" s="27"/>
      <c r="L77" s="10" t="s">
        <v>114</v>
      </c>
      <c r="M77" s="290"/>
      <c r="N77" s="400"/>
      <c r="O77" s="400"/>
      <c r="P77" s="400"/>
      <c r="Q77" s="131">
        <f>+Q64-Q31-Q12-Q11-Q46-Q14</f>
        <v>564597732.16951764</v>
      </c>
      <c r="R77" s="131">
        <f>+R64-R31-R12-R11-R46-R14</f>
        <v>-231027784</v>
      </c>
      <c r="S77" s="27"/>
      <c r="T77" s="27"/>
      <c r="U77" s="27"/>
      <c r="V77" s="27"/>
    </row>
    <row r="78" spans="1:22" x14ac:dyDescent="0.2">
      <c r="D78" s="90"/>
      <c r="E78" s="27"/>
      <c r="F78" s="27"/>
      <c r="G78" s="27"/>
      <c r="H78" s="27"/>
      <c r="I78" s="90"/>
      <c r="J78" s="90"/>
      <c r="K78" s="27"/>
      <c r="L78" s="27"/>
      <c r="M78" s="290"/>
      <c r="N78" s="400"/>
      <c r="O78" s="400"/>
      <c r="P78" s="400"/>
      <c r="Q78" s="131"/>
      <c r="R78" s="131"/>
      <c r="S78" s="27"/>
      <c r="T78" s="27"/>
      <c r="U78" s="27"/>
      <c r="V78" s="27"/>
    </row>
    <row r="79" spans="1:22" x14ac:dyDescent="0.2">
      <c r="D79" s="90"/>
      <c r="E79" s="27"/>
      <c r="F79" s="27"/>
      <c r="G79" s="27"/>
      <c r="H79" s="27"/>
      <c r="I79" s="90"/>
      <c r="J79" s="90"/>
      <c r="K79" s="27"/>
      <c r="L79" s="27"/>
      <c r="M79" s="290"/>
      <c r="N79" s="400"/>
      <c r="O79" s="400"/>
      <c r="P79" s="400"/>
      <c r="Q79" s="27"/>
      <c r="R79" s="27"/>
      <c r="S79" s="27"/>
      <c r="T79" s="27"/>
      <c r="U79" s="27"/>
      <c r="V79" s="27"/>
    </row>
    <row r="80" spans="1:22" x14ac:dyDescent="0.2">
      <c r="D80" s="90"/>
      <c r="E80" s="27"/>
      <c r="F80" s="27"/>
      <c r="G80" s="27"/>
      <c r="H80" s="27"/>
      <c r="I80" s="90"/>
      <c r="J80" s="90"/>
      <c r="K80" s="27"/>
      <c r="L80" s="27"/>
      <c r="M80" s="290"/>
      <c r="N80" s="400"/>
      <c r="O80" s="400"/>
      <c r="P80" s="400"/>
      <c r="Q80" s="27"/>
      <c r="R80" s="27"/>
      <c r="S80" s="27"/>
      <c r="T80" s="27"/>
      <c r="U80" s="27"/>
      <c r="V80" s="27"/>
    </row>
    <row r="81" spans="2:22" x14ac:dyDescent="0.2">
      <c r="D81" s="90"/>
      <c r="E81" s="27"/>
      <c r="F81" s="27"/>
      <c r="G81" s="27"/>
      <c r="H81" s="27"/>
      <c r="I81" s="90"/>
      <c r="J81" s="90"/>
      <c r="K81" s="27"/>
      <c r="L81" s="27"/>
      <c r="M81" s="290"/>
      <c r="N81" s="400"/>
      <c r="O81" s="400"/>
      <c r="P81" s="400"/>
      <c r="Q81" s="27"/>
      <c r="R81" s="27"/>
      <c r="S81" s="27"/>
      <c r="T81" s="27"/>
      <c r="U81" s="27"/>
      <c r="V81" s="27"/>
    </row>
    <row r="82" spans="2:22" x14ac:dyDescent="0.2">
      <c r="D82" s="90"/>
      <c r="E82" s="27"/>
      <c r="F82" s="27"/>
      <c r="G82" s="27"/>
      <c r="H82" s="27"/>
      <c r="I82" s="90"/>
      <c r="J82" s="90"/>
      <c r="K82" s="27"/>
      <c r="L82" s="27"/>
      <c r="M82" s="290"/>
      <c r="N82" s="400"/>
      <c r="O82" s="400"/>
      <c r="P82" s="400"/>
      <c r="Q82" s="27"/>
      <c r="R82" s="27"/>
      <c r="S82" s="27"/>
      <c r="T82" s="27"/>
      <c r="U82" s="27"/>
      <c r="V82" s="27"/>
    </row>
    <row r="83" spans="2:22" ht="15.75" x14ac:dyDescent="0.25">
      <c r="B83" s="10" t="s">
        <v>114</v>
      </c>
      <c r="D83" s="131"/>
      <c r="E83" s="131"/>
      <c r="F83" s="87"/>
      <c r="G83" s="27"/>
      <c r="H83" s="27"/>
      <c r="I83" s="90"/>
      <c r="J83" s="90"/>
      <c r="K83" s="27"/>
      <c r="L83" s="27"/>
      <c r="M83" s="290"/>
      <c r="N83" s="400"/>
      <c r="O83" s="400"/>
      <c r="P83" s="400"/>
      <c r="Q83" s="27"/>
      <c r="R83" s="27"/>
      <c r="S83" s="27"/>
      <c r="T83" s="27"/>
      <c r="U83" s="27"/>
      <c r="V83" s="27"/>
    </row>
    <row r="84" spans="2:22" ht="15.75" x14ac:dyDescent="0.25">
      <c r="B84" s="98" t="s">
        <v>173</v>
      </c>
      <c r="D84" s="131">
        <f>SUM(D8:D56)-D31-D27-D13-D12-D11-D14</f>
        <v>263091045</v>
      </c>
      <c r="E84" s="131">
        <f>SUM(E8:E56)-E31-E27-E13-E12-E11-E14</f>
        <v>-15533165</v>
      </c>
      <c r="F84" s="27"/>
      <c r="G84" s="27"/>
      <c r="H84" s="27"/>
      <c r="I84" s="90"/>
      <c r="J84" s="90"/>
      <c r="K84" s="27"/>
      <c r="L84" s="27"/>
      <c r="M84" s="290"/>
      <c r="N84" s="400"/>
      <c r="O84" s="400"/>
      <c r="P84" s="400"/>
      <c r="Q84" s="27"/>
      <c r="R84" s="27"/>
      <c r="S84" s="27"/>
      <c r="T84" s="27"/>
      <c r="U84" s="27"/>
      <c r="V84" s="27"/>
    </row>
    <row r="85" spans="2:22" x14ac:dyDescent="0.2">
      <c r="D85" s="90"/>
      <c r="E85" s="27"/>
      <c r="F85" s="27"/>
      <c r="G85" s="27"/>
      <c r="H85" s="27"/>
      <c r="I85" s="90"/>
      <c r="J85" s="90"/>
      <c r="K85" s="27"/>
      <c r="L85" s="27"/>
      <c r="M85" s="290"/>
      <c r="N85" s="400"/>
      <c r="O85" s="400"/>
      <c r="P85" s="400"/>
      <c r="Q85" s="27"/>
      <c r="R85" s="27"/>
      <c r="S85" s="27"/>
      <c r="T85" s="27"/>
      <c r="U85" s="27"/>
      <c r="V85" s="27"/>
    </row>
    <row r="86" spans="2:22" x14ac:dyDescent="0.2">
      <c r="D86" s="90"/>
      <c r="E86" s="27"/>
      <c r="F86" s="27"/>
      <c r="G86" s="27"/>
      <c r="H86" s="27"/>
      <c r="I86" s="90"/>
      <c r="J86" s="90"/>
      <c r="K86" s="27"/>
      <c r="L86" s="27"/>
      <c r="M86" s="290"/>
      <c r="N86" s="400"/>
      <c r="O86" s="400"/>
      <c r="P86" s="400"/>
      <c r="Q86" s="27"/>
      <c r="R86" s="27"/>
      <c r="S86" s="27"/>
      <c r="T86" s="27"/>
      <c r="U86" s="27"/>
      <c r="V86" s="27"/>
    </row>
    <row r="87" spans="2:22" x14ac:dyDescent="0.2">
      <c r="D87" s="90"/>
      <c r="E87" s="27"/>
      <c r="F87" s="27"/>
      <c r="G87" s="27"/>
      <c r="H87" s="27"/>
      <c r="I87" s="90"/>
      <c r="J87" s="90"/>
      <c r="K87" s="27"/>
      <c r="L87" s="27"/>
      <c r="M87" s="290"/>
      <c r="N87" s="400"/>
      <c r="O87" s="400"/>
      <c r="P87" s="400"/>
      <c r="Q87" s="27"/>
      <c r="R87" s="27"/>
      <c r="S87" s="27"/>
      <c r="T87" s="27"/>
      <c r="U87" s="27"/>
      <c r="V87" s="27"/>
    </row>
    <row r="88" spans="2:22" x14ac:dyDescent="0.2">
      <c r="D88" s="90"/>
      <c r="E88" s="27"/>
      <c r="F88" s="27"/>
      <c r="G88" s="27"/>
      <c r="H88" s="27"/>
      <c r="I88" s="90"/>
      <c r="J88" s="90"/>
      <c r="K88" s="27"/>
      <c r="L88" s="27"/>
      <c r="M88" s="290"/>
      <c r="N88" s="400"/>
      <c r="O88" s="400"/>
      <c r="P88" s="400"/>
      <c r="Q88" s="27"/>
      <c r="R88" s="27"/>
      <c r="S88" s="27"/>
      <c r="T88" s="27"/>
      <c r="U88" s="27"/>
      <c r="V88" s="27"/>
    </row>
    <row r="89" spans="2:22" x14ac:dyDescent="0.2">
      <c r="D89" s="90"/>
      <c r="E89" s="27"/>
      <c r="F89" s="27"/>
      <c r="G89" s="27"/>
      <c r="H89" s="27"/>
      <c r="I89" s="90"/>
      <c r="J89" s="90"/>
      <c r="K89" s="27"/>
      <c r="L89" s="27"/>
      <c r="M89" s="290"/>
      <c r="N89" s="400"/>
      <c r="O89" s="400"/>
      <c r="P89" s="400"/>
      <c r="Q89" s="27"/>
      <c r="R89" s="27"/>
      <c r="S89" s="27"/>
      <c r="T89" s="27"/>
      <c r="U89" s="27"/>
      <c r="V89" s="27"/>
    </row>
    <row r="90" spans="2:22" x14ac:dyDescent="0.2">
      <c r="D90" s="90"/>
      <c r="E90" s="27"/>
      <c r="F90" s="27"/>
      <c r="G90" s="27"/>
      <c r="H90" s="27"/>
      <c r="I90" s="90"/>
      <c r="J90" s="90"/>
      <c r="K90" s="27"/>
      <c r="L90" s="27"/>
      <c r="M90" s="290"/>
      <c r="N90" s="400"/>
      <c r="O90" s="400"/>
      <c r="P90" s="400"/>
      <c r="Q90" s="27"/>
      <c r="R90" s="27"/>
      <c r="S90" s="27"/>
      <c r="T90" s="27"/>
      <c r="U90" s="27"/>
      <c r="V90" s="27"/>
    </row>
    <row r="91" spans="2:22" x14ac:dyDescent="0.2">
      <c r="D91" s="90"/>
      <c r="E91" s="27"/>
      <c r="F91" s="27"/>
      <c r="G91" s="27"/>
      <c r="H91" s="27"/>
      <c r="I91" s="90"/>
      <c r="J91" s="90"/>
      <c r="K91" s="27"/>
      <c r="L91" s="27"/>
      <c r="M91" s="290"/>
      <c r="N91" s="400"/>
      <c r="O91" s="400"/>
      <c r="P91" s="400"/>
      <c r="Q91" s="27"/>
      <c r="R91" s="27"/>
      <c r="S91" s="27"/>
      <c r="T91" s="27"/>
      <c r="U91" s="27"/>
      <c r="V91" s="27"/>
    </row>
    <row r="92" spans="2:22" x14ac:dyDescent="0.2">
      <c r="D92" s="90"/>
      <c r="E92" s="27"/>
      <c r="F92" s="27"/>
      <c r="G92" s="27"/>
      <c r="H92" s="27"/>
      <c r="I92" s="90"/>
      <c r="J92" s="90"/>
      <c r="K92" s="27"/>
      <c r="L92" s="27"/>
      <c r="M92" s="290"/>
      <c r="N92" s="400"/>
      <c r="O92" s="400"/>
      <c r="P92" s="400"/>
      <c r="Q92" s="27"/>
      <c r="R92" s="27"/>
      <c r="S92" s="27"/>
      <c r="T92" s="27"/>
      <c r="U92" s="27"/>
      <c r="V92" s="27"/>
    </row>
    <row r="93" spans="2:22" ht="15.75" x14ac:dyDescent="0.25">
      <c r="D93" s="437" t="s">
        <v>190</v>
      </c>
      <c r="E93" s="53" t="s">
        <v>191</v>
      </c>
      <c r="F93" s="53"/>
      <c r="G93" s="53"/>
      <c r="H93" s="53"/>
      <c r="I93" s="437"/>
      <c r="J93" s="437"/>
      <c r="K93" s="53"/>
      <c r="L93" s="53" t="s">
        <v>192</v>
      </c>
      <c r="M93" s="438"/>
      <c r="N93" s="439"/>
      <c r="O93" s="439"/>
      <c r="P93" s="439"/>
      <c r="Q93" s="53" t="s">
        <v>193</v>
      </c>
      <c r="R93" s="27"/>
      <c r="S93" s="27"/>
      <c r="T93" s="27"/>
      <c r="U93" s="27"/>
      <c r="V93" s="27"/>
    </row>
    <row r="94" spans="2:22" x14ac:dyDescent="0.2">
      <c r="D94" s="90"/>
      <c r="E94" s="27"/>
      <c r="F94" s="27"/>
      <c r="G94" s="27"/>
      <c r="H94" s="27"/>
      <c r="I94" s="90"/>
      <c r="J94" s="90"/>
      <c r="K94" s="27"/>
      <c r="L94" s="27"/>
      <c r="M94" s="290"/>
      <c r="N94" s="400"/>
      <c r="O94" s="400"/>
      <c r="P94" s="400"/>
      <c r="Q94" s="27"/>
      <c r="R94" s="27"/>
      <c r="S94" s="27"/>
      <c r="T94" s="27"/>
      <c r="U94" s="27"/>
      <c r="V94" s="27"/>
    </row>
    <row r="95" spans="2:22" ht="15.75" x14ac:dyDescent="0.25">
      <c r="B95" s="35" t="s">
        <v>133</v>
      </c>
      <c r="D95" s="131">
        <f>+D44+D43+D38+D37+D26+D25+D18</f>
        <v>210637148</v>
      </c>
      <c r="E95" s="131">
        <f>+E44+E43+E38+E37+E26+E25+E18</f>
        <v>-9763297</v>
      </c>
      <c r="F95" s="131"/>
      <c r="G95" s="131"/>
      <c r="H95" s="131"/>
      <c r="I95" s="131"/>
      <c r="J95" s="131"/>
      <c r="K95" s="131"/>
      <c r="L95" s="131">
        <f>+L44+L43+L38+L37+L26+L25+L18</f>
        <v>-27929827</v>
      </c>
      <c r="M95" s="131"/>
      <c r="N95" s="131"/>
      <c r="O95" s="131"/>
      <c r="P95" s="131"/>
      <c r="Q95" s="131"/>
      <c r="R95" s="27"/>
      <c r="S95" s="27"/>
      <c r="T95" s="27"/>
      <c r="U95" s="27"/>
      <c r="V95" s="27"/>
    </row>
    <row r="96" spans="2:22" ht="15.75" x14ac:dyDescent="0.25">
      <c r="B96" s="35" t="s">
        <v>189</v>
      </c>
      <c r="D96" s="131">
        <f>+D46+D28+D27+D20+D19</f>
        <v>3807950</v>
      </c>
      <c r="E96" s="131">
        <f>+E46+E28+E27+E20+E19</f>
        <v>83647586.169517606</v>
      </c>
      <c r="F96" s="132"/>
      <c r="G96" s="132"/>
      <c r="H96" s="132"/>
      <c r="I96" s="131"/>
      <c r="J96" s="131"/>
      <c r="K96" s="132"/>
      <c r="L96" s="131">
        <f>+L46+L28+L27+L20+L19</f>
        <v>12598569</v>
      </c>
      <c r="M96" s="132"/>
      <c r="N96" s="132"/>
      <c r="O96" s="132"/>
      <c r="P96" s="132"/>
      <c r="Q96" s="132"/>
      <c r="R96" s="22">
        <v>66000000</v>
      </c>
    </row>
    <row r="97" spans="2:256" ht="15.75" x14ac:dyDescent="0.25">
      <c r="B97" s="35" t="s">
        <v>188</v>
      </c>
      <c r="D97" s="131">
        <f>+D41+D36+D35+D17</f>
        <v>3871348</v>
      </c>
      <c r="E97" s="131">
        <f>+E41+E36+E35+E17</f>
        <v>-32554283</v>
      </c>
      <c r="F97" s="132"/>
      <c r="G97" s="132"/>
      <c r="H97" s="132"/>
      <c r="I97" s="131"/>
      <c r="J97" s="131"/>
      <c r="K97" s="132"/>
      <c r="L97" s="131">
        <f>+L41+L36+L35+L17</f>
        <v>20730417</v>
      </c>
      <c r="M97" s="132"/>
      <c r="N97" s="132"/>
      <c r="O97" s="132"/>
      <c r="P97" s="132"/>
      <c r="Q97" s="132"/>
    </row>
    <row r="98" spans="2:256" ht="15.75" x14ac:dyDescent="0.25">
      <c r="B98" s="35" t="s">
        <v>194</v>
      </c>
      <c r="D98" s="131">
        <f>+D45</f>
        <v>0</v>
      </c>
      <c r="E98" s="131">
        <f>+E45</f>
        <v>0</v>
      </c>
      <c r="F98" s="132"/>
      <c r="G98" s="132"/>
      <c r="H98" s="132"/>
      <c r="I98" s="131"/>
      <c r="J98" s="131"/>
      <c r="K98" s="132"/>
      <c r="L98" s="131">
        <f>+L45</f>
        <v>87209</v>
      </c>
      <c r="M98" s="132"/>
      <c r="N98" s="132"/>
      <c r="O98" s="132"/>
      <c r="P98" s="132"/>
      <c r="Q98" s="132"/>
    </row>
    <row r="99" spans="2:256" ht="15.75" x14ac:dyDescent="0.25">
      <c r="B99" s="35" t="s">
        <v>134</v>
      </c>
      <c r="D99" s="440">
        <f>+D24</f>
        <v>0</v>
      </c>
      <c r="E99" s="440">
        <f>+E24</f>
        <v>324630</v>
      </c>
      <c r="F99" s="441"/>
      <c r="G99" s="441"/>
      <c r="H99" s="441"/>
      <c r="I99" s="440"/>
      <c r="J99" s="440"/>
      <c r="K99" s="441"/>
      <c r="L99" s="440">
        <f>+L24</f>
        <v>0</v>
      </c>
      <c r="M99" s="132"/>
      <c r="N99" s="132"/>
      <c r="O99" s="132"/>
      <c r="P99" s="132"/>
      <c r="Q99" s="132"/>
    </row>
    <row r="100" spans="2:256" x14ac:dyDescent="0.2">
      <c r="I100" s="90"/>
      <c r="J100" s="90"/>
    </row>
    <row r="101" spans="2:256" ht="16.5" thickBot="1" x14ac:dyDescent="0.3">
      <c r="D101" s="127">
        <f>SUM(D95:D100)</f>
        <v>218316446</v>
      </c>
      <c r="E101" s="127">
        <f>SUM(E95:E100)</f>
        <v>41654636.169517606</v>
      </c>
      <c r="F101" s="52"/>
      <c r="G101" s="52"/>
      <c r="H101" s="52"/>
      <c r="I101" s="127"/>
      <c r="J101" s="127"/>
      <c r="K101" s="52"/>
      <c r="L101" s="127">
        <f>SUM(L95:L100)</f>
        <v>5486368</v>
      </c>
      <c r="Q101" s="10">
        <f>SUM(D101:L101)</f>
        <v>265457450.16951761</v>
      </c>
      <c r="IV101" s="90"/>
    </row>
    <row r="102" spans="2:256" ht="15.75" thickTop="1" x14ac:dyDescent="0.2">
      <c r="I102" s="90"/>
      <c r="J102" s="90"/>
    </row>
    <row r="103" spans="2:256" x14ac:dyDescent="0.2">
      <c r="I103" s="90"/>
      <c r="J103" s="90"/>
    </row>
    <row r="104" spans="2:256" x14ac:dyDescent="0.2">
      <c r="I104" s="90"/>
      <c r="J104" s="90"/>
    </row>
    <row r="105" spans="2:256" x14ac:dyDescent="0.2">
      <c r="I105" s="90"/>
      <c r="J105" s="90"/>
    </row>
    <row r="106" spans="2:256" x14ac:dyDescent="0.2">
      <c r="I106" s="90"/>
      <c r="J106" s="90"/>
    </row>
    <row r="107" spans="2:256" x14ac:dyDescent="0.2">
      <c r="I107" s="90"/>
      <c r="J107" s="90"/>
    </row>
    <row r="108" spans="2:256" x14ac:dyDescent="0.2">
      <c r="I108" s="90"/>
      <c r="J108" s="90"/>
    </row>
    <row r="109" spans="2:256" x14ac:dyDescent="0.2">
      <c r="I109" s="90"/>
      <c r="J109" s="90"/>
    </row>
    <row r="110" spans="2:256" x14ac:dyDescent="0.2">
      <c r="I110" s="90"/>
      <c r="J110" s="90"/>
    </row>
    <row r="111" spans="2:256" x14ac:dyDescent="0.2">
      <c r="I111" s="90"/>
      <c r="J111" s="90"/>
    </row>
    <row r="112" spans="2:256" x14ac:dyDescent="0.2">
      <c r="I112" s="90"/>
      <c r="J112" s="90"/>
    </row>
    <row r="113" spans="9:10" x14ac:dyDescent="0.2">
      <c r="I113" s="90"/>
      <c r="J113" s="90"/>
    </row>
    <row r="114" spans="9:10" x14ac:dyDescent="0.2">
      <c r="I114" s="90"/>
      <c r="J114" s="90"/>
    </row>
    <row r="115" spans="9:10" x14ac:dyDescent="0.2">
      <c r="I115" s="90"/>
      <c r="J115" s="90"/>
    </row>
    <row r="116" spans="9:10" x14ac:dyDescent="0.2">
      <c r="I116" s="90"/>
      <c r="J116" s="90"/>
    </row>
    <row r="117" spans="9:10" x14ac:dyDescent="0.2">
      <c r="I117" s="90"/>
      <c r="J117" s="90"/>
    </row>
    <row r="118" spans="9:10" x14ac:dyDescent="0.2">
      <c r="I118" s="90"/>
      <c r="J118" s="90"/>
    </row>
    <row r="119" spans="9:10" x14ac:dyDescent="0.2">
      <c r="I119" s="90"/>
      <c r="J119" s="90"/>
    </row>
    <row r="120" spans="9:10" x14ac:dyDescent="0.2">
      <c r="I120" s="90"/>
      <c r="J120" s="90"/>
    </row>
    <row r="121" spans="9:10" x14ac:dyDescent="0.2">
      <c r="I121" s="90"/>
      <c r="J121" s="90"/>
    </row>
    <row r="122" spans="9:10" x14ac:dyDescent="0.2">
      <c r="I122" s="90"/>
      <c r="J122" s="90"/>
    </row>
    <row r="123" spans="9:10" x14ac:dyDescent="0.2">
      <c r="I123" s="90"/>
      <c r="J123" s="90"/>
    </row>
    <row r="124" spans="9:10" x14ac:dyDescent="0.2">
      <c r="I124" s="90"/>
      <c r="J124" s="90"/>
    </row>
    <row r="125" spans="9:10" x14ac:dyDescent="0.2">
      <c r="I125" s="90"/>
      <c r="J125" s="90"/>
    </row>
    <row r="126" spans="9:10" x14ac:dyDescent="0.2">
      <c r="I126" s="90"/>
      <c r="J126" s="90"/>
    </row>
    <row r="127" spans="9:10" x14ac:dyDescent="0.2">
      <c r="I127" s="90"/>
      <c r="J127" s="90"/>
    </row>
    <row r="128" spans="9:10" x14ac:dyDescent="0.2">
      <c r="I128" s="90"/>
      <c r="J128" s="90"/>
    </row>
    <row r="129" spans="9:10" x14ac:dyDescent="0.2">
      <c r="I129" s="90"/>
      <c r="J129" s="90"/>
    </row>
    <row r="130" spans="9:10" x14ac:dyDescent="0.2">
      <c r="I130" s="90"/>
      <c r="J130" s="90"/>
    </row>
    <row r="131" spans="9:10" x14ac:dyDescent="0.2">
      <c r="I131" s="90"/>
      <c r="J131" s="90"/>
    </row>
    <row r="132" spans="9:10" x14ac:dyDescent="0.2">
      <c r="I132" s="90"/>
      <c r="J132" s="90"/>
    </row>
    <row r="133" spans="9:10" x14ac:dyDescent="0.2">
      <c r="I133" s="90"/>
      <c r="J133" s="90"/>
    </row>
    <row r="134" spans="9:10" x14ac:dyDescent="0.2">
      <c r="I134" s="27"/>
      <c r="J134" s="27"/>
    </row>
    <row r="136" spans="9:10" x14ac:dyDescent="0.2">
      <c r="I136" s="27"/>
      <c r="J136" s="27"/>
    </row>
  </sheetData>
  <mergeCells count="3">
    <mergeCell ref="F4:H4"/>
    <mergeCell ref="I4:K4"/>
    <mergeCell ref="N4:P4"/>
  </mergeCells>
  <phoneticPr fontId="0" type="noConversion"/>
  <pageMargins left="0.27" right="0.25" top="0.62" bottom="0.53" header="0.27" footer="0.5"/>
  <pageSetup scale="47" orientation="landscape" r:id="rId1"/>
  <headerFooter alignWithMargins="0">
    <oddHeader>&amp;C&amp;"Arial,Bold"&amp;16HIGHLY CONFIDENTIAL</oddHeader>
    <oddFooter>&amp;L&amp;D&amp;T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zoomScale="75" workbookViewId="0">
      <pane xSplit="3" ySplit="6" topLeftCell="D7" activePane="bottomRight" state="frozen"/>
      <selection activeCell="S13" sqref="S13"/>
      <selection pane="topRight" activeCell="S13" sqref="S13"/>
      <selection pane="bottomLeft" activeCell="S13" sqref="S13"/>
      <selection pane="bottomRight" activeCell="S13" sqref="S13"/>
    </sheetView>
  </sheetViews>
  <sheetFormatPr defaultRowHeight="12.75" x14ac:dyDescent="0.2"/>
  <cols>
    <col min="1" max="1" width="40.85546875" customWidth="1"/>
    <col min="2" max="2" width="23" customWidth="1"/>
    <col min="3" max="3" width="16.28515625" hidden="1" customWidth="1"/>
    <col min="4" max="4" width="19" customWidth="1"/>
    <col min="5" max="5" width="19.140625" customWidth="1"/>
    <col min="6" max="6" width="19.85546875" hidden="1" customWidth="1"/>
    <col min="7" max="7" width="19.28515625" hidden="1" customWidth="1"/>
    <col min="8" max="9" width="16.28515625" hidden="1" customWidth="1"/>
    <col min="10" max="10" width="19" hidden="1" customWidth="1"/>
    <col min="11" max="11" width="16.28515625" hidden="1" customWidth="1"/>
    <col min="12" max="12" width="23.5703125" customWidth="1"/>
    <col min="13" max="13" width="16.28515625" style="291" hidden="1" customWidth="1"/>
    <col min="14" max="14" width="17.28515625" style="424" hidden="1" customWidth="1"/>
    <col min="15" max="16" width="16.28515625" style="424" hidden="1" customWidth="1"/>
    <col min="17" max="17" width="16.28515625" customWidth="1"/>
    <col min="18" max="18" width="18.7109375" bestFit="1" customWidth="1"/>
    <col min="19" max="19" width="50.140625" customWidth="1"/>
    <col min="20" max="20" width="6" customWidth="1"/>
    <col min="21" max="21" width="22.140625" customWidth="1"/>
    <col min="22" max="22" width="25.5703125" customWidth="1"/>
    <col min="23" max="23" width="15.140625" bestFit="1" customWidth="1"/>
  </cols>
  <sheetData>
    <row r="1" spans="1:22" ht="20.25" x14ac:dyDescent="0.3">
      <c r="A1" s="17" t="s">
        <v>74</v>
      </c>
    </row>
    <row r="2" spans="1:22" ht="18" x14ac:dyDescent="0.25">
      <c r="A2" s="16" t="s">
        <v>162</v>
      </c>
      <c r="B2" s="15">
        <f>+'PG&amp;E Corp. '!B2</f>
        <v>36980</v>
      </c>
      <c r="C2" s="15"/>
    </row>
    <row r="3" spans="1:22" s="1" customFormat="1" ht="15.75" x14ac:dyDescent="0.25">
      <c r="F3" s="453" t="s">
        <v>165</v>
      </c>
      <c r="G3" s="453"/>
      <c r="H3" s="453"/>
      <c r="I3" s="453" t="s">
        <v>182</v>
      </c>
      <c r="J3" s="453"/>
      <c r="K3" s="453"/>
      <c r="L3" s="19" t="s">
        <v>224</v>
      </c>
      <c r="M3" s="292"/>
      <c r="N3" s="454" t="s">
        <v>182</v>
      </c>
      <c r="O3" s="454"/>
      <c r="P3" s="454"/>
      <c r="T3" s="2"/>
      <c r="U3" s="3"/>
    </row>
    <row r="4" spans="1:22" s="19" customFormat="1" ht="15.75" x14ac:dyDescent="0.25">
      <c r="A4" s="18"/>
      <c r="B4" s="18"/>
      <c r="C4" s="18"/>
      <c r="D4" s="18" t="s">
        <v>7</v>
      </c>
      <c r="E4" s="18" t="s">
        <v>8</v>
      </c>
      <c r="F4" s="18" t="s">
        <v>9</v>
      </c>
      <c r="G4" s="18" t="s">
        <v>10</v>
      </c>
      <c r="H4" s="18" t="s">
        <v>158</v>
      </c>
      <c r="I4" s="18" t="s">
        <v>9</v>
      </c>
      <c r="J4" s="18" t="s">
        <v>10</v>
      </c>
      <c r="K4" s="18" t="s">
        <v>225</v>
      </c>
      <c r="L4" s="19" t="s">
        <v>155</v>
      </c>
      <c r="M4" s="285" t="s">
        <v>22</v>
      </c>
      <c r="N4" s="417" t="s">
        <v>9</v>
      </c>
      <c r="O4" s="417" t="s">
        <v>10</v>
      </c>
      <c r="P4" s="417" t="s">
        <v>158</v>
      </c>
      <c r="Q4" s="18" t="s">
        <v>11</v>
      </c>
      <c r="R4" s="18" t="s">
        <v>12</v>
      </c>
      <c r="T4" s="18"/>
      <c r="U4" s="36"/>
    </row>
    <row r="5" spans="1:22" s="19" customFormat="1" ht="15.75" x14ac:dyDescent="0.25">
      <c r="A5" s="20" t="s">
        <v>13</v>
      </c>
      <c r="B5" s="20" t="s">
        <v>14</v>
      </c>
      <c r="C5" s="20" t="s">
        <v>137</v>
      </c>
      <c r="D5" s="18" t="s">
        <v>15</v>
      </c>
      <c r="E5" s="18" t="s">
        <v>15</v>
      </c>
      <c r="F5" s="18" t="s">
        <v>16</v>
      </c>
      <c r="G5" s="18" t="s">
        <v>17</v>
      </c>
      <c r="H5" s="18" t="s">
        <v>18</v>
      </c>
      <c r="I5" s="18" t="s">
        <v>16</v>
      </c>
      <c r="J5" s="18" t="s">
        <v>17</v>
      </c>
      <c r="K5" s="18" t="s">
        <v>18</v>
      </c>
      <c r="L5" s="18" t="s">
        <v>18</v>
      </c>
      <c r="M5" s="285" t="s">
        <v>23</v>
      </c>
      <c r="N5" s="417" t="s">
        <v>16</v>
      </c>
      <c r="O5" s="417" t="s">
        <v>17</v>
      </c>
      <c r="P5" s="417" t="s">
        <v>18</v>
      </c>
      <c r="Q5" s="18" t="s">
        <v>19</v>
      </c>
      <c r="R5" s="18" t="s">
        <v>20</v>
      </c>
      <c r="T5" s="18"/>
      <c r="U5" s="36"/>
    </row>
    <row r="6" spans="1:22" s="22" customFormat="1" ht="15.75" thickBo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86"/>
      <c r="N6" s="418"/>
      <c r="O6" s="418"/>
      <c r="P6" s="418"/>
      <c r="Q6" s="21"/>
    </row>
    <row r="7" spans="1:22" s="41" customFormat="1" ht="43.5" customHeight="1" x14ac:dyDescent="0.2">
      <c r="A7" s="332" t="s">
        <v>34</v>
      </c>
      <c r="B7" s="333" t="s">
        <v>90</v>
      </c>
      <c r="C7" s="334" t="s">
        <v>133</v>
      </c>
      <c r="D7" s="335">
        <v>0</v>
      </c>
      <c r="E7" s="335">
        <v>-76379872</v>
      </c>
      <c r="F7" s="335">
        <v>0</v>
      </c>
      <c r="G7" s="335">
        <v>0</v>
      </c>
      <c r="H7" s="335">
        <f>+SUM(F7:G7)</f>
        <v>0</v>
      </c>
      <c r="I7" s="335">
        <f>1344000+1152000</f>
        <v>2496000</v>
      </c>
      <c r="J7" s="335">
        <v>0</v>
      </c>
      <c r="K7" s="335">
        <f>+SUM(I7:J7)</f>
        <v>2496000</v>
      </c>
      <c r="L7" s="335">
        <f>+K7+H7</f>
        <v>2496000</v>
      </c>
      <c r="M7" s="335">
        <v>-43530494</v>
      </c>
      <c r="N7" s="425">
        <v>1200000</v>
      </c>
      <c r="O7" s="425">
        <v>0</v>
      </c>
      <c r="P7" s="425">
        <f>+SUM(N7:O7)</f>
        <v>1200000</v>
      </c>
      <c r="Q7" s="335">
        <v>0</v>
      </c>
      <c r="R7" s="336">
        <f>+L7+E7</f>
        <v>-73883872</v>
      </c>
      <c r="S7" s="337" t="s">
        <v>35</v>
      </c>
      <c r="T7" s="338"/>
      <c r="U7" s="40"/>
    </row>
    <row r="8" spans="1:22" s="409" customFormat="1" ht="72.75" customHeight="1" x14ac:dyDescent="0.2">
      <c r="A8" s="402" t="s">
        <v>34</v>
      </c>
      <c r="B8" s="403" t="s">
        <v>76</v>
      </c>
      <c r="C8" s="403" t="s">
        <v>136</v>
      </c>
      <c r="D8" s="404">
        <v>0</v>
      </c>
      <c r="E8" s="404">
        <v>0</v>
      </c>
      <c r="F8" s="404">
        <v>50379149</v>
      </c>
      <c r="G8" s="404">
        <v>0</v>
      </c>
      <c r="H8" s="405">
        <f>+SUM(F8:G8)</f>
        <v>50379149</v>
      </c>
      <c r="I8" s="406">
        <v>0</v>
      </c>
      <c r="J8" s="406">
        <v>0</v>
      </c>
      <c r="K8" s="405">
        <f>+SUM(I8:J8)</f>
        <v>0</v>
      </c>
      <c r="L8" s="404">
        <f>+K8+H8</f>
        <v>50379149</v>
      </c>
      <c r="M8" s="406"/>
      <c r="N8" s="406">
        <v>0</v>
      </c>
      <c r="O8" s="406">
        <v>0</v>
      </c>
      <c r="P8" s="405">
        <f>+SUM(N8:O8)</f>
        <v>0</v>
      </c>
      <c r="Q8" s="404">
        <f>+L8+E8</f>
        <v>50379149</v>
      </c>
      <c r="R8" s="407">
        <v>0</v>
      </c>
      <c r="S8" s="410" t="s">
        <v>178</v>
      </c>
      <c r="T8" s="408"/>
      <c r="U8" s="410" t="s">
        <v>177</v>
      </c>
    </row>
    <row r="9" spans="1:22" s="41" customFormat="1" ht="47.25" x14ac:dyDescent="0.2">
      <c r="A9" s="193" t="s">
        <v>34</v>
      </c>
      <c r="B9" s="163" t="s">
        <v>113</v>
      </c>
      <c r="C9" s="163" t="s">
        <v>113</v>
      </c>
      <c r="D9" s="85">
        <v>0</v>
      </c>
      <c r="E9" s="414">
        <v>0</v>
      </c>
      <c r="F9" s="85">
        <v>84000000</v>
      </c>
      <c r="G9" s="85">
        <v>0</v>
      </c>
      <c r="H9" s="207">
        <f>+SUM(F9:G9)</f>
        <v>84000000</v>
      </c>
      <c r="I9" s="202">
        <v>0</v>
      </c>
      <c r="J9" s="202">
        <v>0</v>
      </c>
      <c r="K9" s="207">
        <f>+SUM(I9:J9)</f>
        <v>0</v>
      </c>
      <c r="L9" s="85">
        <f>+K9+H9</f>
        <v>84000000</v>
      </c>
      <c r="M9" s="202"/>
      <c r="N9" s="406">
        <v>0</v>
      </c>
      <c r="O9" s="406">
        <v>0</v>
      </c>
      <c r="P9" s="405">
        <f>+SUM(N9:O9)</f>
        <v>0</v>
      </c>
      <c r="Q9" s="85">
        <f>+L9+E9+D9</f>
        <v>84000000</v>
      </c>
      <c r="R9" s="415">
        <v>0</v>
      </c>
      <c r="S9" s="86" t="s">
        <v>228</v>
      </c>
      <c r="T9" s="203"/>
      <c r="U9" s="40"/>
    </row>
    <row r="10" spans="1:22" s="41" customFormat="1" ht="47.25" x14ac:dyDescent="0.2">
      <c r="A10" s="193" t="s">
        <v>34</v>
      </c>
      <c r="B10" s="163" t="s">
        <v>26</v>
      </c>
      <c r="C10" s="163" t="s">
        <v>113</v>
      </c>
      <c r="D10" s="85">
        <v>0</v>
      </c>
      <c r="E10" s="85">
        <v>0</v>
      </c>
      <c r="F10" s="85">
        <v>56000000</v>
      </c>
      <c r="G10" s="85">
        <v>0</v>
      </c>
      <c r="H10" s="207">
        <f>+SUM(F10:G10)</f>
        <v>56000000</v>
      </c>
      <c r="I10" s="202">
        <v>0</v>
      </c>
      <c r="J10" s="202">
        <v>0</v>
      </c>
      <c r="K10" s="207">
        <f>+SUM(I10:J10)</f>
        <v>0</v>
      </c>
      <c r="L10" s="85">
        <f>+K10+H10</f>
        <v>56000000</v>
      </c>
      <c r="M10" s="202"/>
      <c r="N10" s="406">
        <v>0</v>
      </c>
      <c r="O10" s="406">
        <v>0</v>
      </c>
      <c r="P10" s="405">
        <f>+SUM(N10:O10)</f>
        <v>0</v>
      </c>
      <c r="Q10" s="85">
        <f>+L10+E10+D10</f>
        <v>56000000</v>
      </c>
      <c r="R10" s="415">
        <v>0</v>
      </c>
      <c r="S10" s="86" t="s">
        <v>229</v>
      </c>
      <c r="T10" s="203"/>
      <c r="U10" s="40"/>
    </row>
    <row r="11" spans="1:22" s="41" customFormat="1" ht="63" customHeight="1" thickBot="1" x14ac:dyDescent="0.25">
      <c r="A11" s="195" t="s">
        <v>34</v>
      </c>
      <c r="B11" s="165" t="s">
        <v>93</v>
      </c>
      <c r="C11" s="163" t="s">
        <v>138</v>
      </c>
      <c r="D11" s="166">
        <v>0</v>
      </c>
      <c r="E11" s="166">
        <v>20190000</v>
      </c>
      <c r="F11" s="166">
        <f>4240934.11+(213807.42*31)</f>
        <v>10868964.130000001</v>
      </c>
      <c r="G11" s="85">
        <v>0</v>
      </c>
      <c r="H11" s="207">
        <f>+SUM(F11:G11)</f>
        <v>10868964.130000001</v>
      </c>
      <c r="I11" s="202">
        <v>0</v>
      </c>
      <c r="J11" s="202">
        <v>0</v>
      </c>
      <c r="K11" s="207">
        <f>+SUM(I11:J11)</f>
        <v>0</v>
      </c>
      <c r="L11" s="166">
        <f>+K11+H11</f>
        <v>10868964.130000001</v>
      </c>
      <c r="M11" s="207"/>
      <c r="N11" s="406">
        <v>0</v>
      </c>
      <c r="O11" s="406">
        <v>0</v>
      </c>
      <c r="P11" s="405">
        <f>+SUM(N11:O11)</f>
        <v>0</v>
      </c>
      <c r="Q11" s="25">
        <f>+L11+E11</f>
        <v>31058964.130000003</v>
      </c>
      <c r="R11" s="25">
        <v>0</v>
      </c>
      <c r="S11" s="339" t="s">
        <v>215</v>
      </c>
      <c r="T11" s="203"/>
      <c r="U11" s="40"/>
    </row>
    <row r="12" spans="1:22" s="41" customFormat="1" ht="18.75" customHeight="1" thickTop="1" thickBot="1" x14ac:dyDescent="0.3">
      <c r="A12" s="204" t="s">
        <v>36</v>
      </c>
      <c r="B12" s="205"/>
      <c r="C12" s="205"/>
      <c r="D12" s="206"/>
      <c r="E12" s="206"/>
      <c r="F12" s="206"/>
      <c r="G12" s="206"/>
      <c r="H12" s="206"/>
      <c r="I12" s="207"/>
      <c r="J12" s="207"/>
      <c r="K12" s="206"/>
      <c r="L12" s="206"/>
      <c r="M12" s="207"/>
      <c r="N12" s="405"/>
      <c r="O12" s="405"/>
      <c r="P12" s="426"/>
      <c r="Q12" s="208">
        <f>SUM(Q7:Q11)</f>
        <v>221438113.13</v>
      </c>
      <c r="R12" s="208">
        <f>SUM(R7:R11)</f>
        <v>-73883872</v>
      </c>
      <c r="S12" s="42">
        <f>+R12+Q12</f>
        <v>147554241.13</v>
      </c>
      <c r="T12" s="203"/>
      <c r="U12" s="40"/>
    </row>
    <row r="13" spans="1:22" s="46" customFormat="1" ht="13.5" customHeight="1" thickTop="1" thickBot="1" x14ac:dyDescent="0.3">
      <c r="A13" s="182"/>
      <c r="B13" s="209"/>
      <c r="C13" s="209"/>
      <c r="D13" s="210"/>
      <c r="E13" s="210"/>
      <c r="F13" s="413"/>
      <c r="G13" s="210"/>
      <c r="H13" s="210"/>
      <c r="I13" s="211"/>
      <c r="J13" s="211"/>
      <c r="K13" s="210"/>
      <c r="L13" s="295"/>
      <c r="M13" s="296"/>
      <c r="N13" s="427"/>
      <c r="O13" s="427"/>
      <c r="P13" s="428"/>
      <c r="Q13" s="297"/>
      <c r="R13" s="212"/>
      <c r="S13" s="213"/>
      <c r="T13" s="214"/>
      <c r="U13" s="45"/>
    </row>
    <row r="14" spans="1:22" s="46" customFormat="1" ht="13.5" customHeight="1" x14ac:dyDescent="0.25">
      <c r="A14" s="215"/>
      <c r="B14" s="216"/>
      <c r="C14" s="216"/>
      <c r="D14" s="217"/>
      <c r="E14" s="217"/>
      <c r="F14" s="217"/>
      <c r="G14" s="217"/>
      <c r="H14" s="217"/>
      <c r="I14" s="218"/>
      <c r="J14" s="218"/>
      <c r="K14" s="217"/>
      <c r="L14" s="298"/>
      <c r="M14" s="299"/>
      <c r="N14" s="425"/>
      <c r="O14" s="425"/>
      <c r="P14" s="429"/>
      <c r="Q14" s="300"/>
      <c r="R14" s="219"/>
      <c r="S14" s="220"/>
      <c r="T14" s="221"/>
      <c r="U14" s="45"/>
    </row>
    <row r="15" spans="1:22" s="46" customFormat="1" ht="13.5" customHeight="1" x14ac:dyDescent="0.25">
      <c r="A15" s="181"/>
      <c r="B15" s="174"/>
      <c r="C15" s="174"/>
      <c r="D15" s="222"/>
      <c r="E15" s="222"/>
      <c r="F15" s="222"/>
      <c r="G15" s="222"/>
      <c r="H15" s="222"/>
      <c r="I15" s="32"/>
      <c r="J15" s="32"/>
      <c r="K15" s="222"/>
      <c r="L15" s="301"/>
      <c r="M15" s="302"/>
      <c r="N15" s="405"/>
      <c r="O15" s="405"/>
      <c r="P15" s="426"/>
      <c r="Q15" s="303"/>
      <c r="R15" s="223"/>
      <c r="S15" s="44"/>
      <c r="T15" s="224"/>
      <c r="U15" s="45"/>
    </row>
    <row r="16" spans="1:22" s="24" customFormat="1" ht="16.5" customHeight="1" x14ac:dyDescent="0.25">
      <c r="A16" s="191" t="s">
        <v>31</v>
      </c>
      <c r="B16" s="161" t="s">
        <v>94</v>
      </c>
      <c r="C16" s="158" t="s">
        <v>139</v>
      </c>
      <c r="D16" s="247">
        <v>0</v>
      </c>
      <c r="E16" s="247">
        <v>-110740</v>
      </c>
      <c r="F16" s="247">
        <v>0</v>
      </c>
      <c r="G16" s="247">
        <v>0</v>
      </c>
      <c r="H16" s="247">
        <f>+SUM(F16:G16)</f>
        <v>0</v>
      </c>
      <c r="I16" s="247">
        <v>0</v>
      </c>
      <c r="J16" s="247">
        <v>0</v>
      </c>
      <c r="K16" s="247">
        <f>+SUM(I16:J16)</f>
        <v>0</v>
      </c>
      <c r="L16" s="247">
        <f>+K16+H16</f>
        <v>0</v>
      </c>
      <c r="M16" s="247">
        <v>0</v>
      </c>
      <c r="N16" s="397">
        <v>0</v>
      </c>
      <c r="O16" s="397">
        <v>0</v>
      </c>
      <c r="P16" s="397">
        <f>+SUM(N16:O16)</f>
        <v>0</v>
      </c>
      <c r="Q16" s="247">
        <f>+L16+D16</f>
        <v>0</v>
      </c>
      <c r="R16" s="166">
        <f>+L16+E16</f>
        <v>-110740</v>
      </c>
      <c r="S16" s="162" t="s">
        <v>148</v>
      </c>
      <c r="T16" s="192"/>
      <c r="U16" s="23"/>
      <c r="V16" s="23"/>
    </row>
    <row r="17" spans="1:23" s="24" customFormat="1" ht="48" customHeight="1" x14ac:dyDescent="0.2">
      <c r="A17" s="319" t="s">
        <v>31</v>
      </c>
      <c r="B17" s="320" t="s">
        <v>95</v>
      </c>
      <c r="C17" s="313" t="s">
        <v>139</v>
      </c>
      <c r="D17" s="314">
        <v>0</v>
      </c>
      <c r="E17" s="314">
        <v>-8189082</v>
      </c>
      <c r="F17" s="314">
        <v>0</v>
      </c>
      <c r="G17" s="314">
        <v>0</v>
      </c>
      <c r="H17" s="314">
        <f>+SUM(F17:G17)</f>
        <v>0</v>
      </c>
      <c r="I17" s="314">
        <v>0</v>
      </c>
      <c r="J17" s="314">
        <v>0</v>
      </c>
      <c r="K17" s="314">
        <f>+SUM(I17:J17)</f>
        <v>0</v>
      </c>
      <c r="L17" s="314">
        <f>+H17</f>
        <v>0</v>
      </c>
      <c r="M17" s="314">
        <v>-4444817</v>
      </c>
      <c r="N17" s="430">
        <v>0</v>
      </c>
      <c r="O17" s="430">
        <v>0</v>
      </c>
      <c r="P17" s="430">
        <f>+SUM(N17:O17)</f>
        <v>0</v>
      </c>
      <c r="Q17" s="314">
        <v>0</v>
      </c>
      <c r="R17" s="166">
        <f>+L17+E17</f>
        <v>-8189082</v>
      </c>
      <c r="S17" s="393" t="s">
        <v>197</v>
      </c>
      <c r="T17" s="192" t="s">
        <v>121</v>
      </c>
      <c r="U17" s="23"/>
      <c r="V17" s="23"/>
    </row>
    <row r="18" spans="1:23" s="24" customFormat="1" ht="15.75" x14ac:dyDescent="0.25">
      <c r="A18" s="191" t="s">
        <v>32</v>
      </c>
      <c r="B18" s="161" t="s">
        <v>89</v>
      </c>
      <c r="C18" s="158" t="s">
        <v>133</v>
      </c>
      <c r="D18" s="247">
        <v>0</v>
      </c>
      <c r="E18" s="247">
        <v>0</v>
      </c>
      <c r="F18" s="247">
        <v>0</v>
      </c>
      <c r="G18" s="247">
        <v>0</v>
      </c>
      <c r="H18" s="247">
        <f>+SUM(F18:G18)</f>
        <v>0</v>
      </c>
      <c r="I18" s="247">
        <v>0</v>
      </c>
      <c r="J18" s="247">
        <v>0</v>
      </c>
      <c r="K18" s="247">
        <f>+SUM(I18:J18)</f>
        <v>0</v>
      </c>
      <c r="L18" s="247">
        <f>+K18+H18</f>
        <v>0</v>
      </c>
      <c r="M18" s="247">
        <v>11891006</v>
      </c>
      <c r="N18" s="397">
        <v>0</v>
      </c>
      <c r="O18" s="397">
        <v>0</v>
      </c>
      <c r="P18" s="397">
        <f>+SUM(N18:O18)</f>
        <v>0</v>
      </c>
      <c r="Q18" s="247">
        <f>+L18+E18</f>
        <v>0</v>
      </c>
      <c r="R18" s="162">
        <v>0</v>
      </c>
      <c r="S18" s="162"/>
      <c r="T18" s="192"/>
      <c r="U18" s="23"/>
      <c r="V18" s="23"/>
    </row>
    <row r="19" spans="1:23" s="401" customFormat="1" ht="15.75" x14ac:dyDescent="0.25">
      <c r="A19" s="394" t="s">
        <v>149</v>
      </c>
      <c r="B19" s="395" t="s">
        <v>94</v>
      </c>
      <c r="C19" s="396" t="s">
        <v>139</v>
      </c>
      <c r="D19" s="397">
        <v>-22863</v>
      </c>
      <c r="E19" s="397">
        <v>0</v>
      </c>
      <c r="F19" s="397">
        <v>0</v>
      </c>
      <c r="G19" s="397">
        <v>0</v>
      </c>
      <c r="H19" s="397">
        <f>+SUM(F19:G19)</f>
        <v>0</v>
      </c>
      <c r="I19" s="397">
        <v>0</v>
      </c>
      <c r="J19" s="397">
        <v>0</v>
      </c>
      <c r="K19" s="397">
        <f>+SUM(I19:J19)</f>
        <v>0</v>
      </c>
      <c r="L19" s="397">
        <f>+K19+H19</f>
        <v>0</v>
      </c>
      <c r="M19" s="397">
        <f>+L19+E19</f>
        <v>0</v>
      </c>
      <c r="N19" s="397">
        <v>0</v>
      </c>
      <c r="O19" s="397">
        <v>0</v>
      </c>
      <c r="P19" s="397">
        <f>+SUM(N19:O19)</f>
        <v>0</v>
      </c>
      <c r="Q19" s="397">
        <v>0</v>
      </c>
      <c r="R19" s="398">
        <f>+D19+L19</f>
        <v>-22863</v>
      </c>
      <c r="S19" s="398" t="s">
        <v>147</v>
      </c>
      <c r="T19" s="399"/>
      <c r="U19" s="400"/>
      <c r="V19" s="400"/>
    </row>
    <row r="20" spans="1:23" s="22" customFormat="1" ht="15" x14ac:dyDescent="0.2">
      <c r="A20" s="176"/>
      <c r="B20" s="171"/>
      <c r="C20" s="171"/>
      <c r="D20" s="156"/>
      <c r="E20" s="156"/>
      <c r="F20" s="156"/>
      <c r="G20" s="156"/>
      <c r="H20" s="156"/>
      <c r="I20" s="156"/>
      <c r="J20" s="156"/>
      <c r="K20" s="156"/>
      <c r="L20" s="156"/>
      <c r="M20" s="287"/>
      <c r="N20" s="411"/>
      <c r="O20" s="411"/>
      <c r="P20" s="411"/>
      <c r="Q20" s="156"/>
      <c r="R20" s="87"/>
      <c r="S20" s="87"/>
      <c r="T20" s="177"/>
      <c r="U20" s="27"/>
      <c r="V20" s="27"/>
    </row>
    <row r="21" spans="1:23" s="22" customFormat="1" ht="15" x14ac:dyDescent="0.2">
      <c r="A21" s="176"/>
      <c r="B21" s="171"/>
      <c r="C21" s="171"/>
      <c r="D21" s="156"/>
      <c r="E21" s="156"/>
      <c r="F21" s="156"/>
      <c r="G21" s="156"/>
      <c r="H21" s="156"/>
      <c r="I21" s="156"/>
      <c r="J21" s="156"/>
      <c r="K21" s="156"/>
      <c r="L21" s="156"/>
      <c r="M21" s="287"/>
      <c r="N21" s="411"/>
      <c r="O21" s="411"/>
      <c r="P21" s="411"/>
      <c r="Q21" s="156"/>
      <c r="R21" s="87"/>
      <c r="S21" s="87"/>
      <c r="T21" s="177"/>
      <c r="U21" s="27"/>
      <c r="V21" s="27"/>
    </row>
    <row r="22" spans="1:23" s="24" customFormat="1" ht="78.75" x14ac:dyDescent="0.25">
      <c r="A22" s="315" t="s">
        <v>96</v>
      </c>
      <c r="B22" s="313" t="s">
        <v>89</v>
      </c>
      <c r="C22" s="313" t="s">
        <v>133</v>
      </c>
      <c r="D22" s="314">
        <v>15783475</v>
      </c>
      <c r="E22" s="314">
        <v>0</v>
      </c>
      <c r="F22" s="314">
        <v>0</v>
      </c>
      <c r="G22" s="314">
        <v>0</v>
      </c>
      <c r="H22" s="314">
        <f>+SUM(F22:G22)</f>
        <v>0</v>
      </c>
      <c r="I22" s="314">
        <v>0</v>
      </c>
      <c r="J22" s="314">
        <v>0</v>
      </c>
      <c r="K22" s="314">
        <f>+SUM(I22:J22)</f>
        <v>0</v>
      </c>
      <c r="L22" s="314">
        <f>+K22+H22</f>
        <v>0</v>
      </c>
      <c r="M22" s="314">
        <v>0</v>
      </c>
      <c r="N22" s="430">
        <v>0</v>
      </c>
      <c r="O22" s="430">
        <v>0</v>
      </c>
      <c r="P22" s="430">
        <f>+SUM(N22:O22)</f>
        <v>0</v>
      </c>
      <c r="Q22" s="314">
        <f>+L22+E22+D22</f>
        <v>15783475</v>
      </c>
      <c r="R22" s="85">
        <v>0</v>
      </c>
      <c r="S22" s="330" t="s">
        <v>37</v>
      </c>
      <c r="T22" s="200"/>
    </row>
    <row r="23" spans="1:23" s="24" customFormat="1" ht="30" x14ac:dyDescent="0.2">
      <c r="A23" s="319" t="s">
        <v>97</v>
      </c>
      <c r="B23" s="320" t="s">
        <v>90</v>
      </c>
      <c r="C23" s="313" t="s">
        <v>133</v>
      </c>
      <c r="D23" s="314">
        <v>0</v>
      </c>
      <c r="E23" s="314">
        <v>-970062</v>
      </c>
      <c r="F23" s="314">
        <v>9734460</v>
      </c>
      <c r="G23" s="314">
        <v>-7167360</v>
      </c>
      <c r="H23" s="314">
        <f>+SUM(F23:G23)</f>
        <v>2567100</v>
      </c>
      <c r="I23" s="314">
        <f>2516215+13804960</f>
        <v>16321175</v>
      </c>
      <c r="J23" s="314">
        <f>-5816470-15361120</f>
        <v>-21177590</v>
      </c>
      <c r="K23" s="314">
        <f>+SUM(I23:J23)</f>
        <v>-4856415</v>
      </c>
      <c r="L23" s="314">
        <f>+K23+H23</f>
        <v>-2289315</v>
      </c>
      <c r="M23" s="314">
        <v>-11111175</v>
      </c>
      <c r="N23" s="430">
        <v>14468775</v>
      </c>
      <c r="O23" s="430">
        <v>-16120230</v>
      </c>
      <c r="P23" s="430">
        <f>+SUM(N23:O23)</f>
        <v>-1651455</v>
      </c>
      <c r="Q23" s="314">
        <f>+L23+E23</f>
        <v>-3259377</v>
      </c>
      <c r="R23" s="166">
        <v>0</v>
      </c>
      <c r="S23" s="331" t="s">
        <v>38</v>
      </c>
      <c r="T23" s="200"/>
    </row>
    <row r="24" spans="1:23" s="22" customFormat="1" ht="15.75" x14ac:dyDescent="0.25">
      <c r="A24" s="226"/>
      <c r="B24" s="171"/>
      <c r="C24" s="171"/>
      <c r="D24" s="156"/>
      <c r="E24" s="156"/>
      <c r="F24" s="156"/>
      <c r="G24" s="156"/>
      <c r="H24" s="156"/>
      <c r="I24" s="156"/>
      <c r="J24" s="156"/>
      <c r="K24" s="156"/>
      <c r="L24" s="156"/>
      <c r="M24" s="287"/>
      <c r="N24" s="411"/>
      <c r="O24" s="411"/>
      <c r="P24" s="411"/>
      <c r="S24" s="375"/>
      <c r="T24" s="225"/>
    </row>
    <row r="25" spans="1:23" s="22" customFormat="1" ht="16.5" thickBot="1" x14ac:dyDescent="0.3">
      <c r="A25" s="175" t="s">
        <v>125</v>
      </c>
      <c r="B25" s="171"/>
      <c r="C25" s="171"/>
      <c r="D25" s="156"/>
      <c r="E25" s="156"/>
      <c r="F25" s="156"/>
      <c r="G25" s="156"/>
      <c r="H25" s="156"/>
      <c r="I25" s="156"/>
      <c r="J25" s="156"/>
      <c r="K25" s="156"/>
      <c r="L25" s="156"/>
      <c r="M25" s="287"/>
      <c r="N25" s="411"/>
      <c r="O25" s="411"/>
      <c r="P25" s="411"/>
      <c r="Q25" s="50">
        <f>SUM(Q16:Q23)</f>
        <v>12524098</v>
      </c>
      <c r="R25" s="50">
        <f>SUM(R16:R23)</f>
        <v>-8322685</v>
      </c>
      <c r="S25" s="52"/>
      <c r="T25" s="225"/>
    </row>
    <row r="26" spans="1:23" s="22" customFormat="1" ht="16.5" thickTop="1" x14ac:dyDescent="0.25">
      <c r="A26" s="226" t="s">
        <v>126</v>
      </c>
      <c r="B26" s="171"/>
      <c r="C26" s="171"/>
      <c r="D26" s="156"/>
      <c r="E26" s="156"/>
      <c r="F26" s="156"/>
      <c r="G26" s="156"/>
      <c r="H26" s="156"/>
      <c r="I26" s="156"/>
      <c r="J26" s="156"/>
      <c r="K26" s="156"/>
      <c r="L26" s="156"/>
      <c r="M26" s="287"/>
      <c r="N26" s="411"/>
      <c r="O26" s="411"/>
      <c r="P26" s="411"/>
      <c r="Q26" s="51"/>
      <c r="R26" s="51"/>
      <c r="S26" s="68">
        <f>+Q25</f>
        <v>12524098</v>
      </c>
      <c r="T26" s="225"/>
      <c r="U26" s="27">
        <f>+SUM(R16:R23)</f>
        <v>-8322685</v>
      </c>
      <c r="V26" s="22" t="s">
        <v>127</v>
      </c>
      <c r="W26" s="27">
        <f>+S26+U26</f>
        <v>4201413</v>
      </c>
    </row>
    <row r="27" spans="1:23" s="22" customFormat="1" ht="15.75" x14ac:dyDescent="0.25">
      <c r="A27" s="376" t="s">
        <v>169</v>
      </c>
      <c r="B27" s="171"/>
      <c r="C27" s="171"/>
      <c r="D27" s="156"/>
      <c r="E27" s="156"/>
      <c r="F27" s="156"/>
      <c r="G27" s="156"/>
      <c r="H27" s="156"/>
      <c r="I27" s="156"/>
      <c r="J27" s="156"/>
      <c r="K27" s="156"/>
      <c r="L27" s="156"/>
      <c r="M27" s="287"/>
      <c r="N27" s="411"/>
      <c r="O27" s="411"/>
      <c r="P27" s="411"/>
      <c r="Q27" s="51"/>
      <c r="R27" s="51"/>
      <c r="S27" s="377">
        <f>+R25</f>
        <v>-8322685</v>
      </c>
      <c r="T27" s="225"/>
    </row>
    <row r="28" spans="1:23" s="22" customFormat="1" ht="16.5" thickBot="1" x14ac:dyDescent="0.3">
      <c r="A28" s="376" t="s">
        <v>168</v>
      </c>
      <c r="B28" s="171"/>
      <c r="C28" s="171"/>
      <c r="D28" s="156"/>
      <c r="E28" s="156"/>
      <c r="F28" s="156"/>
      <c r="G28" s="156"/>
      <c r="H28" s="156"/>
      <c r="I28" s="156"/>
      <c r="J28" s="156"/>
      <c r="K28" s="156"/>
      <c r="L28" s="156"/>
      <c r="M28" s="287"/>
      <c r="N28" s="411"/>
      <c r="O28" s="411"/>
      <c r="P28" s="411"/>
      <c r="Q28" s="51"/>
      <c r="R28" s="51"/>
      <c r="S28" s="68">
        <f>SUM(S26:S27)</f>
        <v>4201413</v>
      </c>
      <c r="T28" s="225"/>
    </row>
    <row r="29" spans="1:23" s="367" customFormat="1" ht="16.5" thickBot="1" x14ac:dyDescent="0.3">
      <c r="A29" s="361"/>
      <c r="B29" s="362"/>
      <c r="C29" s="362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419"/>
      <c r="O29" s="419"/>
      <c r="P29" s="419"/>
      <c r="Q29" s="364"/>
      <c r="R29" s="364"/>
      <c r="S29" s="365"/>
      <c r="T29" s="366"/>
    </row>
    <row r="30" spans="1:23" s="367" customFormat="1" ht="16.5" thickTop="1" x14ac:dyDescent="0.25">
      <c r="A30" s="368" t="s">
        <v>39</v>
      </c>
      <c r="B30" s="369"/>
      <c r="C30" s="369"/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411"/>
      <c r="O30" s="411"/>
      <c r="P30" s="411"/>
      <c r="Q30" s="380">
        <f>+Q25+Q12</f>
        <v>233962211.13</v>
      </c>
      <c r="R30" s="380">
        <f>+R25+R12</f>
        <v>-82206557</v>
      </c>
      <c r="S30" s="378"/>
      <c r="T30" s="371"/>
    </row>
    <row r="31" spans="1:23" s="378" customFormat="1" ht="15.75" x14ac:dyDescent="0.25">
      <c r="A31" s="384"/>
      <c r="N31" s="431"/>
      <c r="O31" s="431"/>
      <c r="P31" s="431"/>
      <c r="S31" s="379">
        <f>+S12+S26</f>
        <v>160078339.13</v>
      </c>
      <c r="T31" s="371"/>
      <c r="U31" s="381">
        <f>+Q30+R30</f>
        <v>151755654.13</v>
      </c>
      <c r="V31" s="378" t="s">
        <v>127</v>
      </c>
    </row>
    <row r="32" spans="1:23" s="367" customFormat="1" ht="15.75" x14ac:dyDescent="0.25">
      <c r="A32" s="385" t="s">
        <v>169</v>
      </c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  <c r="N32" s="431"/>
      <c r="O32" s="431"/>
      <c r="P32" s="431"/>
      <c r="Q32" s="378"/>
      <c r="R32" s="378"/>
      <c r="S32" s="382">
        <f>+S27</f>
        <v>-8322685</v>
      </c>
      <c r="T32" s="371"/>
      <c r="U32" s="374"/>
    </row>
    <row r="33" spans="1:21" s="367" customFormat="1" ht="16.5" thickBot="1" x14ac:dyDescent="0.3">
      <c r="A33" s="386" t="s">
        <v>170</v>
      </c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432"/>
      <c r="O33" s="432"/>
      <c r="P33" s="432"/>
      <c r="Q33" s="372"/>
      <c r="R33" s="372"/>
      <c r="S33" s="383">
        <f>SUM(S31:S32)</f>
        <v>151755654.13</v>
      </c>
      <c r="T33" s="373"/>
      <c r="U33" s="374"/>
    </row>
    <row r="34" spans="1:21" s="22" customFormat="1" ht="15" x14ac:dyDescent="0.2">
      <c r="A34" s="22" t="s">
        <v>122</v>
      </c>
      <c r="M34" s="283"/>
      <c r="N34" s="401"/>
      <c r="O34" s="401"/>
      <c r="P34" s="401"/>
    </row>
    <row r="35" spans="1:21" s="22" customFormat="1" ht="15" x14ac:dyDescent="0.2">
      <c r="A35" s="22" t="s">
        <v>166</v>
      </c>
      <c r="M35" s="283"/>
      <c r="N35" s="401"/>
      <c r="O35" s="401"/>
      <c r="P35" s="401"/>
    </row>
    <row r="36" spans="1:21" s="22" customFormat="1" ht="15" x14ac:dyDescent="0.2">
      <c r="M36" s="283"/>
      <c r="N36" s="401"/>
      <c r="O36" s="401"/>
      <c r="P36" s="401"/>
    </row>
    <row r="37" spans="1:21" s="22" customFormat="1" ht="15" x14ac:dyDescent="0.2">
      <c r="M37" s="283"/>
      <c r="N37" s="401"/>
      <c r="O37" s="401"/>
      <c r="P37" s="401"/>
    </row>
    <row r="38" spans="1:21" s="22" customFormat="1" ht="15" x14ac:dyDescent="0.2">
      <c r="M38" s="283"/>
      <c r="N38" s="401"/>
      <c r="O38" s="401"/>
      <c r="P38" s="401"/>
    </row>
    <row r="39" spans="1:21" s="22" customFormat="1" ht="15" x14ac:dyDescent="0.2">
      <c r="M39" s="283"/>
      <c r="N39" s="401"/>
      <c r="O39" s="401"/>
      <c r="P39" s="401"/>
      <c r="Q39" s="132"/>
      <c r="R39" s="132"/>
    </row>
    <row r="40" spans="1:21" s="22" customFormat="1" ht="15.75" x14ac:dyDescent="0.25">
      <c r="D40" s="27"/>
      <c r="E40" s="27"/>
      <c r="L40" s="35" t="s">
        <v>115</v>
      </c>
      <c r="M40" s="283"/>
      <c r="N40" s="401"/>
      <c r="O40" s="401"/>
      <c r="P40" s="401"/>
      <c r="Q40" s="131">
        <f>+Q25+Q12-Q11-Q10-Q9-Q8</f>
        <v>12524098</v>
      </c>
      <c r="R40" s="131">
        <f>+R25+R12-R11-R10-R9-R8</f>
        <v>-82206557</v>
      </c>
    </row>
    <row r="41" spans="1:21" s="22" customFormat="1" ht="15" x14ac:dyDescent="0.2">
      <c r="M41" s="283"/>
      <c r="N41" s="401"/>
      <c r="O41" s="401"/>
      <c r="P41" s="401"/>
      <c r="Q41" s="132"/>
      <c r="R41" s="132"/>
    </row>
    <row r="42" spans="1:21" s="22" customFormat="1" ht="15" x14ac:dyDescent="0.2">
      <c r="M42" s="283"/>
      <c r="N42" s="401"/>
      <c r="O42" s="401"/>
      <c r="P42" s="401"/>
    </row>
    <row r="43" spans="1:21" s="22" customFormat="1" ht="15" x14ac:dyDescent="0.2">
      <c r="M43" s="283"/>
      <c r="N43" s="401"/>
      <c r="O43" s="401"/>
      <c r="P43" s="401"/>
    </row>
    <row r="44" spans="1:21" s="22" customFormat="1" ht="15" x14ac:dyDescent="0.2">
      <c r="M44" s="283"/>
      <c r="N44" s="401"/>
      <c r="O44" s="401"/>
      <c r="P44" s="401"/>
    </row>
    <row r="45" spans="1:21" s="22" customFormat="1" ht="15" x14ac:dyDescent="0.2">
      <c r="M45" s="283"/>
      <c r="N45" s="401"/>
      <c r="O45" s="401"/>
      <c r="P45" s="401"/>
    </row>
    <row r="46" spans="1:21" s="22" customFormat="1" ht="15" x14ac:dyDescent="0.2">
      <c r="M46" s="283"/>
      <c r="N46" s="401"/>
      <c r="O46" s="401"/>
      <c r="P46" s="401"/>
    </row>
    <row r="47" spans="1:21" s="22" customFormat="1" ht="15" x14ac:dyDescent="0.2">
      <c r="M47" s="283"/>
      <c r="N47" s="401"/>
      <c r="O47" s="401"/>
      <c r="P47" s="401"/>
    </row>
    <row r="48" spans="1:21" s="22" customFormat="1" ht="15" x14ac:dyDescent="0.2">
      <c r="M48" s="283"/>
      <c r="N48" s="401"/>
      <c r="O48" s="401"/>
      <c r="P48" s="401"/>
    </row>
    <row r="49" spans="13:16" s="22" customFormat="1" ht="15" x14ac:dyDescent="0.2">
      <c r="M49" s="283"/>
      <c r="N49" s="401"/>
      <c r="O49" s="401"/>
      <c r="P49" s="401"/>
    </row>
    <row r="50" spans="13:16" s="22" customFormat="1" ht="15" x14ac:dyDescent="0.2">
      <c r="M50" s="283"/>
      <c r="N50" s="401"/>
      <c r="O50" s="401"/>
      <c r="P50" s="401"/>
    </row>
    <row r="51" spans="13:16" s="22" customFormat="1" ht="15" x14ac:dyDescent="0.2">
      <c r="M51" s="283"/>
      <c r="N51" s="401"/>
      <c r="O51" s="401"/>
      <c r="P51" s="401"/>
    </row>
    <row r="52" spans="13:16" s="22" customFormat="1" ht="15" x14ac:dyDescent="0.2">
      <c r="M52" s="283"/>
      <c r="N52" s="401"/>
      <c r="O52" s="401"/>
      <c r="P52" s="401"/>
    </row>
    <row r="53" spans="13:16" s="22" customFormat="1" ht="15" x14ac:dyDescent="0.2">
      <c r="M53" s="283"/>
      <c r="N53" s="401"/>
      <c r="O53" s="401"/>
      <c r="P53" s="401"/>
    </row>
    <row r="54" spans="13:16" s="22" customFormat="1" ht="15" x14ac:dyDescent="0.2">
      <c r="M54" s="283"/>
      <c r="N54" s="401"/>
      <c r="O54" s="401"/>
      <c r="P54" s="401"/>
    </row>
    <row r="55" spans="13:16" s="22" customFormat="1" ht="15" x14ac:dyDescent="0.2">
      <c r="M55" s="283"/>
      <c r="N55" s="401"/>
      <c r="O55" s="401"/>
      <c r="P55" s="401"/>
    </row>
    <row r="56" spans="13:16" s="22" customFormat="1" ht="15" x14ac:dyDescent="0.2">
      <c r="M56" s="283"/>
      <c r="N56" s="401"/>
      <c r="O56" s="401"/>
      <c r="P56" s="401"/>
    </row>
    <row r="57" spans="13:16" s="22" customFormat="1" ht="15" x14ac:dyDescent="0.2">
      <c r="M57" s="283"/>
      <c r="N57" s="401"/>
      <c r="O57" s="401"/>
      <c r="P57" s="401"/>
    </row>
    <row r="58" spans="13:16" s="22" customFormat="1" ht="15" x14ac:dyDescent="0.2">
      <c r="M58" s="283"/>
      <c r="N58" s="401"/>
      <c r="O58" s="401"/>
      <c r="P58" s="401"/>
    </row>
    <row r="59" spans="13:16" s="22" customFormat="1" ht="15" x14ac:dyDescent="0.2">
      <c r="M59" s="283"/>
      <c r="N59" s="401"/>
      <c r="O59" s="401"/>
      <c r="P59" s="401"/>
    </row>
    <row r="60" spans="13:16" s="22" customFormat="1" ht="15" x14ac:dyDescent="0.2">
      <c r="M60" s="283"/>
      <c r="N60" s="401"/>
      <c r="O60" s="401"/>
      <c r="P60" s="401"/>
    </row>
    <row r="61" spans="13:16" s="22" customFormat="1" ht="15" x14ac:dyDescent="0.2">
      <c r="M61" s="283"/>
      <c r="N61" s="401"/>
      <c r="O61" s="401"/>
      <c r="P61" s="401"/>
    </row>
    <row r="62" spans="13:16" s="22" customFormat="1" ht="15" x14ac:dyDescent="0.2">
      <c r="M62" s="283"/>
      <c r="N62" s="401"/>
      <c r="O62" s="401"/>
      <c r="P62" s="401"/>
    </row>
    <row r="63" spans="13:16" s="22" customFormat="1" ht="15" x14ac:dyDescent="0.2">
      <c r="M63" s="283"/>
      <c r="N63" s="401"/>
      <c r="O63" s="401"/>
      <c r="P63" s="401"/>
    </row>
    <row r="64" spans="13:16" s="22" customFormat="1" ht="15" x14ac:dyDescent="0.2">
      <c r="M64" s="283"/>
      <c r="N64" s="401"/>
      <c r="O64" s="401"/>
      <c r="P64" s="401"/>
    </row>
    <row r="65" spans="13:16" s="22" customFormat="1" ht="15" x14ac:dyDescent="0.2">
      <c r="M65" s="283"/>
      <c r="N65" s="401"/>
      <c r="O65" s="401"/>
      <c r="P65" s="401"/>
    </row>
    <row r="66" spans="13:16" s="22" customFormat="1" ht="15" x14ac:dyDescent="0.2">
      <c r="M66" s="283"/>
      <c r="N66" s="401"/>
      <c r="O66" s="401"/>
      <c r="P66" s="401"/>
    </row>
    <row r="67" spans="13:16" s="22" customFormat="1" ht="15" x14ac:dyDescent="0.2">
      <c r="M67" s="283"/>
      <c r="N67" s="401"/>
      <c r="O67" s="401"/>
      <c r="P67" s="401"/>
    </row>
    <row r="68" spans="13:16" s="22" customFormat="1" ht="15" x14ac:dyDescent="0.2">
      <c r="M68" s="283"/>
      <c r="N68" s="401"/>
      <c r="O68" s="401"/>
      <c r="P68" s="401"/>
    </row>
    <row r="69" spans="13:16" s="22" customFormat="1" ht="15" x14ac:dyDescent="0.2">
      <c r="M69" s="283"/>
      <c r="N69" s="401"/>
      <c r="O69" s="401"/>
      <c r="P69" s="401"/>
    </row>
    <row r="70" spans="13:16" s="22" customFormat="1" ht="15" x14ac:dyDescent="0.2">
      <c r="M70" s="283"/>
      <c r="N70" s="401"/>
      <c r="O70" s="401"/>
      <c r="P70" s="401"/>
    </row>
    <row r="71" spans="13:16" s="22" customFormat="1" ht="15" x14ac:dyDescent="0.2">
      <c r="M71" s="283"/>
      <c r="N71" s="401"/>
      <c r="O71" s="401"/>
      <c r="P71" s="401"/>
    </row>
    <row r="72" spans="13:16" s="22" customFormat="1" ht="15" x14ac:dyDescent="0.2">
      <c r="M72" s="283"/>
      <c r="N72" s="401"/>
      <c r="O72" s="401"/>
      <c r="P72" s="401"/>
    </row>
    <row r="73" spans="13:16" s="22" customFormat="1" ht="15" x14ac:dyDescent="0.2">
      <c r="M73" s="283"/>
      <c r="N73" s="401"/>
      <c r="O73" s="401"/>
      <c r="P73" s="401"/>
    </row>
    <row r="74" spans="13:16" s="22" customFormat="1" ht="15" x14ac:dyDescent="0.2">
      <c r="M74" s="283"/>
      <c r="N74" s="401"/>
      <c r="O74" s="401"/>
      <c r="P74" s="401"/>
    </row>
    <row r="75" spans="13:16" s="22" customFormat="1" ht="15" x14ac:dyDescent="0.2">
      <c r="M75" s="283"/>
      <c r="N75" s="401"/>
      <c r="O75" s="401"/>
      <c r="P75" s="401"/>
    </row>
    <row r="76" spans="13:16" s="22" customFormat="1" ht="15" x14ac:dyDescent="0.2">
      <c r="M76" s="283"/>
      <c r="N76" s="401"/>
      <c r="O76" s="401"/>
      <c r="P76" s="401"/>
    </row>
    <row r="77" spans="13:16" s="22" customFormat="1" ht="15" x14ac:dyDescent="0.2">
      <c r="M77" s="283"/>
      <c r="N77" s="401"/>
      <c r="O77" s="401"/>
      <c r="P77" s="401"/>
    </row>
    <row r="78" spans="13:16" s="22" customFormat="1" ht="15" x14ac:dyDescent="0.2">
      <c r="M78" s="283"/>
      <c r="N78" s="401"/>
      <c r="O78" s="401"/>
      <c r="P78" s="401"/>
    </row>
    <row r="79" spans="13:16" s="22" customFormat="1" ht="15" x14ac:dyDescent="0.2">
      <c r="M79" s="283"/>
      <c r="N79" s="401"/>
      <c r="O79" s="401"/>
      <c r="P79" s="401"/>
    </row>
    <row r="80" spans="13:16" s="22" customFormat="1" ht="15" x14ac:dyDescent="0.2">
      <c r="M80" s="283"/>
      <c r="N80" s="401"/>
      <c r="O80" s="401"/>
      <c r="P80" s="401"/>
    </row>
    <row r="81" spans="13:16" s="22" customFormat="1" ht="15" x14ac:dyDescent="0.2">
      <c r="M81" s="283"/>
      <c r="N81" s="401"/>
      <c r="O81" s="401"/>
      <c r="P81" s="401"/>
    </row>
    <row r="82" spans="13:16" s="22" customFormat="1" ht="15" x14ac:dyDescent="0.2">
      <c r="M82" s="283"/>
      <c r="N82" s="401"/>
      <c r="O82" s="401"/>
      <c r="P82" s="401"/>
    </row>
    <row r="83" spans="13:16" s="22" customFormat="1" ht="15" x14ac:dyDescent="0.2">
      <c r="M83" s="283"/>
      <c r="N83" s="401"/>
      <c r="O83" s="401"/>
      <c r="P83" s="401"/>
    </row>
    <row r="84" spans="13:16" s="22" customFormat="1" ht="15" x14ac:dyDescent="0.2">
      <c r="M84" s="283"/>
      <c r="N84" s="401"/>
      <c r="O84" s="401"/>
      <c r="P84" s="401"/>
    </row>
    <row r="85" spans="13:16" s="22" customFormat="1" ht="15" x14ac:dyDescent="0.2">
      <c r="M85" s="283"/>
      <c r="N85" s="401"/>
      <c r="O85" s="401"/>
      <c r="P85" s="401"/>
    </row>
    <row r="86" spans="13:16" s="22" customFormat="1" ht="15" x14ac:dyDescent="0.2">
      <c r="M86" s="283"/>
      <c r="N86" s="401"/>
      <c r="O86" s="401"/>
      <c r="P86" s="401"/>
    </row>
    <row r="87" spans="13:16" s="22" customFormat="1" ht="15" x14ac:dyDescent="0.2">
      <c r="M87" s="283"/>
      <c r="N87" s="401"/>
      <c r="O87" s="401"/>
      <c r="P87" s="401"/>
    </row>
    <row r="88" spans="13:16" s="22" customFormat="1" ht="15" x14ac:dyDescent="0.2">
      <c r="M88" s="283"/>
      <c r="N88" s="401"/>
      <c r="O88" s="401"/>
      <c r="P88" s="401"/>
    </row>
    <row r="89" spans="13:16" s="22" customFormat="1" ht="15" x14ac:dyDescent="0.2">
      <c r="M89" s="283"/>
      <c r="N89" s="401"/>
      <c r="O89" s="401"/>
      <c r="P89" s="401"/>
    </row>
    <row r="90" spans="13:16" s="22" customFormat="1" ht="15" x14ac:dyDescent="0.2">
      <c r="M90" s="283"/>
      <c r="N90" s="401"/>
      <c r="O90" s="401"/>
      <c r="P90" s="401"/>
    </row>
    <row r="91" spans="13:16" s="22" customFormat="1" ht="15" x14ac:dyDescent="0.2">
      <c r="M91" s="283"/>
      <c r="N91" s="401"/>
      <c r="O91" s="401"/>
      <c r="P91" s="401"/>
    </row>
    <row r="92" spans="13:16" s="22" customFormat="1" ht="15" x14ac:dyDescent="0.2">
      <c r="M92" s="283"/>
      <c r="N92" s="401"/>
      <c r="O92" s="401"/>
      <c r="P92" s="401"/>
    </row>
    <row r="93" spans="13:16" s="22" customFormat="1" ht="15" x14ac:dyDescent="0.2">
      <c r="M93" s="283"/>
      <c r="N93" s="401"/>
      <c r="O93" s="401"/>
      <c r="P93" s="401"/>
    </row>
    <row r="94" spans="13:16" s="22" customFormat="1" ht="15" x14ac:dyDescent="0.2">
      <c r="M94" s="283"/>
      <c r="N94" s="401"/>
      <c r="O94" s="401"/>
      <c r="P94" s="401"/>
    </row>
    <row r="95" spans="13:16" s="22" customFormat="1" ht="15" x14ac:dyDescent="0.2">
      <c r="M95" s="283"/>
      <c r="N95" s="401"/>
      <c r="O95" s="401"/>
      <c r="P95" s="401"/>
    </row>
  </sheetData>
  <mergeCells count="3">
    <mergeCell ref="F3:H3"/>
    <mergeCell ref="I3:K3"/>
    <mergeCell ref="N3:P3"/>
  </mergeCells>
  <phoneticPr fontId="0" type="noConversion"/>
  <pageMargins left="0.27" right="0.25" top="0.62" bottom="0.53" header="0.27" footer="0.5"/>
  <pageSetup scale="59" orientation="landscape" r:id="rId1"/>
  <headerFooter alignWithMargins="0">
    <oddHeader>&amp;C&amp;"Arial,Bold"&amp;16HIGHLY CONFIDENTIAL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W91"/>
  <sheetViews>
    <sheetView topLeftCell="E14" zoomScale="75" workbookViewId="0">
      <selection activeCell="S13" sqref="S13"/>
    </sheetView>
  </sheetViews>
  <sheetFormatPr defaultRowHeight="12.75" x14ac:dyDescent="0.2"/>
  <cols>
    <col min="1" max="1" width="45" customWidth="1"/>
    <col min="2" max="2" width="31" customWidth="1"/>
    <col min="3" max="3" width="18" hidden="1" customWidth="1"/>
    <col min="4" max="4" width="44.85546875" bestFit="1" customWidth="1"/>
    <col min="5" max="5" width="17.7109375" bestFit="1" customWidth="1"/>
    <col min="6" max="7" width="18.28515625" customWidth="1"/>
    <col min="8" max="8" width="6.85546875" customWidth="1"/>
    <col min="9" max="9" width="20.42578125" hidden="1" customWidth="1"/>
    <col min="10" max="10" width="26" customWidth="1"/>
    <col min="11" max="11" width="17.140625" customWidth="1"/>
    <col min="12" max="12" width="29.42578125" customWidth="1"/>
    <col min="13" max="13" width="17" customWidth="1"/>
    <col min="14" max="14" width="21.7109375" customWidth="1"/>
  </cols>
  <sheetData>
    <row r="1" spans="1:13" ht="20.25" x14ac:dyDescent="0.3">
      <c r="A1" s="17" t="s">
        <v>74</v>
      </c>
    </row>
    <row r="2" spans="1:13" ht="18" x14ac:dyDescent="0.25">
      <c r="A2" s="16" t="s">
        <v>162</v>
      </c>
      <c r="B2" s="15">
        <f>+'PG&amp;E Corp. '!B2</f>
        <v>36980</v>
      </c>
      <c r="C2" s="15"/>
    </row>
    <row r="3" spans="1:13" s="22" customFormat="1" ht="15" x14ac:dyDescent="0.2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3" s="22" customFormat="1" ht="15.75" x14ac:dyDescent="0.25">
      <c r="A4" s="27"/>
      <c r="B4" s="27"/>
      <c r="C4" s="27"/>
      <c r="D4" s="18"/>
      <c r="E4" s="18"/>
      <c r="F4" s="18" t="s">
        <v>40</v>
      </c>
      <c r="G4" s="18" t="s">
        <v>41</v>
      </c>
      <c r="J4" s="18" t="s">
        <v>11</v>
      </c>
      <c r="K4" s="18" t="s">
        <v>54</v>
      </c>
      <c r="L4" s="34"/>
      <c r="M4" s="53" t="s">
        <v>56</v>
      </c>
    </row>
    <row r="5" spans="1:13" s="22" customFormat="1" ht="15.75" x14ac:dyDescent="0.25">
      <c r="A5" s="30" t="s">
        <v>13</v>
      </c>
      <c r="B5" s="30" t="s">
        <v>14</v>
      </c>
      <c r="C5" s="30" t="s">
        <v>137</v>
      </c>
      <c r="D5" s="54" t="s">
        <v>42</v>
      </c>
      <c r="E5" s="18"/>
      <c r="F5" s="18" t="s">
        <v>43</v>
      </c>
      <c r="G5" s="18" t="s">
        <v>44</v>
      </c>
      <c r="J5" s="18" t="s">
        <v>19</v>
      </c>
      <c r="K5" s="18" t="s">
        <v>20</v>
      </c>
      <c r="L5" s="55"/>
      <c r="M5" s="56" t="s">
        <v>57</v>
      </c>
    </row>
    <row r="6" spans="1:13" s="22" customFormat="1" ht="15.75" x14ac:dyDescent="0.25">
      <c r="A6" s="30"/>
      <c r="B6" s="30"/>
      <c r="C6" s="30"/>
      <c r="D6" s="54"/>
      <c r="E6" s="18"/>
      <c r="F6" s="18"/>
      <c r="G6" s="18"/>
      <c r="J6" s="18"/>
      <c r="K6" s="18"/>
      <c r="L6" s="55"/>
      <c r="M6" s="56"/>
    </row>
    <row r="7" spans="1:13" s="48" customFormat="1" ht="15.75" x14ac:dyDescent="0.25">
      <c r="A7" s="29" t="s">
        <v>45</v>
      </c>
      <c r="B7" s="28" t="s">
        <v>1</v>
      </c>
      <c r="C7" s="142" t="s">
        <v>133</v>
      </c>
      <c r="D7" s="250" t="s">
        <v>204</v>
      </c>
      <c r="E7" s="251"/>
      <c r="F7" s="252">
        <v>41504394</v>
      </c>
      <c r="G7" s="253"/>
      <c r="J7" s="29">
        <f>+F7</f>
        <v>41504394</v>
      </c>
      <c r="K7" s="251"/>
      <c r="L7" s="254"/>
      <c r="M7" s="255">
        <v>36924</v>
      </c>
    </row>
    <row r="8" spans="1:13" s="22" customFormat="1" ht="15.75" x14ac:dyDescent="0.25">
      <c r="A8" s="27" t="s">
        <v>45</v>
      </c>
      <c r="B8" s="21" t="s">
        <v>1</v>
      </c>
      <c r="C8" s="30" t="s">
        <v>133</v>
      </c>
      <c r="D8" s="57" t="s">
        <v>205</v>
      </c>
      <c r="E8" s="47"/>
      <c r="F8" s="58"/>
      <c r="G8" s="59">
        <v>0</v>
      </c>
      <c r="J8" s="27"/>
      <c r="K8" s="58">
        <f>+G8</f>
        <v>0</v>
      </c>
      <c r="L8" s="34"/>
      <c r="M8" s="61">
        <v>36955</v>
      </c>
    </row>
    <row r="9" spans="1:13" s="22" customFormat="1" ht="15.75" x14ac:dyDescent="0.25">
      <c r="A9" s="27" t="s">
        <v>45</v>
      </c>
      <c r="B9" s="21" t="s">
        <v>1</v>
      </c>
      <c r="C9" s="30"/>
      <c r="D9" s="62" t="s">
        <v>221</v>
      </c>
      <c r="E9" s="47"/>
      <c r="F9" s="58"/>
      <c r="G9" s="59">
        <v>-12128192.17</v>
      </c>
      <c r="J9" s="27"/>
      <c r="K9" s="58">
        <f>+G9</f>
        <v>-12128192.17</v>
      </c>
      <c r="L9" s="34"/>
      <c r="M9" s="61"/>
    </row>
    <row r="10" spans="1:13" s="22" customFormat="1" ht="15.75" x14ac:dyDescent="0.25">
      <c r="A10" s="27" t="s">
        <v>45</v>
      </c>
      <c r="B10" s="21" t="s">
        <v>1</v>
      </c>
      <c r="C10" s="30" t="s">
        <v>133</v>
      </c>
      <c r="D10" s="62" t="s">
        <v>220</v>
      </c>
      <c r="E10" s="47"/>
      <c r="F10" s="58"/>
      <c r="G10" s="59">
        <f>-6130740.44</f>
        <v>-6130740.4400000004</v>
      </c>
      <c r="J10" s="27"/>
      <c r="K10" s="58">
        <f>+G10</f>
        <v>-6130740.4400000004</v>
      </c>
      <c r="L10" s="49"/>
      <c r="M10" s="61">
        <v>36984</v>
      </c>
    </row>
    <row r="11" spans="1:13" s="22" customFormat="1" ht="15.75" x14ac:dyDescent="0.25">
      <c r="A11" s="27" t="s">
        <v>45</v>
      </c>
      <c r="B11" s="21" t="s">
        <v>49</v>
      </c>
      <c r="C11" s="30" t="s">
        <v>136</v>
      </c>
      <c r="D11" s="62" t="s">
        <v>204</v>
      </c>
      <c r="E11" s="47"/>
      <c r="F11" s="59">
        <v>6243321.2999999998</v>
      </c>
      <c r="G11" s="58"/>
      <c r="J11" s="27">
        <f>+F11</f>
        <v>6243321.2999999998</v>
      </c>
      <c r="K11" s="47"/>
      <c r="L11" s="49"/>
      <c r="M11" s="60">
        <v>36924</v>
      </c>
    </row>
    <row r="12" spans="1:13" s="22" customFormat="1" ht="15.75" x14ac:dyDescent="0.25">
      <c r="A12" s="27" t="s">
        <v>45</v>
      </c>
      <c r="B12" s="21" t="s">
        <v>49</v>
      </c>
      <c r="C12" s="30" t="s">
        <v>136</v>
      </c>
      <c r="D12" s="62" t="s">
        <v>205</v>
      </c>
      <c r="E12" s="47"/>
      <c r="F12" s="59">
        <v>41293941</v>
      </c>
      <c r="G12" s="58"/>
      <c r="J12" s="27">
        <f>+F12</f>
        <v>41293941</v>
      </c>
      <c r="K12" s="47"/>
      <c r="L12" s="49"/>
      <c r="M12" s="61">
        <v>36955</v>
      </c>
    </row>
    <row r="13" spans="1:13" s="22" customFormat="1" ht="15.75" x14ac:dyDescent="0.25">
      <c r="A13" s="27" t="s">
        <v>45</v>
      </c>
      <c r="B13" s="21" t="s">
        <v>49</v>
      </c>
      <c r="C13" s="30" t="s">
        <v>136</v>
      </c>
      <c r="D13" s="62" t="s">
        <v>221</v>
      </c>
      <c r="E13" s="47"/>
      <c r="F13" s="59">
        <f>10737043</f>
        <v>10737043</v>
      </c>
      <c r="G13" s="58"/>
      <c r="J13" s="27">
        <f>+F13</f>
        <v>10737043</v>
      </c>
      <c r="K13" s="47"/>
      <c r="L13" s="49"/>
      <c r="M13" s="61"/>
    </row>
    <row r="14" spans="1:13" s="22" customFormat="1" ht="15.75" x14ac:dyDescent="0.25">
      <c r="A14" s="27" t="s">
        <v>45</v>
      </c>
      <c r="B14" s="21" t="s">
        <v>49</v>
      </c>
      <c r="C14" s="30" t="s">
        <v>136</v>
      </c>
      <c r="D14" s="62" t="s">
        <v>220</v>
      </c>
      <c r="E14" s="47"/>
      <c r="F14" s="59">
        <f>4358562</f>
        <v>4358562</v>
      </c>
      <c r="G14" s="58"/>
      <c r="J14" s="27">
        <f>+F14</f>
        <v>4358562</v>
      </c>
      <c r="K14" s="47"/>
      <c r="L14" s="49"/>
      <c r="M14" s="61">
        <v>36984</v>
      </c>
    </row>
    <row r="15" spans="1:13" s="22" customFormat="1" ht="15.75" thickBot="1" x14ac:dyDescent="0.25">
      <c r="E15" s="63"/>
      <c r="F15" s="64"/>
      <c r="G15" s="65"/>
      <c r="J15" s="66"/>
      <c r="K15" s="67"/>
      <c r="L15" s="34"/>
    </row>
    <row r="16" spans="1:13" s="22" customFormat="1" ht="16.5" thickTop="1" x14ac:dyDescent="0.25">
      <c r="A16" s="10" t="s">
        <v>50</v>
      </c>
      <c r="E16" s="47"/>
      <c r="F16" s="27">
        <f>SUM(F7:F14)</f>
        <v>104137261.3</v>
      </c>
      <c r="G16" s="27">
        <f>SUM(G7:G14)</f>
        <v>-18258932.609999999</v>
      </c>
      <c r="J16" s="10">
        <f>SUM(J7:J14)</f>
        <v>104137261.3</v>
      </c>
      <c r="K16" s="10">
        <f>SUM(K7:K14)</f>
        <v>-18258932.609999999</v>
      </c>
      <c r="L16" s="68"/>
    </row>
    <row r="17" spans="1:127" s="22" customFormat="1" ht="15" x14ac:dyDescent="0.2">
      <c r="E17" s="69"/>
      <c r="F17" s="47"/>
      <c r="G17" s="47"/>
      <c r="K17" s="47"/>
      <c r="L17" s="34"/>
    </row>
    <row r="18" spans="1:127" s="22" customFormat="1" ht="15.75" x14ac:dyDescent="0.25">
      <c r="E18" s="69"/>
      <c r="F18" s="47"/>
      <c r="G18" s="47"/>
      <c r="L18" s="34"/>
      <c r="M18" s="19"/>
    </row>
    <row r="19" spans="1:127" s="22" customFormat="1" ht="15.75" x14ac:dyDescent="0.25">
      <c r="E19" s="69"/>
      <c r="F19" s="43"/>
      <c r="G19" s="43"/>
      <c r="L19" s="36" t="s">
        <v>58</v>
      </c>
      <c r="M19" s="19" t="s">
        <v>59</v>
      </c>
    </row>
    <row r="20" spans="1:127" s="22" customFormat="1" ht="15.75" x14ac:dyDescent="0.25">
      <c r="D20" s="18"/>
      <c r="E20" s="18" t="s">
        <v>8</v>
      </c>
      <c r="F20" s="70" t="s">
        <v>40</v>
      </c>
      <c r="G20" s="70" t="s">
        <v>41</v>
      </c>
      <c r="J20" s="18" t="s">
        <v>11</v>
      </c>
      <c r="K20" s="18" t="s">
        <v>55</v>
      </c>
      <c r="L20" s="36" t="s">
        <v>60</v>
      </c>
      <c r="M20" s="19" t="s">
        <v>61</v>
      </c>
    </row>
    <row r="21" spans="1:127" s="22" customFormat="1" ht="15.75" x14ac:dyDescent="0.25">
      <c r="A21" s="30" t="s">
        <v>13</v>
      </c>
      <c r="B21" s="30" t="s">
        <v>14</v>
      </c>
      <c r="C21" s="30"/>
      <c r="D21" s="71" t="s">
        <v>42</v>
      </c>
      <c r="E21" s="18" t="s">
        <v>15</v>
      </c>
      <c r="F21" s="18" t="s">
        <v>43</v>
      </c>
      <c r="G21" s="18" t="s">
        <v>44</v>
      </c>
      <c r="J21" s="18" t="s">
        <v>19</v>
      </c>
      <c r="K21" s="18" t="s">
        <v>20</v>
      </c>
      <c r="L21" s="72" t="s">
        <v>62</v>
      </c>
      <c r="M21" s="73" t="s">
        <v>62</v>
      </c>
    </row>
    <row r="22" spans="1:127" s="22" customFormat="1" ht="15.75" x14ac:dyDescent="0.25">
      <c r="A22" s="22" t="s">
        <v>51</v>
      </c>
      <c r="B22" s="21" t="s">
        <v>1</v>
      </c>
      <c r="C22" s="30" t="s">
        <v>133</v>
      </c>
      <c r="D22" s="69" t="s">
        <v>206</v>
      </c>
      <c r="E22" s="18"/>
      <c r="F22" s="18"/>
      <c r="G22" s="444">
        <v>-172172.76</v>
      </c>
      <c r="J22" s="18"/>
      <c r="K22" s="27">
        <f>+G22</f>
        <v>-172172.76</v>
      </c>
      <c r="L22" s="72"/>
      <c r="M22" s="73"/>
    </row>
    <row r="23" spans="1:127" s="22" customFormat="1" ht="15.75" x14ac:dyDescent="0.25">
      <c r="A23" s="22" t="s">
        <v>51</v>
      </c>
      <c r="B23" s="21" t="s">
        <v>1</v>
      </c>
      <c r="C23" s="30" t="s">
        <v>133</v>
      </c>
      <c r="D23" s="69" t="s">
        <v>212</v>
      </c>
      <c r="E23" s="27"/>
      <c r="F23" s="59">
        <v>19262.939999999999</v>
      </c>
      <c r="G23" s="59">
        <f>-17846030.82</f>
        <v>-17846030.82</v>
      </c>
      <c r="H23" s="22" t="s">
        <v>121</v>
      </c>
      <c r="J23" s="27">
        <f>+F23</f>
        <v>19262.939999999999</v>
      </c>
      <c r="K23" s="27">
        <f>+G23</f>
        <v>-17846030.82</v>
      </c>
      <c r="L23" s="54">
        <v>36923</v>
      </c>
      <c r="M23" s="74">
        <v>36927</v>
      </c>
    </row>
    <row r="24" spans="1:127" s="22" customFormat="1" ht="15.75" x14ac:dyDescent="0.25">
      <c r="A24" s="22" t="s">
        <v>51</v>
      </c>
      <c r="B24" s="21" t="s">
        <v>1</v>
      </c>
      <c r="C24" s="30" t="s">
        <v>133</v>
      </c>
      <c r="D24" s="75" t="s">
        <v>208</v>
      </c>
      <c r="E24" s="27"/>
      <c r="F24" s="59"/>
      <c r="G24" s="59"/>
      <c r="J24" s="27"/>
      <c r="K24" s="27"/>
      <c r="L24" s="54">
        <v>36952</v>
      </c>
      <c r="M24" s="74">
        <v>36956</v>
      </c>
    </row>
    <row r="25" spans="1:127" s="22" customFormat="1" ht="35.25" customHeight="1" x14ac:dyDescent="0.2">
      <c r="A25" s="445" t="s">
        <v>51</v>
      </c>
      <c r="B25" s="446" t="s">
        <v>1</v>
      </c>
      <c r="C25" s="447" t="s">
        <v>133</v>
      </c>
      <c r="D25" s="448" t="s">
        <v>210</v>
      </c>
      <c r="E25" s="449"/>
      <c r="F25" s="450">
        <v>8081693.5199999996</v>
      </c>
      <c r="G25" s="450"/>
      <c r="H25" s="445"/>
      <c r="I25" s="445"/>
      <c r="J25" s="449">
        <f>+F25</f>
        <v>8081693.5199999996</v>
      </c>
      <c r="K25" s="449"/>
      <c r="L25" s="451">
        <v>36907</v>
      </c>
      <c r="M25" s="452">
        <v>36909</v>
      </c>
      <c r="N25" s="445" t="s">
        <v>160</v>
      </c>
    </row>
    <row r="26" spans="1:127" s="22" customFormat="1" ht="15.75" x14ac:dyDescent="0.25">
      <c r="A26" s="22" t="s">
        <v>51</v>
      </c>
      <c r="B26" s="21" t="s">
        <v>1</v>
      </c>
      <c r="C26" s="30" t="s">
        <v>133</v>
      </c>
      <c r="D26" s="75" t="s">
        <v>209</v>
      </c>
      <c r="E26" s="27"/>
      <c r="F26" s="59"/>
      <c r="G26" s="59"/>
      <c r="J26" s="27"/>
      <c r="K26" s="27"/>
      <c r="L26" s="54">
        <v>36907</v>
      </c>
      <c r="M26" s="74">
        <v>36909</v>
      </c>
      <c r="N26" s="22" t="s">
        <v>159</v>
      </c>
    </row>
    <row r="27" spans="1:127" s="22" customFormat="1" ht="15.75" x14ac:dyDescent="0.25">
      <c r="A27" s="22" t="s">
        <v>51</v>
      </c>
      <c r="B27" s="21" t="s">
        <v>1</v>
      </c>
      <c r="C27" s="30" t="s">
        <v>133</v>
      </c>
      <c r="D27" s="75" t="s">
        <v>219</v>
      </c>
      <c r="E27" s="27"/>
      <c r="F27" s="59"/>
      <c r="G27" s="59">
        <v>-24715955.039999999</v>
      </c>
      <c r="J27" s="27"/>
      <c r="K27" s="27">
        <f>+G27</f>
        <v>-24715955.039999999</v>
      </c>
      <c r="L27" s="54">
        <v>36983</v>
      </c>
      <c r="M27" s="74">
        <v>36985</v>
      </c>
    </row>
    <row r="28" spans="1:127" s="22" customFormat="1" ht="15.75" x14ac:dyDescent="0.25">
      <c r="A28" s="22" t="s">
        <v>51</v>
      </c>
      <c r="B28" s="21" t="s">
        <v>1</v>
      </c>
      <c r="C28" s="30" t="s">
        <v>133</v>
      </c>
      <c r="D28" s="75" t="s">
        <v>218</v>
      </c>
      <c r="E28" s="27"/>
      <c r="F28" s="59"/>
      <c r="G28" s="59">
        <v>-13338016</v>
      </c>
      <c r="J28" s="27"/>
      <c r="K28" s="27">
        <f>+G28</f>
        <v>-13338016</v>
      </c>
      <c r="L28" s="54">
        <v>36937</v>
      </c>
      <c r="M28" s="74">
        <v>36942</v>
      </c>
    </row>
    <row r="29" spans="1:127" s="48" customFormat="1" ht="15.75" x14ac:dyDescent="0.25">
      <c r="A29" s="22" t="s">
        <v>51</v>
      </c>
      <c r="B29" s="21" t="s">
        <v>49</v>
      </c>
      <c r="C29" s="30" t="s">
        <v>136</v>
      </c>
      <c r="D29" s="62" t="s">
        <v>211</v>
      </c>
      <c r="E29" s="49"/>
      <c r="F29" s="59"/>
      <c r="G29" s="59">
        <v>-9280.27</v>
      </c>
      <c r="H29" s="49"/>
      <c r="I29" s="49"/>
      <c r="J29" s="49"/>
      <c r="K29" s="27">
        <f>+G29</f>
        <v>-9280.27</v>
      </c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</row>
    <row r="30" spans="1:127" s="48" customFormat="1" ht="15.75" x14ac:dyDescent="0.25">
      <c r="A30" s="22" t="s">
        <v>51</v>
      </c>
      <c r="B30" s="21" t="s">
        <v>49</v>
      </c>
      <c r="C30" s="30" t="s">
        <v>136</v>
      </c>
      <c r="D30" s="62" t="s">
        <v>207</v>
      </c>
      <c r="E30" s="49"/>
      <c r="F30" s="59">
        <f>139499.57</f>
        <v>139499.57</v>
      </c>
      <c r="G30" s="59"/>
      <c r="H30" s="49"/>
      <c r="I30" s="49"/>
      <c r="J30" s="27">
        <f>+F30</f>
        <v>139499.57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</row>
    <row r="31" spans="1:127" s="22" customFormat="1" ht="21" customHeight="1" x14ac:dyDescent="0.25">
      <c r="A31" s="22" t="s">
        <v>51</v>
      </c>
      <c r="B31" s="21" t="s">
        <v>49</v>
      </c>
      <c r="C31" s="30" t="s">
        <v>136</v>
      </c>
      <c r="D31" s="62" t="s">
        <v>207</v>
      </c>
      <c r="E31" s="49"/>
      <c r="F31" s="59">
        <v>1081698</v>
      </c>
      <c r="G31" s="59"/>
      <c r="H31" s="22" t="s">
        <v>179</v>
      </c>
      <c r="J31" s="27">
        <f>+F31</f>
        <v>1081698</v>
      </c>
      <c r="K31" s="27"/>
      <c r="L31" s="76">
        <v>36907</v>
      </c>
      <c r="M31" s="61">
        <v>36909</v>
      </c>
    </row>
    <row r="32" spans="1:127" s="22" customFormat="1" ht="21" customHeight="1" x14ac:dyDescent="0.25">
      <c r="B32" s="21"/>
      <c r="C32" s="30"/>
      <c r="D32" s="75" t="s">
        <v>210</v>
      </c>
      <c r="E32" s="49"/>
      <c r="F32" s="59">
        <v>333417.38</v>
      </c>
      <c r="G32" s="59"/>
      <c r="J32" s="27">
        <f>+F32</f>
        <v>333417.38</v>
      </c>
      <c r="K32" s="27"/>
      <c r="L32" s="76"/>
      <c r="M32" s="61"/>
    </row>
    <row r="33" spans="1:12" s="22" customFormat="1" ht="15.75" thickBot="1" x14ac:dyDescent="0.25">
      <c r="A33" s="22" t="s">
        <v>51</v>
      </c>
      <c r="B33" s="21" t="s">
        <v>49</v>
      </c>
      <c r="D33" s="75" t="s">
        <v>217</v>
      </c>
      <c r="E33" s="77"/>
      <c r="F33" s="64">
        <v>7640661</v>
      </c>
      <c r="G33" s="65"/>
      <c r="J33" s="38">
        <f>+F33</f>
        <v>7640661</v>
      </c>
      <c r="K33" s="38"/>
      <c r="L33" s="78"/>
    </row>
    <row r="34" spans="1:12" s="22" customFormat="1" ht="16.5" thickTop="1" x14ac:dyDescent="0.25">
      <c r="A34" s="35" t="s">
        <v>53</v>
      </c>
      <c r="E34" s="79"/>
      <c r="F34" s="10">
        <f>SUM(F22:F33)+0.7</f>
        <v>17296233.110000003</v>
      </c>
      <c r="G34" s="10">
        <f>SUM(G22:G33)</f>
        <v>-56081454.890000008</v>
      </c>
      <c r="J34" s="10">
        <f>SUM(J22:J33)</f>
        <v>17296232.410000004</v>
      </c>
      <c r="K34" s="10">
        <f>SUM(K22:K33)</f>
        <v>-56081454.890000008</v>
      </c>
      <c r="L34" s="80"/>
    </row>
    <row r="35" spans="1:12" s="22" customFormat="1" ht="15" x14ac:dyDescent="0.2">
      <c r="E35" s="57"/>
      <c r="F35" s="59"/>
      <c r="J35" s="74"/>
      <c r="L35" s="78"/>
    </row>
    <row r="36" spans="1:12" s="22" customFormat="1" ht="15.75" x14ac:dyDescent="0.25">
      <c r="E36" s="81"/>
      <c r="F36" s="82"/>
      <c r="L36" s="83"/>
    </row>
    <row r="37" spans="1:12" s="22" customFormat="1" ht="15.75" x14ac:dyDescent="0.25">
      <c r="A37" s="35" t="s">
        <v>216</v>
      </c>
      <c r="L37" s="83"/>
    </row>
    <row r="38" spans="1:12" s="22" customFormat="1" ht="15.75" x14ac:dyDescent="0.25">
      <c r="B38" s="35" t="s">
        <v>213</v>
      </c>
      <c r="D38" s="10" t="s">
        <v>214</v>
      </c>
      <c r="L38" s="83"/>
    </row>
    <row r="39" spans="1:12" s="22" customFormat="1" ht="15" x14ac:dyDescent="0.2">
      <c r="A39" s="442" t="s">
        <v>198</v>
      </c>
      <c r="B39" s="27">
        <v>-1073342.54</v>
      </c>
      <c r="D39" s="27">
        <v>69492.41</v>
      </c>
    </row>
    <row r="40" spans="1:12" s="22" customFormat="1" ht="15.75" hidden="1" x14ac:dyDescent="0.25">
      <c r="A40" s="442"/>
      <c r="B40" s="27"/>
      <c r="D40" s="27"/>
      <c r="G40" s="6" t="s">
        <v>63</v>
      </c>
      <c r="J40" s="11" t="s">
        <v>71</v>
      </c>
      <c r="L40" s="13" t="s">
        <v>72</v>
      </c>
    </row>
    <row r="41" spans="1:12" s="22" customFormat="1" ht="15.75" hidden="1" x14ac:dyDescent="0.25">
      <c r="A41" s="442"/>
      <c r="B41" s="27"/>
      <c r="D41" s="12" t="s">
        <v>64</v>
      </c>
      <c r="G41" s="7">
        <f>+L41-J41</f>
        <v>230617476.92000002</v>
      </c>
      <c r="J41" s="7">
        <v>0</v>
      </c>
      <c r="L41" s="7">
        <f>+'PG&amp;E Corp. '!S15</f>
        <v>230617476.92000002</v>
      </c>
    </row>
    <row r="42" spans="1:12" s="22" customFormat="1" ht="15.75" hidden="1" x14ac:dyDescent="0.25">
      <c r="A42" s="442"/>
      <c r="B42" s="27"/>
      <c r="D42" s="12" t="s">
        <v>65</v>
      </c>
      <c r="G42" s="7">
        <f>+L42-J42</f>
        <v>214821663</v>
      </c>
      <c r="J42" s="7">
        <v>0</v>
      </c>
      <c r="L42" s="7">
        <f>+'PG&amp;E Corp. '!S21+'PG&amp;E Corp. '!S33+'PG&amp;E Corp. '!S39+'PG&amp;E Corp. '!S47</f>
        <v>214821663</v>
      </c>
    </row>
    <row r="43" spans="1:12" s="22" customFormat="1" ht="15.75" hidden="1" x14ac:dyDescent="0.25">
      <c r="A43" s="442"/>
      <c r="B43" s="27"/>
      <c r="D43" s="12" t="s">
        <v>66</v>
      </c>
      <c r="G43" s="7">
        <f>+L43-J43</f>
        <v>165908694</v>
      </c>
      <c r="J43" s="7">
        <v>0</v>
      </c>
      <c r="L43" s="7">
        <f>+'PG&amp;E Corp. '!Q57</f>
        <v>165908694</v>
      </c>
    </row>
    <row r="44" spans="1:12" s="22" customFormat="1" ht="15.75" hidden="1" x14ac:dyDescent="0.25">
      <c r="A44" s="442"/>
      <c r="B44" s="27"/>
      <c r="D44" s="12" t="s">
        <v>67</v>
      </c>
      <c r="G44" s="7">
        <f>+L44-J44</f>
        <v>97175092.129999995</v>
      </c>
      <c r="J44" s="7">
        <f>+'Edison Int''l '!Q8</f>
        <v>50379149</v>
      </c>
      <c r="L44" s="7">
        <f>+'Edison Int''l '!S12</f>
        <v>147554241.13</v>
      </c>
    </row>
    <row r="45" spans="1:12" s="22" customFormat="1" ht="15.75" hidden="1" x14ac:dyDescent="0.25">
      <c r="A45" s="442"/>
      <c r="B45" s="27"/>
      <c r="D45" s="12" t="s">
        <v>68</v>
      </c>
      <c r="G45" s="7">
        <f>+L45-J45</f>
        <v>12524098</v>
      </c>
      <c r="J45" s="7">
        <v>0</v>
      </c>
      <c r="L45" s="14">
        <f>+'Edison Int''l '!Q25</f>
        <v>12524098</v>
      </c>
    </row>
    <row r="46" spans="1:12" s="22" customFormat="1" ht="17.25" hidden="1" thickTop="1" thickBot="1" x14ac:dyDescent="0.3">
      <c r="A46" s="442"/>
      <c r="B46" s="27"/>
      <c r="D46" s="12" t="s">
        <v>69</v>
      </c>
      <c r="G46" s="8">
        <f>SUM(G41:G45)</f>
        <v>721047024.05000007</v>
      </c>
      <c r="J46" s="8">
        <f>SUM(J41:J45)</f>
        <v>50379149</v>
      </c>
      <c r="L46" s="8">
        <f>SUM(L41:L45)</f>
        <v>771426173.05000007</v>
      </c>
    </row>
    <row r="47" spans="1:12" s="22" customFormat="1" ht="15.75" hidden="1" x14ac:dyDescent="0.25">
      <c r="A47" s="442"/>
      <c r="B47" s="27"/>
      <c r="D47" s="12"/>
      <c r="G47" s="7"/>
      <c r="J47" s="7"/>
      <c r="L47" s="7"/>
    </row>
    <row r="48" spans="1:12" s="22" customFormat="1" ht="15.75" hidden="1" x14ac:dyDescent="0.25">
      <c r="A48" s="442"/>
      <c r="B48" s="27"/>
      <c r="D48" s="12" t="s">
        <v>56</v>
      </c>
      <c r="G48" s="7">
        <f>+L48-J48</f>
        <v>41504394</v>
      </c>
      <c r="J48" s="7">
        <f>SUM(J11:J14)</f>
        <v>62632867.299999997</v>
      </c>
      <c r="L48" s="7">
        <f>+J16</f>
        <v>104137261.3</v>
      </c>
    </row>
    <row r="49" spans="1:12" s="22" customFormat="1" ht="15.75" hidden="1" x14ac:dyDescent="0.25">
      <c r="A49" s="442"/>
      <c r="B49" s="27"/>
      <c r="D49" s="12" t="s">
        <v>70</v>
      </c>
      <c r="G49" s="7">
        <f>+L49-J49</f>
        <v>16214534.410000004</v>
      </c>
      <c r="J49" s="7">
        <f>+J31</f>
        <v>1081698</v>
      </c>
      <c r="L49" s="7">
        <f>+J34</f>
        <v>17296232.410000004</v>
      </c>
    </row>
    <row r="50" spans="1:12" s="22" customFormat="1" ht="17.25" hidden="1" thickTop="1" thickBot="1" x14ac:dyDescent="0.3">
      <c r="A50" s="442"/>
      <c r="B50" s="27"/>
      <c r="D50" s="12" t="s">
        <v>69</v>
      </c>
      <c r="G50" s="8">
        <f>+G48+G49</f>
        <v>57718928.410000004</v>
      </c>
      <c r="J50" s="8">
        <f>+J48+J49</f>
        <v>63714565.299999997</v>
      </c>
      <c r="L50" s="8">
        <f>+L48+L49</f>
        <v>121433493.71000001</v>
      </c>
    </row>
    <row r="51" spans="1:12" s="22" customFormat="1" ht="15.75" hidden="1" x14ac:dyDescent="0.25">
      <c r="A51" s="442"/>
      <c r="B51" s="27"/>
      <c r="D51" s="27"/>
      <c r="G51" s="9"/>
      <c r="J51" s="9"/>
      <c r="L51" s="9"/>
    </row>
    <row r="52" spans="1:12" s="22" customFormat="1" ht="15.75" hidden="1" x14ac:dyDescent="0.25">
      <c r="A52" s="442"/>
      <c r="B52" s="27"/>
      <c r="D52" s="27"/>
      <c r="G52" s="10"/>
      <c r="J52" s="12"/>
      <c r="L52" s="84"/>
    </row>
    <row r="53" spans="1:12" s="22" customFormat="1" ht="15" x14ac:dyDescent="0.2">
      <c r="A53" s="442" t="s">
        <v>199</v>
      </c>
      <c r="B53" s="27">
        <v>-16682464.220000001</v>
      </c>
      <c r="D53" s="27">
        <v>1008410.97</v>
      </c>
    </row>
    <row r="54" spans="1:12" s="22" customFormat="1" ht="15" x14ac:dyDescent="0.2">
      <c r="A54" s="442" t="s">
        <v>200</v>
      </c>
      <c r="B54" s="27">
        <v>-27000.97</v>
      </c>
      <c r="D54" s="27">
        <v>1130.07</v>
      </c>
    </row>
    <row r="55" spans="1:12" s="22" customFormat="1" ht="15" x14ac:dyDescent="0.2">
      <c r="A55" s="442" t="s">
        <v>201</v>
      </c>
      <c r="B55" s="27">
        <v>-14502.95</v>
      </c>
      <c r="D55" s="27">
        <v>604.67999999999995</v>
      </c>
    </row>
    <row r="56" spans="1:12" s="22" customFormat="1" ht="15" x14ac:dyDescent="0.2">
      <c r="A56" s="442" t="s">
        <v>202</v>
      </c>
      <c r="B56" s="27">
        <v>-48270.5</v>
      </c>
      <c r="D56" s="27">
        <v>2040.68</v>
      </c>
    </row>
    <row r="57" spans="1:12" s="22" customFormat="1" ht="15" x14ac:dyDescent="0.2">
      <c r="A57" s="442" t="s">
        <v>203</v>
      </c>
      <c r="B57" s="168">
        <v>-449.63</v>
      </c>
      <c r="D57" s="27">
        <v>18.75</v>
      </c>
    </row>
    <row r="58" spans="1:12" s="22" customFormat="1" ht="15.75" thickBot="1" x14ac:dyDescent="0.25">
      <c r="B58" s="443">
        <f>SUM(B39:B57)</f>
        <v>-17846030.809999999</v>
      </c>
      <c r="D58" s="443">
        <f>SUM(D39:D57)</f>
        <v>1081697.5599999998</v>
      </c>
    </row>
    <row r="59" spans="1:12" s="22" customFormat="1" ht="15.75" thickTop="1" x14ac:dyDescent="0.2"/>
    <row r="60" spans="1:12" s="22" customFormat="1" ht="15" x14ac:dyDescent="0.2"/>
    <row r="61" spans="1:12" s="22" customFormat="1" ht="15" x14ac:dyDescent="0.2"/>
    <row r="62" spans="1:12" s="22" customFormat="1" ht="15" x14ac:dyDescent="0.2"/>
    <row r="63" spans="1:12" s="22" customFormat="1" ht="15" x14ac:dyDescent="0.2"/>
    <row r="64" spans="1:12" s="22" customFormat="1" ht="15" x14ac:dyDescent="0.2"/>
    <row r="65" s="22" customFormat="1" ht="15" x14ac:dyDescent="0.2"/>
    <row r="66" s="22" customFormat="1" ht="15" x14ac:dyDescent="0.2"/>
    <row r="67" s="22" customFormat="1" ht="15" x14ac:dyDescent="0.2"/>
    <row r="68" s="22" customFormat="1" ht="15" x14ac:dyDescent="0.2"/>
    <row r="69" s="22" customFormat="1" ht="15" x14ac:dyDescent="0.2"/>
    <row r="70" s="22" customFormat="1" ht="15" x14ac:dyDescent="0.2"/>
    <row r="71" s="22" customFormat="1" ht="15" x14ac:dyDescent="0.2"/>
    <row r="72" s="22" customFormat="1" ht="15" x14ac:dyDescent="0.2"/>
    <row r="73" s="22" customFormat="1" ht="15" x14ac:dyDescent="0.2"/>
    <row r="74" s="22" customFormat="1" ht="15" x14ac:dyDescent="0.2"/>
    <row r="75" s="22" customFormat="1" ht="15" x14ac:dyDescent="0.2"/>
    <row r="76" s="22" customFormat="1" ht="15" x14ac:dyDescent="0.2"/>
    <row r="77" s="22" customFormat="1" ht="15" x14ac:dyDescent="0.2"/>
    <row r="78" s="22" customFormat="1" ht="15" x14ac:dyDescent="0.2"/>
    <row r="79" s="22" customFormat="1" ht="15" x14ac:dyDescent="0.2"/>
    <row r="80" s="22" customFormat="1" ht="15" x14ac:dyDescent="0.2"/>
    <row r="81" s="22" customFormat="1" ht="15" x14ac:dyDescent="0.2"/>
    <row r="82" s="22" customFormat="1" ht="15" x14ac:dyDescent="0.2"/>
    <row r="83" s="22" customFormat="1" ht="15" x14ac:dyDescent="0.2"/>
    <row r="84" s="22" customFormat="1" ht="15" x14ac:dyDescent="0.2"/>
    <row r="85" s="22" customFormat="1" ht="15" x14ac:dyDescent="0.2"/>
    <row r="86" s="22" customFormat="1" ht="15" x14ac:dyDescent="0.2"/>
    <row r="87" s="22" customFormat="1" ht="15" x14ac:dyDescent="0.2"/>
    <row r="88" s="22" customFormat="1" ht="15" x14ac:dyDescent="0.2"/>
    <row r="89" s="22" customFormat="1" ht="15" x14ac:dyDescent="0.2"/>
    <row r="90" s="22" customFormat="1" ht="15" x14ac:dyDescent="0.2"/>
    <row r="91" s="22" customFormat="1" ht="15" x14ac:dyDescent="0.2"/>
  </sheetData>
  <phoneticPr fontId="0" type="noConversion"/>
  <pageMargins left="0.27" right="0.25" top="0.62" bottom="0.53" header="0.27" footer="0.5"/>
  <pageSetup scale="46" orientation="landscape" r:id="rId1"/>
  <headerFooter alignWithMargins="0">
    <oddHeader>&amp;C&amp;"Arial,Bold"&amp;16HIGHLY CONFIDENTIAL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opLeftCell="A2" workbookViewId="0">
      <selection activeCell="A22" sqref="A22"/>
    </sheetView>
  </sheetViews>
  <sheetFormatPr defaultRowHeight="12.75" x14ac:dyDescent="0.2"/>
  <cols>
    <col min="1" max="1" width="15.7109375" bestFit="1" customWidth="1"/>
    <col min="2" max="2" width="14.85546875" bestFit="1" customWidth="1"/>
    <col min="3" max="3" width="3.7109375" customWidth="1"/>
    <col min="4" max="4" width="17" customWidth="1"/>
    <col min="5" max="5" width="16" customWidth="1"/>
    <col min="6" max="6" width="16.28515625" customWidth="1"/>
    <col min="7" max="7" width="17.5703125" customWidth="1"/>
    <col min="8" max="8" width="19.7109375" customWidth="1"/>
    <col min="9" max="9" width="6" customWidth="1"/>
    <col min="10" max="10" width="16.28515625" customWidth="1"/>
    <col min="11" max="11" width="20.85546875" customWidth="1"/>
  </cols>
  <sheetData>
    <row r="1" spans="1:14" ht="30" x14ac:dyDescent="0.4">
      <c r="A1" s="456" t="s">
        <v>144</v>
      </c>
      <c r="B1" s="456"/>
      <c r="C1" s="456"/>
      <c r="D1" s="456"/>
      <c r="E1" s="456"/>
      <c r="F1" s="456"/>
      <c r="G1" s="456"/>
      <c r="H1" s="456"/>
      <c r="I1" s="456"/>
    </row>
    <row r="2" spans="1:14" ht="23.25" x14ac:dyDescent="0.35">
      <c r="A2" s="455" t="s">
        <v>223</v>
      </c>
      <c r="B2" s="455"/>
      <c r="C2" s="455"/>
      <c r="D2" s="455"/>
      <c r="E2" s="455"/>
      <c r="F2" s="455"/>
      <c r="G2" s="455"/>
      <c r="H2" s="455"/>
      <c r="I2" s="455"/>
    </row>
    <row r="5" spans="1:14" s="19" customFormat="1" ht="15.75" x14ac:dyDescent="0.25">
      <c r="A5" s="20" t="s">
        <v>13</v>
      </c>
      <c r="B5" s="229" t="s">
        <v>133</v>
      </c>
      <c r="C5" s="229"/>
      <c r="D5" s="229" t="s">
        <v>113</v>
      </c>
      <c r="E5" s="229" t="s">
        <v>134</v>
      </c>
      <c r="F5" s="229" t="s">
        <v>135</v>
      </c>
      <c r="G5" s="229" t="s">
        <v>136</v>
      </c>
      <c r="H5" s="18" t="s">
        <v>140</v>
      </c>
      <c r="I5" s="18"/>
      <c r="J5" s="18"/>
      <c r="K5" s="18"/>
      <c r="M5" s="18"/>
      <c r="N5" s="36"/>
    </row>
    <row r="6" spans="1:14" ht="13.5" thickBot="1" x14ac:dyDescent="0.25">
      <c r="J6" s="228"/>
      <c r="K6" s="228"/>
    </row>
    <row r="7" spans="1:14" ht="15.75" x14ac:dyDescent="0.25">
      <c r="A7" s="234" t="s">
        <v>128</v>
      </c>
      <c r="B7" s="235">
        <f>+'PG&amp;E Corp. '!Q8+'PG&amp;E Corp. '!Q9++'PG&amp;E Corp. '!R9+'PG&amp;E Corp. '!Q10+'PG&amp;E Corp. '!R10</f>
        <v>-93804417</v>
      </c>
      <c r="C7" s="235"/>
      <c r="D7" s="235">
        <f>+'PG&amp;E Corp. '!Q11+'PG&amp;E Corp. '!Q12+'PG&amp;E Corp. '!Q13+'PG&amp;E Corp. '!R13</f>
        <v>323974092</v>
      </c>
      <c r="E7" s="235"/>
      <c r="F7" s="235">
        <f>+'PG&amp;E Corp. '!Q14</f>
        <v>447801.92000000004</v>
      </c>
      <c r="G7" s="236"/>
      <c r="H7" s="235">
        <f t="shared" ref="H7:H12" si="0">SUM(B7:G7)</f>
        <v>230617476.91999999</v>
      </c>
      <c r="I7" s="237"/>
      <c r="J7" s="228">
        <f>+H7+H8</f>
        <v>710946335.08951759</v>
      </c>
      <c r="K7" s="310"/>
    </row>
    <row r="8" spans="1:14" x14ac:dyDescent="0.2">
      <c r="A8" s="238" t="s">
        <v>129</v>
      </c>
      <c r="B8" s="239">
        <f>+'PG&amp;E Corp. '!S21-'PG&amp;E Corp. '!Q20+'PG&amp;E Corp. '!S29-'PG&amp;E Corp. '!Q27+'PG&amp;E Corp. '!S33-'PG&amp;E Corp. '!Q31+'PG&amp;E Corp. '!S39+'PG&amp;E Corp. '!S47-'PG&amp;E Corp. '!Q46+'PG&amp;E Corp. '!S58</f>
        <v>447126942</v>
      </c>
      <c r="C8" s="239" t="s">
        <v>121</v>
      </c>
      <c r="D8" s="239">
        <f>+'PG&amp;E Corp. '!Q20+'PG&amp;E Corp. '!Q27+'PG&amp;E Corp. '!Q31+'PG&amp;E Corp. '!Q46</f>
        <v>33201916.169517606</v>
      </c>
      <c r="E8" s="239">
        <v>0</v>
      </c>
      <c r="F8" s="240"/>
      <c r="G8" s="240"/>
      <c r="H8" s="239">
        <f t="shared" si="0"/>
        <v>480328858.16951764</v>
      </c>
      <c r="I8" s="241"/>
      <c r="J8" s="228"/>
      <c r="K8" s="311"/>
    </row>
    <row r="9" spans="1:14" x14ac:dyDescent="0.2">
      <c r="A9" s="238" t="s">
        <v>130</v>
      </c>
      <c r="B9" s="239">
        <f>+'Edison Int''l '!R7</f>
        <v>-73883872</v>
      </c>
      <c r="C9" s="239"/>
      <c r="D9" s="239">
        <f>+'Edison Int''l '!Q9+'Edison Int''l '!Q10</f>
        <v>140000000</v>
      </c>
      <c r="E9" s="240"/>
      <c r="F9" s="239">
        <f>+'Edison Int''l '!Q11</f>
        <v>31058964.130000003</v>
      </c>
      <c r="G9" s="239">
        <f>+'Edison Int''l '!Q8</f>
        <v>50379149</v>
      </c>
      <c r="H9" s="239">
        <f t="shared" si="0"/>
        <v>147554241.13</v>
      </c>
      <c r="I9" s="241"/>
      <c r="J9" s="228"/>
    </row>
    <row r="10" spans="1:14" x14ac:dyDescent="0.2">
      <c r="A10" s="238" t="s">
        <v>131</v>
      </c>
      <c r="B10" s="239">
        <f>+'Edison Int''l '!S26-'Edison Int''l '!Q19-'Edison Int''l '!Q17-'Edison Int''l '!Q16</f>
        <v>12524098</v>
      </c>
      <c r="C10" s="239"/>
      <c r="D10" s="240"/>
      <c r="E10" s="239">
        <f>+'Edison Int''l '!S26-'Edison Int''l '!Q23-'Edison Int''l '!Q22-'Edison Int''l '!Q18</f>
        <v>0</v>
      </c>
      <c r="F10" s="240"/>
      <c r="G10" s="240"/>
      <c r="H10" s="239">
        <f t="shared" si="0"/>
        <v>12524098</v>
      </c>
      <c r="I10" s="241"/>
    </row>
    <row r="11" spans="1:14" x14ac:dyDescent="0.2">
      <c r="A11" s="238" t="s">
        <v>56</v>
      </c>
      <c r="B11" s="239">
        <f>+'Px - ISO '!J7+'Px - ISO '!J8+'Px - ISO '!J10</f>
        <v>41504394</v>
      </c>
      <c r="C11" s="239"/>
      <c r="D11" s="240"/>
      <c r="E11" s="240"/>
      <c r="F11" s="240"/>
      <c r="G11" s="239">
        <f>+'Px - ISO '!J11+'Px - ISO '!J12+'Px - ISO '!J14+'Px - ISO '!J13</f>
        <v>62632867.299999997</v>
      </c>
      <c r="H11" s="239">
        <f t="shared" si="0"/>
        <v>104137261.3</v>
      </c>
      <c r="I11" s="241"/>
      <c r="J11" s="228"/>
    </row>
    <row r="12" spans="1:14" x14ac:dyDescent="0.2">
      <c r="A12" s="238" t="s">
        <v>132</v>
      </c>
      <c r="B12" s="230">
        <f>+'Px - ISO '!J23+'Px - ISO '!J24+'Px - ISO '!J25+'Px - ISO '!J26+'Px - ISO '!J27+'Px - ISO '!J28</f>
        <v>8100956.46</v>
      </c>
      <c r="C12" s="230"/>
      <c r="D12" s="232"/>
      <c r="E12" s="232"/>
      <c r="F12" s="232"/>
      <c r="G12" s="230">
        <f>+SUM('Px - ISO '!J30:J33)</f>
        <v>9195275.9499999993</v>
      </c>
      <c r="H12" s="230">
        <f t="shared" si="0"/>
        <v>17296232.41</v>
      </c>
      <c r="I12" s="241"/>
    </row>
    <row r="13" spans="1:14" x14ac:dyDescent="0.2">
      <c r="A13" s="238" t="s">
        <v>141</v>
      </c>
      <c r="B13" s="239">
        <f>SUM(B7:B12)</f>
        <v>341568101.45999998</v>
      </c>
      <c r="C13" s="239"/>
      <c r="D13" s="239">
        <f>SUM(D7:D12)</f>
        <v>497176008.16951764</v>
      </c>
      <c r="E13" s="239">
        <f>SUM(E7:E12)</f>
        <v>0</v>
      </c>
      <c r="F13" s="239">
        <f>SUM(F7:F12)</f>
        <v>31506766.050000004</v>
      </c>
      <c r="G13" s="239">
        <f>SUM(G7:G12)</f>
        <v>122207292.25</v>
      </c>
      <c r="H13" s="239"/>
      <c r="I13" s="241"/>
    </row>
    <row r="14" spans="1:14" ht="13.5" thickBot="1" x14ac:dyDescent="0.25">
      <c r="A14" s="238"/>
      <c r="B14" s="239"/>
      <c r="C14" s="239"/>
      <c r="D14" s="239"/>
      <c r="E14" s="239"/>
      <c r="F14" s="239"/>
      <c r="G14" s="239"/>
      <c r="H14" s="233"/>
      <c r="I14" s="241"/>
    </row>
    <row r="15" spans="1:14" ht="14.25" thickTop="1" thickBot="1" x14ac:dyDescent="0.25">
      <c r="A15" s="238" t="s">
        <v>142</v>
      </c>
      <c r="B15" s="240"/>
      <c r="C15" s="240"/>
      <c r="D15" s="240"/>
      <c r="E15" s="240"/>
      <c r="F15" s="240"/>
      <c r="G15" s="240"/>
      <c r="H15" s="231">
        <f>SUM(H7:H12)</f>
        <v>992458167.92951751</v>
      </c>
      <c r="I15" s="241" t="s">
        <v>146</v>
      </c>
      <c r="J15" s="228">
        <f>+'PG&amp;E Corp. '!S67+'Edison Int''l '!U31+'Px - ISO '!J16+'Px - ISO '!J34</f>
        <v>924399508.92951751</v>
      </c>
    </row>
    <row r="16" spans="1:14" ht="14.25" thickTop="1" thickBot="1" x14ac:dyDescent="0.25">
      <c r="A16" s="242"/>
      <c r="B16" s="243"/>
      <c r="C16" s="243"/>
      <c r="D16" s="243"/>
      <c r="E16" s="243"/>
      <c r="F16" s="243"/>
      <c r="G16" s="243"/>
      <c r="H16" s="243"/>
      <c r="I16" s="244"/>
    </row>
    <row r="17" spans="1:10" x14ac:dyDescent="0.2">
      <c r="A17" t="s">
        <v>143</v>
      </c>
      <c r="H17" s="228"/>
    </row>
    <row r="18" spans="1:10" x14ac:dyDescent="0.2">
      <c r="A18" t="s">
        <v>167</v>
      </c>
      <c r="H18" s="228"/>
    </row>
    <row r="19" spans="1:10" x14ac:dyDescent="0.2">
      <c r="A19" t="s">
        <v>153</v>
      </c>
      <c r="H19" s="228"/>
    </row>
    <row r="20" spans="1:10" x14ac:dyDescent="0.2">
      <c r="A20" t="s">
        <v>154</v>
      </c>
      <c r="H20" s="228"/>
    </row>
    <row r="21" spans="1:10" x14ac:dyDescent="0.2">
      <c r="A21" t="s">
        <v>230</v>
      </c>
      <c r="H21" s="228"/>
    </row>
    <row r="23" spans="1:10" x14ac:dyDescent="0.2">
      <c r="H23" s="228"/>
    </row>
    <row r="25" spans="1:10" x14ac:dyDescent="0.2">
      <c r="B25" s="228"/>
      <c r="H25" s="228"/>
    </row>
    <row r="30" spans="1:10" x14ac:dyDescent="0.2">
      <c r="G30" t="s">
        <v>150</v>
      </c>
      <c r="H30" s="248">
        <f>+'PG&amp;E Corp. '!S65+'Edison Int''l '!S31+'Px - ISO '!J16+'Px - ISO '!J34</f>
        <v>992458167.92951751</v>
      </c>
    </row>
    <row r="32" spans="1:10" x14ac:dyDescent="0.2">
      <c r="H32" s="228">
        <f>+H15-H30</f>
        <v>0</v>
      </c>
      <c r="J32" s="228"/>
    </row>
  </sheetData>
  <mergeCells count="2">
    <mergeCell ref="A2:I2"/>
    <mergeCell ref="A1:I1"/>
  </mergeCells>
  <phoneticPr fontId="0" type="noConversion"/>
  <pageMargins left="0.27" right="0.25" top="0.62" bottom="0.53" header="0.27" footer="0.5"/>
  <pageSetup orientation="landscape" r:id="rId1"/>
  <headerFooter alignWithMargins="0">
    <oddHeader>&amp;C&amp;"Arial,Bold"&amp;16HIGHLY CONFIDENTIAL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2.75" x14ac:dyDescent="0.2"/>
  <cols>
    <col min="1" max="1" width="55.5703125" customWidth="1"/>
    <col min="2" max="2" width="21.28515625" customWidth="1"/>
    <col min="3" max="3" width="28.5703125" customWidth="1"/>
    <col min="4" max="4" width="19.5703125" customWidth="1"/>
    <col min="5" max="5" width="20.5703125" customWidth="1"/>
    <col min="6" max="6" width="19.85546875" customWidth="1"/>
    <col min="7" max="7" width="19.28515625" customWidth="1"/>
    <col min="8" max="8" width="20.42578125" hidden="1" customWidth="1"/>
    <col min="9" max="9" width="18.7109375" customWidth="1"/>
    <col min="10" max="10" width="22.7109375" customWidth="1"/>
    <col min="11" max="11" width="17" customWidth="1"/>
  </cols>
  <sheetData>
    <row r="1" spans="1:75" ht="20.25" x14ac:dyDescent="0.3">
      <c r="A1" s="17" t="s">
        <v>74</v>
      </c>
    </row>
    <row r="2" spans="1:75" ht="18" x14ac:dyDescent="0.25">
      <c r="A2" s="16" t="s">
        <v>73</v>
      </c>
      <c r="B2" s="15">
        <f>+'PG&amp;E Corp. '!B2</f>
        <v>36980</v>
      </c>
    </row>
    <row r="3" spans="1:75" s="1" customFormat="1" x14ac:dyDescent="0.2">
      <c r="K3" s="2"/>
      <c r="L3" s="3"/>
    </row>
    <row r="4" spans="1:75" s="4" customFormat="1" ht="15" customHeight="1" x14ac:dyDescent="0.25">
      <c r="A4" s="18"/>
      <c r="B4" s="18"/>
      <c r="C4" s="18" t="s">
        <v>7</v>
      </c>
      <c r="D4" s="18" t="s">
        <v>8</v>
      </c>
      <c r="E4" s="18" t="s">
        <v>9</v>
      </c>
      <c r="F4" s="18" t="s">
        <v>10</v>
      </c>
      <c r="G4" s="18"/>
      <c r="H4" s="18" t="s">
        <v>22</v>
      </c>
      <c r="I4" s="18" t="s">
        <v>11</v>
      </c>
      <c r="J4" s="18" t="s">
        <v>12</v>
      </c>
      <c r="K4" s="18"/>
      <c r="L4" s="3"/>
    </row>
    <row r="5" spans="1:75" s="4" customFormat="1" ht="15" customHeight="1" x14ac:dyDescent="0.25">
      <c r="A5" s="20" t="s">
        <v>13</v>
      </c>
      <c r="B5" s="20" t="s">
        <v>14</v>
      </c>
      <c r="C5" s="18" t="s">
        <v>15</v>
      </c>
      <c r="D5" s="18" t="s">
        <v>15</v>
      </c>
      <c r="E5" s="18" t="s">
        <v>16</v>
      </c>
      <c r="F5" s="18" t="s">
        <v>17</v>
      </c>
      <c r="G5" s="18" t="s">
        <v>18</v>
      </c>
      <c r="H5" s="18" t="s">
        <v>23</v>
      </c>
      <c r="I5" s="18" t="s">
        <v>19</v>
      </c>
      <c r="J5" s="18" t="s">
        <v>20</v>
      </c>
      <c r="K5" s="18"/>
      <c r="L5" s="3"/>
    </row>
    <row r="6" spans="1:75" s="5" customFormat="1" ht="18.75" customHeight="1" x14ac:dyDescent="0.2">
      <c r="A6" s="88" t="s">
        <v>116</v>
      </c>
      <c r="B6" s="88" t="s">
        <v>26</v>
      </c>
      <c r="C6" s="31">
        <f>+'PG&amp;E Corp. '!D31</f>
        <v>0</v>
      </c>
      <c r="D6" s="31">
        <f>+'PG&amp;E Corp. '!E31</f>
        <v>0</v>
      </c>
      <c r="E6" s="31">
        <f>+'PG&amp;E Corp. '!F31</f>
        <v>0</v>
      </c>
      <c r="F6" s="31">
        <f>+'PG&amp;E Corp. '!G31</f>
        <v>0</v>
      </c>
      <c r="G6" s="31">
        <f>+'PG&amp;E Corp. '!L31</f>
        <v>0</v>
      </c>
      <c r="H6" s="31">
        <f>+'PG&amp;E Corp. '!M31</f>
        <v>0</v>
      </c>
      <c r="I6" s="31">
        <f>+'PG&amp;E Corp. '!Q31</f>
        <v>0</v>
      </c>
      <c r="J6" s="31">
        <f>+'PG&amp;E Corp. '!R31</f>
        <v>0</v>
      </c>
      <c r="K6" s="90"/>
      <c r="L6" s="90"/>
      <c r="M6" s="91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</row>
    <row r="7" spans="1:75" s="137" customFormat="1" ht="21.75" customHeight="1" x14ac:dyDescent="0.2">
      <c r="A7" s="133" t="s">
        <v>0</v>
      </c>
      <c r="B7" s="133" t="s">
        <v>21</v>
      </c>
      <c r="C7" s="134">
        <f>+'PG&amp;E Corp. '!D11+'PG&amp;E Corp. '!D12</f>
        <v>0</v>
      </c>
      <c r="D7" s="134">
        <f>+'PG&amp;E Corp. '!E11+'PG&amp;E Corp. '!E12</f>
        <v>0</v>
      </c>
      <c r="E7" s="134">
        <f>+'PG&amp;E Corp. '!F11+'PG&amp;E Corp. '!F12</f>
        <v>325000000</v>
      </c>
      <c r="F7" s="134">
        <f>+'PG&amp;E Corp. '!G11+'PG&amp;E Corp. '!G12</f>
        <v>0</v>
      </c>
      <c r="G7" s="134">
        <f>+'PG&amp;E Corp. '!L11+'PG&amp;E Corp. '!L12</f>
        <v>325000000</v>
      </c>
      <c r="H7" s="134">
        <f>+'PG&amp;E Corp. '!M11+'PG&amp;E Corp. '!M12</f>
        <v>0</v>
      </c>
      <c r="I7" s="134">
        <f>+'PG&amp;E Corp. '!Q11+'PG&amp;E Corp. '!Q12</f>
        <v>325000000</v>
      </c>
      <c r="J7" s="134">
        <f>+'PG&amp;E Corp. '!R11+'PG&amp;E Corp. '!R12</f>
        <v>0</v>
      </c>
      <c r="K7" s="135"/>
      <c r="L7" s="135"/>
      <c r="M7" s="136"/>
    </row>
    <row r="8" spans="1:75" s="92" customFormat="1" ht="15" customHeight="1" x14ac:dyDescent="0.2">
      <c r="A8" s="93" t="s">
        <v>28</v>
      </c>
      <c r="B8" s="93" t="s">
        <v>21</v>
      </c>
      <c r="C8" s="94">
        <f>+'PG&amp;E Corp. '!D46</f>
        <v>3807950</v>
      </c>
      <c r="D8" s="94">
        <f>+'PG&amp;E Corp. '!E46</f>
        <v>-3020424</v>
      </c>
      <c r="E8" s="94">
        <f>+'PG&amp;E Corp. '!F46</f>
        <v>638936</v>
      </c>
      <c r="F8" s="94">
        <f>+'PG&amp;E Corp. '!G46</f>
        <v>-807032</v>
      </c>
      <c r="G8" s="94">
        <f>+'PG&amp;E Corp. '!L46</f>
        <v>-168096</v>
      </c>
      <c r="H8" s="94">
        <f>+'PG&amp;E Corp. '!M46</f>
        <v>0</v>
      </c>
      <c r="I8" s="95">
        <f>+'PG&amp;E Corp. '!Q46</f>
        <v>0</v>
      </c>
      <c r="J8" s="95">
        <f>+'PG&amp;E Corp. '!R46</f>
        <v>-3188520</v>
      </c>
      <c r="K8" s="90"/>
      <c r="L8" s="90"/>
      <c r="M8" s="91"/>
    </row>
    <row r="9" spans="1:75" s="137" customFormat="1" ht="15" customHeight="1" x14ac:dyDescent="0.2">
      <c r="A9" s="138" t="s">
        <v>118</v>
      </c>
      <c r="B9" s="133" t="s">
        <v>21</v>
      </c>
      <c r="C9" s="139">
        <f>+'Edison Int''l '!D9+'Edison Int''l '!D10</f>
        <v>0</v>
      </c>
      <c r="D9" s="139">
        <f>+'Edison Int''l '!E9+'Edison Int''l '!E10</f>
        <v>0</v>
      </c>
      <c r="E9" s="139">
        <f>+'Edison Int''l '!F9+'Edison Int''l '!F10</f>
        <v>140000000</v>
      </c>
      <c r="F9" s="139">
        <f>+'Edison Int''l '!G9+'Edison Int''l '!G10</f>
        <v>0</v>
      </c>
      <c r="G9" s="139">
        <f>+'Edison Int''l '!L9+'Edison Int''l '!L10</f>
        <v>140000000</v>
      </c>
      <c r="H9" s="139">
        <f>+'Edison Int''l '!M9+'Edison Int''l '!M10</f>
        <v>0</v>
      </c>
      <c r="I9" s="140">
        <f>+'Edison Int''l '!Q9+'Edison Int''l '!Q10</f>
        <v>140000000</v>
      </c>
      <c r="J9" s="140">
        <f>+'Edison Int''l '!R9+'Edison Int''l '!R10</f>
        <v>0</v>
      </c>
      <c r="K9" s="135"/>
      <c r="L9" s="135"/>
      <c r="M9" s="136"/>
    </row>
    <row r="10" spans="1:75" s="92" customFormat="1" ht="15" customHeight="1" x14ac:dyDescent="0.25">
      <c r="A10" s="122" t="s">
        <v>77</v>
      </c>
      <c r="B10" s="122"/>
      <c r="C10" s="97"/>
      <c r="D10" s="97"/>
      <c r="E10" s="123"/>
      <c r="F10" s="123"/>
      <c r="G10" s="123"/>
      <c r="H10" s="97"/>
      <c r="I10" s="97">
        <f>SUM(I6:I9)</f>
        <v>465000000</v>
      </c>
      <c r="J10" s="97">
        <f>SUM(J6:J9)</f>
        <v>-3188520</v>
      </c>
      <c r="K10" s="90"/>
      <c r="L10" s="90"/>
      <c r="M10" s="91"/>
    </row>
    <row r="11" spans="1:75" s="92" customFormat="1" ht="15" customHeight="1" x14ac:dyDescent="0.25">
      <c r="A11" s="122"/>
      <c r="B11" s="93"/>
      <c r="C11" s="94"/>
      <c r="D11" s="94"/>
      <c r="E11" s="95"/>
      <c r="F11" s="95"/>
      <c r="G11" s="95"/>
      <c r="H11" s="94"/>
      <c r="I11" s="94"/>
      <c r="J11" s="94"/>
      <c r="K11" s="90"/>
      <c r="L11" s="90"/>
      <c r="M11" s="91"/>
    </row>
    <row r="12" spans="1:75" s="92" customFormat="1" ht="15" customHeight="1" x14ac:dyDescent="0.2">
      <c r="A12" s="93"/>
      <c r="B12" s="93"/>
      <c r="C12" s="94"/>
      <c r="D12" s="94"/>
      <c r="E12" s="95"/>
      <c r="F12" s="95"/>
      <c r="G12" s="95"/>
      <c r="H12" s="94"/>
      <c r="I12" s="94"/>
      <c r="J12" s="90"/>
      <c r="K12" s="90"/>
      <c r="L12" s="90"/>
      <c r="M12" s="91"/>
    </row>
    <row r="13" spans="1:75" s="144" customFormat="1" ht="15" customHeight="1" x14ac:dyDescent="0.25">
      <c r="A13" s="142" t="s">
        <v>0</v>
      </c>
      <c r="B13" s="142" t="s">
        <v>98</v>
      </c>
      <c r="C13" s="143">
        <f>+'PG&amp;E Corp. '!D8</f>
        <v>0</v>
      </c>
      <c r="D13" s="143">
        <f>+'PG&amp;E Corp. '!E8</f>
        <v>-1484274</v>
      </c>
      <c r="E13" s="143">
        <f>+'PG&amp;E Corp. '!F8</f>
        <v>23127420</v>
      </c>
      <c r="F13" s="143">
        <f>+'PG&amp;E Corp. '!G8</f>
        <v>-489692</v>
      </c>
      <c r="G13" s="143">
        <f>+'PG&amp;E Corp. '!L8</f>
        <v>36359680</v>
      </c>
      <c r="H13" s="143">
        <f>+'PG&amp;E Corp. '!M8</f>
        <v>70169385</v>
      </c>
      <c r="I13" s="143">
        <f>+'PG&amp;E Corp. '!Q8</f>
        <v>34875406</v>
      </c>
      <c r="J13" s="143">
        <f>+'PG&amp;E Corp. '!R8</f>
        <v>0</v>
      </c>
      <c r="K13" s="48"/>
      <c r="L13" s="48"/>
    </row>
    <row r="14" spans="1:75" s="92" customFormat="1" ht="15" customHeight="1" x14ac:dyDescent="0.2">
      <c r="A14" s="99" t="s">
        <v>2</v>
      </c>
      <c r="B14" s="99" t="s">
        <v>88</v>
      </c>
      <c r="C14" s="94">
        <f>+'PG&amp;E Corp. '!D17</f>
        <v>0</v>
      </c>
      <c r="D14" s="94">
        <f>+'PG&amp;E Corp. '!E17</f>
        <v>0</v>
      </c>
      <c r="E14" s="94">
        <f>+'PG&amp;E Corp. '!F17</f>
        <v>0</v>
      </c>
      <c r="F14" s="94">
        <f>+'PG&amp;E Corp. '!G17</f>
        <v>0</v>
      </c>
      <c r="G14" s="94">
        <f>+'PG&amp;E Corp. '!L17</f>
        <v>0</v>
      </c>
      <c r="H14" s="94">
        <f>+'PG&amp;E Corp. '!M17</f>
        <v>50460</v>
      </c>
      <c r="I14" s="94">
        <f>+'PG&amp;E Corp. '!Q17</f>
        <v>0</v>
      </c>
      <c r="J14" s="94">
        <f>+'PG&amp;E Corp. '!R17</f>
        <v>0</v>
      </c>
      <c r="K14" s="93"/>
      <c r="L14" s="93"/>
    </row>
    <row r="15" spans="1:75" s="92" customFormat="1" ht="15" customHeight="1" x14ac:dyDescent="0.2">
      <c r="A15" s="99" t="s">
        <v>4</v>
      </c>
      <c r="B15" s="99" t="s">
        <v>88</v>
      </c>
      <c r="C15" s="94">
        <f>+'PG&amp;E Corp. '!D35</f>
        <v>3862226</v>
      </c>
      <c r="D15" s="94">
        <f>+'PG&amp;E Corp. '!E35</f>
        <v>0</v>
      </c>
      <c r="E15" s="94">
        <f>+'PG&amp;E Corp. '!F35</f>
        <v>0</v>
      </c>
      <c r="F15" s="94">
        <f>+'PG&amp;E Corp. '!G35</f>
        <v>0</v>
      </c>
      <c r="G15" s="94">
        <f>+'PG&amp;E Corp. '!L35</f>
        <v>0</v>
      </c>
      <c r="H15" s="94">
        <f>+'PG&amp;E Corp. '!M35</f>
        <v>13062536</v>
      </c>
      <c r="I15" s="94">
        <f>+'PG&amp;E Corp. '!Q35</f>
        <v>3862226</v>
      </c>
      <c r="J15" s="94">
        <f>+'PG&amp;E Corp. '!R35</f>
        <v>0</v>
      </c>
      <c r="K15" s="90"/>
      <c r="L15" s="90"/>
      <c r="M15" s="91"/>
    </row>
    <row r="16" spans="1:75" s="92" customFormat="1" ht="15" customHeight="1" x14ac:dyDescent="0.2">
      <c r="A16" s="99" t="s">
        <v>4</v>
      </c>
      <c r="B16" s="99" t="s">
        <v>88</v>
      </c>
      <c r="C16" s="94">
        <f>+'PG&amp;E Corp. '!D36</f>
        <v>0</v>
      </c>
      <c r="D16" s="94">
        <f>+'PG&amp;E Corp. '!E36</f>
        <v>-32554283</v>
      </c>
      <c r="E16" s="94">
        <f>+'PG&amp;E Corp. '!F36</f>
        <v>25337655</v>
      </c>
      <c r="F16" s="94">
        <f>+'PG&amp;E Corp. '!G36</f>
        <v>-22595605</v>
      </c>
      <c r="G16" s="94">
        <f>+'PG&amp;E Corp. '!L36</f>
        <v>20730417</v>
      </c>
      <c r="H16" s="94">
        <f>+'PG&amp;E Corp. '!M36</f>
        <v>19833122</v>
      </c>
      <c r="I16" s="94">
        <f>+'PG&amp;E Corp. '!Q36</f>
        <v>0</v>
      </c>
      <c r="J16" s="94">
        <f>+'PG&amp;E Corp. '!R36</f>
        <v>-11823866</v>
      </c>
      <c r="K16" s="90"/>
      <c r="L16" s="90"/>
      <c r="M16" s="91"/>
    </row>
    <row r="17" spans="1:13" s="92" customFormat="1" ht="16.5" customHeight="1" x14ac:dyDescent="0.2">
      <c r="A17" s="99" t="s">
        <v>5</v>
      </c>
      <c r="B17" s="99" t="s">
        <v>88</v>
      </c>
      <c r="C17" s="94">
        <f>+'PG&amp;E Corp. '!D41</f>
        <v>9122</v>
      </c>
      <c r="D17" s="94">
        <f>+'PG&amp;E Corp. '!E41</f>
        <v>0</v>
      </c>
      <c r="E17" s="94">
        <f>+'PG&amp;E Corp. '!F41</f>
        <v>0</v>
      </c>
      <c r="F17" s="94">
        <f>+'PG&amp;E Corp. '!G41</f>
        <v>0</v>
      </c>
      <c r="G17" s="94">
        <f>+'PG&amp;E Corp. '!L41</f>
        <v>0</v>
      </c>
      <c r="H17" s="94">
        <f>+'PG&amp;E Corp. '!M41</f>
        <v>-2501719</v>
      </c>
      <c r="I17" s="94">
        <f>+'PG&amp;E Corp. '!Q41</f>
        <v>0</v>
      </c>
      <c r="J17" s="94">
        <f>+'PG&amp;E Corp. '!R41</f>
        <v>0</v>
      </c>
      <c r="K17" s="90"/>
      <c r="L17" s="90"/>
      <c r="M17" s="91"/>
    </row>
    <row r="18" spans="1:13" s="92" customFormat="1" ht="15" customHeight="1" x14ac:dyDescent="0.25">
      <c r="A18" s="96" t="s">
        <v>6</v>
      </c>
      <c r="B18" s="96" t="s">
        <v>98</v>
      </c>
      <c r="C18" s="97" t="e">
        <f>+'PG&amp;E Corp. '!#REF!</f>
        <v>#REF!</v>
      </c>
      <c r="D18" s="97" t="e">
        <f>+'PG&amp;E Corp. '!#REF!</f>
        <v>#REF!</v>
      </c>
      <c r="E18" s="97" t="e">
        <f>+'PG&amp;E Corp. '!#REF!</f>
        <v>#REF!</v>
      </c>
      <c r="F18" s="97" t="e">
        <f>+'PG&amp;E Corp. '!#REF!</f>
        <v>#REF!</v>
      </c>
      <c r="G18" s="97" t="e">
        <f>+'PG&amp;E Corp. '!#REF!</f>
        <v>#REF!</v>
      </c>
      <c r="H18" s="97" t="e">
        <f>+'PG&amp;E Corp. '!#REF!</f>
        <v>#REF!</v>
      </c>
      <c r="I18" s="124" t="e">
        <f>+'PG&amp;E Corp. '!#REF!</f>
        <v>#REF!</v>
      </c>
      <c r="J18" s="124" t="e">
        <f>+'PG&amp;E Corp. '!#REF!</f>
        <v>#REF!</v>
      </c>
      <c r="K18" s="90"/>
      <c r="L18" s="90"/>
      <c r="M18" s="91"/>
    </row>
    <row r="19" spans="1:13" s="92" customFormat="1" ht="15" customHeight="1" x14ac:dyDescent="0.25">
      <c r="A19" s="122" t="s">
        <v>78</v>
      </c>
      <c r="B19" s="96"/>
      <c r="C19" s="97"/>
      <c r="D19" s="97"/>
      <c r="E19" s="97"/>
      <c r="F19" s="97"/>
      <c r="G19" s="97"/>
      <c r="H19" s="97"/>
      <c r="I19" s="97" t="e">
        <f>SUM(I13:I18)</f>
        <v>#REF!</v>
      </c>
      <c r="J19" s="97" t="e">
        <f>SUM(J13:J18)</f>
        <v>#REF!</v>
      </c>
      <c r="K19" s="90"/>
      <c r="L19" s="90"/>
      <c r="M19" s="91"/>
    </row>
    <row r="20" spans="1:13" s="92" customFormat="1" ht="15" customHeight="1" x14ac:dyDescent="0.25">
      <c r="A20" s="122"/>
      <c r="B20" s="96"/>
      <c r="C20" s="97"/>
      <c r="D20" s="97"/>
      <c r="E20" s="97"/>
      <c r="F20" s="97"/>
      <c r="G20" s="97"/>
      <c r="H20" s="97"/>
      <c r="I20" s="97"/>
      <c r="J20" s="97"/>
      <c r="K20" s="90"/>
      <c r="L20" s="90"/>
      <c r="M20" s="91"/>
    </row>
    <row r="21" spans="1:13" s="92" customFormat="1" ht="15" customHeight="1" x14ac:dyDescent="0.25">
      <c r="A21" s="96"/>
      <c r="B21" s="96"/>
      <c r="C21" s="97"/>
      <c r="D21" s="97"/>
      <c r="E21" s="97"/>
      <c r="F21" s="97"/>
      <c r="G21" s="97"/>
      <c r="H21" s="97"/>
      <c r="I21" s="97"/>
      <c r="J21" s="98"/>
      <c r="K21" s="90"/>
      <c r="L21" s="90"/>
      <c r="M21" s="91"/>
    </row>
    <row r="22" spans="1:13" s="92" customFormat="1" ht="15" customHeight="1" x14ac:dyDescent="0.2">
      <c r="A22" s="99" t="s">
        <v>31</v>
      </c>
      <c r="B22" s="99" t="s">
        <v>102</v>
      </c>
      <c r="C22" s="94">
        <f>+'Edison Int''l '!D16</f>
        <v>0</v>
      </c>
      <c r="D22" s="94">
        <f>+'Edison Int''l '!E16</f>
        <v>-110740</v>
      </c>
      <c r="E22" s="94">
        <f>+'Edison Int''l '!F16</f>
        <v>0</v>
      </c>
      <c r="F22" s="94">
        <f>+'Edison Int''l '!G16</f>
        <v>0</v>
      </c>
      <c r="G22" s="94">
        <f>+'Edison Int''l '!L16</f>
        <v>0</v>
      </c>
      <c r="H22" s="94">
        <f>+'Edison Int''l '!M16</f>
        <v>0</v>
      </c>
      <c r="I22" s="94">
        <f>+'Edison Int''l '!Q16</f>
        <v>0</v>
      </c>
      <c r="J22" s="94">
        <f>+'Edison Int''l '!R16</f>
        <v>-110740</v>
      </c>
      <c r="K22" s="90"/>
      <c r="L22" s="90"/>
      <c r="M22" s="91"/>
    </row>
    <row r="23" spans="1:13" s="92" customFormat="1" ht="15" customHeight="1" x14ac:dyDescent="0.2">
      <c r="A23" s="99" t="s">
        <v>31</v>
      </c>
      <c r="B23" s="99" t="s">
        <v>103</v>
      </c>
      <c r="C23" s="94">
        <f>+'Edison Int''l '!D17</f>
        <v>0</v>
      </c>
      <c r="D23" s="94">
        <f>+'Edison Int''l '!E17</f>
        <v>-8189082</v>
      </c>
      <c r="E23" s="94">
        <f>+'Edison Int''l '!F17</f>
        <v>0</v>
      </c>
      <c r="F23" s="94">
        <f>+'Edison Int''l '!G17</f>
        <v>0</v>
      </c>
      <c r="G23" s="94">
        <f>+'Edison Int''l '!L17</f>
        <v>0</v>
      </c>
      <c r="H23" s="94">
        <f>+'Edison Int''l '!M17</f>
        <v>-4444817</v>
      </c>
      <c r="I23" s="100">
        <f>+'Edison Int''l '!Q17</f>
        <v>0</v>
      </c>
      <c r="J23" s="100">
        <f>+'Edison Int''l '!R17</f>
        <v>-8189082</v>
      </c>
      <c r="K23" s="90"/>
      <c r="L23" s="90"/>
      <c r="M23" s="91"/>
    </row>
    <row r="24" spans="1:13" s="126" customFormat="1" ht="15" customHeight="1" x14ac:dyDescent="0.25">
      <c r="A24" s="122" t="s">
        <v>79</v>
      </c>
      <c r="B24" s="96"/>
      <c r="C24" s="97"/>
      <c r="D24" s="97"/>
      <c r="E24" s="97"/>
      <c r="F24" s="97"/>
      <c r="G24" s="97"/>
      <c r="H24" s="97"/>
      <c r="I24" s="97">
        <f>SUM(I22:I23)</f>
        <v>0</v>
      </c>
      <c r="J24" s="97">
        <f>SUM(J22:J23)</f>
        <v>-8299822</v>
      </c>
      <c r="K24" s="98"/>
      <c r="L24" s="98"/>
      <c r="M24" s="125"/>
    </row>
    <row r="25" spans="1:13" s="126" customFormat="1" ht="15" customHeight="1" x14ac:dyDescent="0.25">
      <c r="A25" s="122"/>
      <c r="B25" s="96"/>
      <c r="C25" s="97"/>
      <c r="D25" s="97"/>
      <c r="E25" s="97"/>
      <c r="F25" s="97"/>
      <c r="G25" s="97"/>
      <c r="H25" s="97"/>
      <c r="I25" s="97"/>
      <c r="J25" s="97"/>
      <c r="K25" s="98"/>
      <c r="L25" s="98"/>
      <c r="M25" s="125"/>
    </row>
    <row r="26" spans="1:13" s="92" customFormat="1" ht="15" customHeight="1" x14ac:dyDescent="0.2">
      <c r="A26" s="99"/>
      <c r="B26" s="99"/>
      <c r="C26" s="94"/>
      <c r="D26" s="94"/>
      <c r="E26" s="94"/>
      <c r="F26" s="94"/>
      <c r="G26" s="94"/>
      <c r="H26" s="94"/>
      <c r="I26" s="94"/>
      <c r="J26" s="90"/>
      <c r="K26" s="90"/>
      <c r="L26" s="90"/>
      <c r="M26" s="91"/>
    </row>
    <row r="27" spans="1:13" s="103" customFormat="1" ht="15" customHeight="1" x14ac:dyDescent="0.2">
      <c r="A27" s="99" t="s">
        <v>31</v>
      </c>
      <c r="B27" s="99" t="s">
        <v>99</v>
      </c>
      <c r="C27" s="94" t="e">
        <f>+'Edison Int''l '!#REF!</f>
        <v>#REF!</v>
      </c>
      <c r="D27" s="94" t="e">
        <f>+'Edison Int''l '!#REF!</f>
        <v>#REF!</v>
      </c>
      <c r="E27" s="94" t="e">
        <f>+'Edison Int''l '!#REF!</f>
        <v>#REF!</v>
      </c>
      <c r="F27" s="94" t="e">
        <f>+'Edison Int''l '!#REF!</f>
        <v>#REF!</v>
      </c>
      <c r="G27" s="94" t="e">
        <f>+'Edison Int''l '!#REF!</f>
        <v>#REF!</v>
      </c>
      <c r="H27" s="94" t="e">
        <f>+'Edison Int''l '!#REF!</f>
        <v>#REF!</v>
      </c>
      <c r="I27" s="94" t="e">
        <f>+'Edison Int''l '!#REF!</f>
        <v>#REF!</v>
      </c>
      <c r="J27" s="94" t="e">
        <f>+'Edison Int''l '!#REF!</f>
        <v>#REF!</v>
      </c>
      <c r="K27" s="101"/>
      <c r="L27" s="101"/>
      <c r="M27" s="102"/>
    </row>
    <row r="28" spans="1:13" s="92" customFormat="1" ht="15" customHeight="1" x14ac:dyDescent="0.2">
      <c r="A28" s="99" t="s">
        <v>3</v>
      </c>
      <c r="B28" s="99" t="s">
        <v>99</v>
      </c>
      <c r="C28" s="94">
        <f>+'PG&amp;E Corp. '!D23</f>
        <v>0</v>
      </c>
      <c r="D28" s="94">
        <f>+'PG&amp;E Corp. '!E23</f>
        <v>0</v>
      </c>
      <c r="E28" s="94">
        <f>+'PG&amp;E Corp. '!F23</f>
        <v>0</v>
      </c>
      <c r="F28" s="94">
        <f>+'PG&amp;E Corp. '!G23</f>
        <v>0</v>
      </c>
      <c r="G28" s="94">
        <f>+'PG&amp;E Corp. '!L23</f>
        <v>0</v>
      </c>
      <c r="H28" s="94">
        <f>+'PG&amp;E Corp. '!M23</f>
        <v>0</v>
      </c>
      <c r="I28" s="100">
        <f>+'PG&amp;E Corp. '!Q23</f>
        <v>0</v>
      </c>
      <c r="J28" s="100">
        <f>+'PG&amp;E Corp. '!R23</f>
        <v>0</v>
      </c>
      <c r="K28" s="90"/>
      <c r="L28" s="90"/>
      <c r="M28" s="91"/>
    </row>
    <row r="29" spans="1:13" s="92" customFormat="1" ht="15" customHeight="1" x14ac:dyDescent="0.25">
      <c r="A29" s="122" t="s">
        <v>80</v>
      </c>
      <c r="B29" s="96"/>
      <c r="C29" s="97"/>
      <c r="D29" s="97"/>
      <c r="E29" s="97"/>
      <c r="F29" s="97"/>
      <c r="G29" s="97"/>
      <c r="H29" s="97"/>
      <c r="I29" s="97" t="e">
        <f>SUM(I27:I28)</f>
        <v>#REF!</v>
      </c>
      <c r="J29" s="97" t="e">
        <f>SUM(J27:J28)</f>
        <v>#REF!</v>
      </c>
      <c r="K29" s="90"/>
      <c r="L29" s="90"/>
      <c r="M29" s="91"/>
    </row>
    <row r="30" spans="1:13" s="92" customFormat="1" ht="15" customHeight="1" x14ac:dyDescent="0.25">
      <c r="A30" s="122"/>
      <c r="B30" s="99"/>
      <c r="C30" s="94"/>
      <c r="D30" s="94"/>
      <c r="E30" s="94"/>
      <c r="F30" s="94"/>
      <c r="G30" s="94"/>
      <c r="H30" s="94"/>
      <c r="I30" s="94"/>
      <c r="J30" s="94"/>
      <c r="K30" s="90"/>
      <c r="L30" s="90"/>
      <c r="M30" s="91"/>
    </row>
    <row r="31" spans="1:13" s="92" customFormat="1" ht="15" customHeight="1" x14ac:dyDescent="0.2">
      <c r="A31" s="99"/>
      <c r="B31" s="99"/>
      <c r="C31" s="94"/>
      <c r="D31" s="94"/>
      <c r="E31" s="94"/>
      <c r="F31" s="94"/>
      <c r="G31" s="94"/>
      <c r="H31" s="94"/>
      <c r="I31" s="94"/>
      <c r="J31" s="90"/>
      <c r="K31" s="90"/>
      <c r="L31" s="90"/>
      <c r="M31" s="91"/>
    </row>
    <row r="32" spans="1:13" s="92" customFormat="1" ht="15" customHeight="1" x14ac:dyDescent="0.2">
      <c r="A32" s="99" t="s">
        <v>31</v>
      </c>
      <c r="B32" s="99" t="s">
        <v>100</v>
      </c>
      <c r="C32" s="94" t="e">
        <f>+'Edison Int''l '!#REF!</f>
        <v>#REF!</v>
      </c>
      <c r="D32" s="94" t="e">
        <f>+'Edison Int''l '!#REF!</f>
        <v>#REF!</v>
      </c>
      <c r="E32" s="94" t="e">
        <f>+'Edison Int''l '!#REF!</f>
        <v>#REF!</v>
      </c>
      <c r="F32" s="94" t="e">
        <f>+'Edison Int''l '!#REF!</f>
        <v>#REF!</v>
      </c>
      <c r="G32" s="94" t="e">
        <f>+'Edison Int''l '!#REF!</f>
        <v>#REF!</v>
      </c>
      <c r="H32" s="94" t="e">
        <f>+'Edison Int''l '!#REF!</f>
        <v>#REF!</v>
      </c>
      <c r="I32" s="94" t="e">
        <f>+'Edison Int''l '!#REF!</f>
        <v>#REF!</v>
      </c>
      <c r="J32" s="94" t="e">
        <f>+'Edison Int''l '!#REF!</f>
        <v>#REF!</v>
      </c>
      <c r="K32" s="90"/>
      <c r="L32" s="90"/>
      <c r="M32" s="91"/>
    </row>
    <row r="33" spans="1:13" s="92" customFormat="1" ht="15" customHeight="1" x14ac:dyDescent="0.2">
      <c r="A33" s="99" t="s">
        <v>31</v>
      </c>
      <c r="B33" s="99" t="s">
        <v>100</v>
      </c>
      <c r="C33" s="94" t="e">
        <f>+'Edison Int''l '!#REF!</f>
        <v>#REF!</v>
      </c>
      <c r="D33" s="94" t="e">
        <f>+'Edison Int''l '!#REF!</f>
        <v>#REF!</v>
      </c>
      <c r="E33" s="94" t="e">
        <f>+'Edison Int''l '!#REF!</f>
        <v>#REF!</v>
      </c>
      <c r="F33" s="94" t="e">
        <f>+'Edison Int''l '!#REF!</f>
        <v>#REF!</v>
      </c>
      <c r="G33" s="94" t="e">
        <f>+'Edison Int''l '!#REF!</f>
        <v>#REF!</v>
      </c>
      <c r="H33" s="94" t="e">
        <f>+'Edison Int''l '!#REF!</f>
        <v>#REF!</v>
      </c>
      <c r="I33" s="100" t="e">
        <f>+'Edison Int''l '!#REF!</f>
        <v>#REF!</v>
      </c>
      <c r="J33" s="100" t="e">
        <f>+'Edison Int''l '!#REF!</f>
        <v>#REF!</v>
      </c>
      <c r="K33" s="90"/>
      <c r="L33" s="90"/>
      <c r="M33" s="91"/>
    </row>
    <row r="34" spans="1:13" s="92" customFormat="1" ht="15" customHeight="1" x14ac:dyDescent="0.25">
      <c r="A34" s="122" t="s">
        <v>81</v>
      </c>
      <c r="B34" s="96"/>
      <c r="C34" s="97"/>
      <c r="D34" s="97"/>
      <c r="E34" s="97"/>
      <c r="F34" s="97"/>
      <c r="G34" s="97"/>
      <c r="H34" s="97"/>
      <c r="I34" s="97" t="e">
        <f>SUM(I32:I33)</f>
        <v>#REF!</v>
      </c>
      <c r="J34" s="97" t="e">
        <f>SUM(J32:J33)</f>
        <v>#REF!</v>
      </c>
      <c r="K34" s="90"/>
      <c r="L34" s="90"/>
      <c r="M34" s="91"/>
    </row>
    <row r="35" spans="1:13" s="92" customFormat="1" ht="15" customHeight="1" x14ac:dyDescent="0.25">
      <c r="A35" s="122"/>
      <c r="B35" s="96"/>
      <c r="C35" s="97"/>
      <c r="D35" s="97"/>
      <c r="E35" s="97"/>
      <c r="F35" s="97"/>
      <c r="G35" s="97"/>
      <c r="H35" s="97"/>
      <c r="I35" s="97"/>
      <c r="J35" s="97"/>
      <c r="K35" s="90"/>
      <c r="L35" s="90"/>
      <c r="M35" s="91"/>
    </row>
    <row r="36" spans="1:13" s="92" customFormat="1" ht="15" customHeight="1" x14ac:dyDescent="0.2">
      <c r="A36" s="99"/>
      <c r="B36" s="99"/>
      <c r="C36" s="94"/>
      <c r="D36" s="94"/>
      <c r="E36" s="94"/>
      <c r="F36" s="94"/>
      <c r="G36" s="94"/>
      <c r="H36" s="94"/>
      <c r="I36" s="94"/>
      <c r="J36" s="90"/>
      <c r="K36" s="90"/>
      <c r="L36" s="90"/>
      <c r="M36" s="91"/>
    </row>
    <row r="37" spans="1:13" s="92" customFormat="1" ht="15" customHeight="1" x14ac:dyDescent="0.2">
      <c r="A37" s="99" t="s">
        <v>32</v>
      </c>
      <c r="B37" s="99" t="s">
        <v>89</v>
      </c>
      <c r="C37" s="94">
        <f>+'Edison Int''l '!D18</f>
        <v>0</v>
      </c>
      <c r="D37" s="94">
        <f>+'Edison Int''l '!E18</f>
        <v>0</v>
      </c>
      <c r="E37" s="94">
        <f>+'Edison Int''l '!F18</f>
        <v>0</v>
      </c>
      <c r="F37" s="94">
        <f>+'Edison Int''l '!G18</f>
        <v>0</v>
      </c>
      <c r="G37" s="94">
        <f>+'Edison Int''l '!L18</f>
        <v>0</v>
      </c>
      <c r="H37" s="94">
        <f>+'Edison Int''l '!M18</f>
        <v>11891006</v>
      </c>
      <c r="I37" s="94">
        <f>+'Edison Int''l '!Q18</f>
        <v>0</v>
      </c>
      <c r="J37" s="94">
        <f>+'Edison Int''l '!R18</f>
        <v>0</v>
      </c>
      <c r="K37" s="90"/>
      <c r="L37" s="90"/>
      <c r="M37" s="91"/>
    </row>
    <row r="38" spans="1:13" s="92" customFormat="1" ht="21" customHeight="1" x14ac:dyDescent="0.2">
      <c r="A38" s="104" t="s">
        <v>33</v>
      </c>
      <c r="B38" s="104" t="s">
        <v>89</v>
      </c>
      <c r="C38" s="105">
        <f>+'Edison Int''l '!D22</f>
        <v>15783475</v>
      </c>
      <c r="D38" s="105">
        <f>+'Edison Int''l '!E22</f>
        <v>0</v>
      </c>
      <c r="E38" s="105">
        <f>+'Edison Int''l '!F22</f>
        <v>0</v>
      </c>
      <c r="F38" s="105">
        <f>+'Edison Int''l '!G22</f>
        <v>0</v>
      </c>
      <c r="G38" s="105">
        <f>+'Edison Int''l '!L22</f>
        <v>0</v>
      </c>
      <c r="H38" s="105">
        <f>+'Edison Int''l '!M22</f>
        <v>0</v>
      </c>
      <c r="I38" s="105">
        <f>+'Edison Int''l '!Q22</f>
        <v>15783475</v>
      </c>
      <c r="J38" s="105">
        <f>+'Edison Int''l '!R22</f>
        <v>0</v>
      </c>
      <c r="K38" s="90"/>
      <c r="L38" s="90"/>
      <c r="M38" s="91"/>
    </row>
    <row r="39" spans="1:13" s="144" customFormat="1" ht="21" customHeight="1" x14ac:dyDescent="0.25">
      <c r="A39" s="142" t="s">
        <v>0</v>
      </c>
      <c r="B39" s="145" t="s">
        <v>89</v>
      </c>
      <c r="C39" s="143">
        <f>+'PG&amp;E Corp. '!D9</f>
        <v>44774599</v>
      </c>
      <c r="D39" s="143">
        <f>+'PG&amp;E Corp. '!E9</f>
        <v>-55537770</v>
      </c>
      <c r="E39" s="143">
        <f>+'PG&amp;E Corp. '!F9</f>
        <v>12727229</v>
      </c>
      <c r="F39" s="143">
        <f>+'PG&amp;E Corp. '!G9</f>
        <v>-1916245</v>
      </c>
      <c r="G39" s="143">
        <f>+'PG&amp;E Corp. '!L9</f>
        <v>10810984</v>
      </c>
      <c r="H39" s="143">
        <f>+'PG&amp;E Corp. '!M9</f>
        <v>-21241850</v>
      </c>
      <c r="I39" s="143">
        <f>+'PG&amp;E Corp. '!Q9</f>
        <v>44774599</v>
      </c>
      <c r="J39" s="143">
        <f>+'PG&amp;E Corp. '!R9</f>
        <v>-44726786</v>
      </c>
      <c r="K39" s="29"/>
      <c r="L39" s="29"/>
      <c r="M39" s="146"/>
    </row>
    <row r="40" spans="1:13" s="92" customFormat="1" ht="15" customHeight="1" x14ac:dyDescent="0.2">
      <c r="A40" s="99" t="s">
        <v>2</v>
      </c>
      <c r="B40" s="99" t="s">
        <v>89</v>
      </c>
      <c r="C40" s="94">
        <f>+'PG&amp;E Corp. '!D18</f>
        <v>0</v>
      </c>
      <c r="D40" s="94">
        <f>+'PG&amp;E Corp. '!E18</f>
        <v>0</v>
      </c>
      <c r="E40" s="94">
        <f>+'PG&amp;E Corp. '!F18</f>
        <v>0</v>
      </c>
      <c r="F40" s="94">
        <f>+'PG&amp;E Corp. '!G18</f>
        <v>0</v>
      </c>
      <c r="G40" s="94">
        <f>+'PG&amp;E Corp. '!L18</f>
        <v>0</v>
      </c>
      <c r="H40" s="94">
        <f>+'PG&amp;E Corp. '!M18</f>
        <v>290238</v>
      </c>
      <c r="I40" s="94">
        <f>+'PG&amp;E Corp. '!Q18</f>
        <v>0</v>
      </c>
      <c r="J40" s="94">
        <f>+'PG&amp;E Corp. '!R18</f>
        <v>0</v>
      </c>
      <c r="K40" s="90"/>
      <c r="L40" s="90"/>
      <c r="M40" s="91"/>
    </row>
    <row r="41" spans="1:13" s="92" customFormat="1" ht="15" customHeight="1" x14ac:dyDescent="0.2">
      <c r="A41" s="99" t="s">
        <v>3</v>
      </c>
      <c r="B41" s="99" t="s">
        <v>89</v>
      </c>
      <c r="C41" s="94">
        <f>+'PG&amp;E Corp. '!D25</f>
        <v>-3936493</v>
      </c>
      <c r="D41" s="94">
        <f>+'PG&amp;E Corp. '!E25</f>
        <v>0</v>
      </c>
      <c r="E41" s="94">
        <f>+'PG&amp;E Corp. '!F25</f>
        <v>0</v>
      </c>
      <c r="F41" s="94">
        <f>+'PG&amp;E Corp. '!G25</f>
        <v>0</v>
      </c>
      <c r="G41" s="94">
        <f>+'PG&amp;E Corp. '!L25</f>
        <v>0</v>
      </c>
      <c r="H41" s="94">
        <f>+'PG&amp;E Corp. '!M25</f>
        <v>0</v>
      </c>
      <c r="I41" s="94">
        <f>+'PG&amp;E Corp. '!Q25</f>
        <v>0</v>
      </c>
      <c r="J41" s="94">
        <f>+'PG&amp;E Corp. '!R25</f>
        <v>-3936493</v>
      </c>
      <c r="K41" s="90"/>
      <c r="L41" s="90"/>
      <c r="M41" s="91"/>
    </row>
    <row r="42" spans="1:13" s="92" customFormat="1" ht="15" customHeight="1" x14ac:dyDescent="0.2">
      <c r="A42" s="99" t="s">
        <v>3</v>
      </c>
      <c r="B42" s="99" t="s">
        <v>89</v>
      </c>
      <c r="C42" s="94">
        <f>+'PG&amp;E Corp. '!D26</f>
        <v>0</v>
      </c>
      <c r="D42" s="94">
        <f>+'PG&amp;E Corp. '!E26</f>
        <v>-1438419</v>
      </c>
      <c r="E42" s="94">
        <f>+'PG&amp;E Corp. '!F26</f>
        <v>431300</v>
      </c>
      <c r="F42" s="94">
        <f>+'PG&amp;E Corp. '!G26</f>
        <v>0</v>
      </c>
      <c r="G42" s="94">
        <f>+'PG&amp;E Corp. '!L26</f>
        <v>1235438</v>
      </c>
      <c r="H42" s="94">
        <f>+'PG&amp;E Corp. '!M26</f>
        <v>758150</v>
      </c>
      <c r="I42" s="94">
        <f>+'PG&amp;E Corp. '!Q26</f>
        <v>0</v>
      </c>
      <c r="J42" s="94">
        <f>+'PG&amp;E Corp. '!R26</f>
        <v>-202981</v>
      </c>
      <c r="K42" s="90"/>
      <c r="L42" s="90"/>
      <c r="M42" s="91"/>
    </row>
    <row r="43" spans="1:13" s="92" customFormat="1" ht="15" customHeight="1" x14ac:dyDescent="0.2">
      <c r="A43" s="99" t="s">
        <v>4</v>
      </c>
      <c r="B43" s="99" t="s">
        <v>89</v>
      </c>
      <c r="C43" s="94">
        <f>+'PG&amp;E Corp. '!D38</f>
        <v>0</v>
      </c>
      <c r="D43" s="94">
        <f>+'PG&amp;E Corp. '!E38</f>
        <v>-172975</v>
      </c>
      <c r="E43" s="94">
        <f>+'PG&amp;E Corp. '!F38</f>
        <v>2544718</v>
      </c>
      <c r="F43" s="94">
        <f>+'PG&amp;E Corp. '!G38</f>
        <v>-3326300</v>
      </c>
      <c r="G43" s="94">
        <f>+'PG&amp;E Corp. '!L38</f>
        <v>929618</v>
      </c>
      <c r="H43" s="94">
        <f>+'PG&amp;E Corp. '!M38</f>
        <v>-3205556</v>
      </c>
      <c r="I43" s="94">
        <f>+'PG&amp;E Corp. '!Q38</f>
        <v>756643</v>
      </c>
      <c r="J43" s="94">
        <f>+'PG&amp;E Corp. '!R38</f>
        <v>0</v>
      </c>
      <c r="K43" s="90"/>
      <c r="L43" s="90"/>
      <c r="M43" s="91"/>
    </row>
    <row r="44" spans="1:13" s="92" customFormat="1" ht="15" customHeight="1" x14ac:dyDescent="0.2">
      <c r="A44" s="99" t="s">
        <v>5</v>
      </c>
      <c r="B44" s="99" t="s">
        <v>89</v>
      </c>
      <c r="C44" s="94">
        <f>+'PG&amp;E Corp. '!D43</f>
        <v>214573641</v>
      </c>
      <c r="D44" s="94">
        <f>+'PG&amp;E Corp. '!E43</f>
        <v>0</v>
      </c>
      <c r="E44" s="94">
        <f>+'PG&amp;E Corp. '!F43</f>
        <v>0</v>
      </c>
      <c r="F44" s="94">
        <f>+'PG&amp;E Corp. '!G43</f>
        <v>0</v>
      </c>
      <c r="G44" s="94">
        <f>+'PG&amp;E Corp. '!L43</f>
        <v>0</v>
      </c>
      <c r="H44" s="94">
        <f>+'PG&amp;E Corp. '!M43</f>
        <v>-22486468</v>
      </c>
      <c r="I44" s="94">
        <f>+'PG&amp;E Corp. '!Q43</f>
        <v>214573641</v>
      </c>
      <c r="J44" s="94">
        <f>+'PG&amp;E Corp. '!R43</f>
        <v>0</v>
      </c>
      <c r="K44" s="90"/>
      <c r="L44" s="90"/>
      <c r="M44" s="91"/>
    </row>
    <row r="45" spans="1:13" s="92" customFormat="1" ht="15" customHeight="1" x14ac:dyDescent="0.2">
      <c r="A45" s="99" t="s">
        <v>5</v>
      </c>
      <c r="B45" s="99" t="s">
        <v>89</v>
      </c>
      <c r="C45" s="94">
        <f>+'PG&amp;E Corp. '!D44</f>
        <v>0</v>
      </c>
      <c r="D45" s="94">
        <f>+'PG&amp;E Corp. '!E44</f>
        <v>-8151903</v>
      </c>
      <c r="E45" s="94">
        <f>+'PG&amp;E Corp. '!F44</f>
        <v>29769800</v>
      </c>
      <c r="F45" s="94">
        <f>+'PG&amp;E Corp. '!G44</f>
        <v>-49153571</v>
      </c>
      <c r="G45" s="94">
        <f>+'PG&amp;E Corp. '!L44</f>
        <v>-30094883</v>
      </c>
      <c r="H45" s="94">
        <f>+'PG&amp;E Corp. '!M44</f>
        <v>-14187360</v>
      </c>
      <c r="I45" s="94">
        <f>+'PG&amp;E Corp. '!Q44</f>
        <v>0</v>
      </c>
      <c r="J45" s="94">
        <f>+'PG&amp;E Corp. '!R44</f>
        <v>-38246786</v>
      </c>
      <c r="K45" s="90"/>
      <c r="L45" s="90"/>
      <c r="M45" s="91"/>
    </row>
    <row r="46" spans="1:13" s="92" customFormat="1" ht="17.25" customHeight="1" x14ac:dyDescent="0.25">
      <c r="A46" s="96" t="s">
        <v>6</v>
      </c>
      <c r="B46" s="99" t="s">
        <v>89</v>
      </c>
      <c r="C46" s="94">
        <f>+'PG&amp;E Corp. '!D56</f>
        <v>0</v>
      </c>
      <c r="D46" s="94">
        <f>+'PG&amp;E Corp. '!E56</f>
        <v>165908694</v>
      </c>
      <c r="E46" s="94">
        <f>+'PG&amp;E Corp. '!F56</f>
        <v>0</v>
      </c>
      <c r="F46" s="94">
        <f>+'PG&amp;E Corp. '!G56</f>
        <v>0</v>
      </c>
      <c r="G46" s="94">
        <f>+'PG&amp;E Corp. '!L56</f>
        <v>0</v>
      </c>
      <c r="H46" s="94">
        <f>+'PG&amp;E Corp. '!M56</f>
        <v>-18574001</v>
      </c>
      <c r="I46" s="95">
        <f>+'PG&amp;E Corp. '!Q56</f>
        <v>165908694</v>
      </c>
      <c r="J46" s="95">
        <f>+'PG&amp;E Corp. '!R56</f>
        <v>0</v>
      </c>
      <c r="K46" s="90"/>
      <c r="L46" s="90"/>
      <c r="M46" s="91"/>
    </row>
    <row r="47" spans="1:13" s="92" customFormat="1" ht="17.25" customHeight="1" x14ac:dyDescent="0.25">
      <c r="A47" s="37" t="s">
        <v>119</v>
      </c>
      <c r="B47" s="99" t="s">
        <v>89</v>
      </c>
      <c r="C47" s="94">
        <f>+'PG&amp;E Corp. '!D32</f>
        <v>0</v>
      </c>
      <c r="D47" s="94">
        <f>+'PG&amp;E Corp. '!E32</f>
        <v>0</v>
      </c>
      <c r="E47" s="94">
        <f>+'PG&amp;E Corp. '!F32</f>
        <v>9</v>
      </c>
      <c r="F47" s="94">
        <f>+'PG&amp;E Corp. '!G32</f>
        <v>0</v>
      </c>
      <c r="G47" s="94">
        <f>+'PG&amp;E Corp. '!L32</f>
        <v>9</v>
      </c>
      <c r="H47" s="94">
        <f>+'PG&amp;E Corp. '!M32</f>
        <v>997337</v>
      </c>
      <c r="I47" s="100">
        <f>+'PG&amp;E Corp. '!Q32</f>
        <v>9</v>
      </c>
      <c r="J47" s="100">
        <f>+'PG&amp;E Corp. '!R32</f>
        <v>0</v>
      </c>
      <c r="K47" s="90"/>
      <c r="L47" s="90"/>
      <c r="M47" s="91"/>
    </row>
    <row r="48" spans="1:13" s="92" customFormat="1" ht="15" customHeight="1" x14ac:dyDescent="0.25">
      <c r="A48" s="122" t="s">
        <v>82</v>
      </c>
      <c r="B48" s="96"/>
      <c r="C48" s="97"/>
      <c r="D48" s="97"/>
      <c r="E48" s="97"/>
      <c r="F48" s="97"/>
      <c r="G48" s="97"/>
      <c r="H48" s="97"/>
      <c r="I48" s="97">
        <f>SUM(I37:I47)</f>
        <v>441797061</v>
      </c>
      <c r="J48" s="97">
        <f>SUM(J37:J47)</f>
        <v>-87113046</v>
      </c>
      <c r="K48" s="90"/>
      <c r="L48" s="90"/>
      <c r="M48" s="91"/>
    </row>
    <row r="49" spans="1:13" s="92" customFormat="1" ht="15" customHeight="1" x14ac:dyDescent="0.25">
      <c r="A49" s="122"/>
      <c r="B49" s="96"/>
      <c r="C49" s="97"/>
      <c r="D49" s="97"/>
      <c r="E49" s="97"/>
      <c r="F49" s="97"/>
      <c r="G49" s="97"/>
      <c r="H49" s="97"/>
      <c r="I49" s="97"/>
      <c r="J49" s="97"/>
      <c r="K49" s="90"/>
      <c r="L49" s="90"/>
      <c r="M49" s="91"/>
    </row>
    <row r="50" spans="1:13" s="92" customFormat="1" ht="15" customHeight="1" x14ac:dyDescent="0.25">
      <c r="A50" s="99"/>
      <c r="B50" s="99"/>
      <c r="C50" s="94"/>
      <c r="D50" s="94"/>
      <c r="E50" s="94"/>
      <c r="F50" s="94"/>
      <c r="G50" s="94"/>
      <c r="H50" s="94"/>
      <c r="I50" s="94"/>
      <c r="J50" s="106"/>
      <c r="K50" s="90"/>
      <c r="L50" s="90"/>
      <c r="M50" s="91"/>
    </row>
    <row r="51" spans="1:13" s="92" customFormat="1" ht="15" customHeight="1" x14ac:dyDescent="0.2">
      <c r="A51" s="90" t="s">
        <v>45</v>
      </c>
      <c r="B51" s="99" t="s">
        <v>90</v>
      </c>
      <c r="C51" s="107" t="s">
        <v>104</v>
      </c>
      <c r="D51" s="108"/>
      <c r="E51" s="109">
        <f>77653215-27346350-659005</f>
        <v>49647860</v>
      </c>
      <c r="F51" s="110"/>
      <c r="G51" s="93"/>
      <c r="H51" s="93"/>
      <c r="I51" s="90">
        <f>+E51</f>
        <v>49647860</v>
      </c>
      <c r="J51" s="108"/>
      <c r="K51" s="90"/>
      <c r="L51" s="90"/>
      <c r="M51" s="91"/>
    </row>
    <row r="52" spans="1:13" s="92" customFormat="1" ht="15" customHeight="1" x14ac:dyDescent="0.2">
      <c r="A52" s="90" t="s">
        <v>45</v>
      </c>
      <c r="B52" s="99" t="s">
        <v>90</v>
      </c>
      <c r="C52" s="107" t="s">
        <v>105</v>
      </c>
      <c r="D52" s="108"/>
      <c r="E52" s="109"/>
      <c r="F52" s="110">
        <f>-42747380+28936761-599752+21</f>
        <v>-14410350</v>
      </c>
      <c r="G52" s="93"/>
      <c r="H52" s="93"/>
      <c r="I52" s="90"/>
      <c r="J52" s="109">
        <f>+F52</f>
        <v>-14410350</v>
      </c>
      <c r="K52" s="90"/>
      <c r="L52" s="90"/>
      <c r="M52" s="91"/>
    </row>
    <row r="53" spans="1:13" s="92" customFormat="1" ht="15" customHeight="1" x14ac:dyDescent="0.2">
      <c r="A53" s="90" t="s">
        <v>45</v>
      </c>
      <c r="B53" s="99" t="s">
        <v>90</v>
      </c>
      <c r="C53" s="111" t="s">
        <v>106</v>
      </c>
      <c r="D53" s="108"/>
      <c r="E53" s="109"/>
      <c r="F53" s="110">
        <f>-7816951+1884397-137662</f>
        <v>-6070216</v>
      </c>
      <c r="G53" s="93"/>
      <c r="H53" s="93"/>
      <c r="I53" s="90"/>
      <c r="J53" s="109">
        <f>+F53</f>
        <v>-6070216</v>
      </c>
      <c r="K53" s="90"/>
      <c r="L53" s="90"/>
      <c r="M53" s="91"/>
    </row>
    <row r="54" spans="1:13" s="92" customFormat="1" ht="15" customHeight="1" x14ac:dyDescent="0.2">
      <c r="A54" s="93" t="s">
        <v>51</v>
      </c>
      <c r="B54" s="99" t="s">
        <v>90</v>
      </c>
      <c r="C54" s="112" t="s">
        <v>107</v>
      </c>
      <c r="D54" s="90"/>
      <c r="E54" s="110"/>
      <c r="F54" s="110">
        <f>-1967079+35761</f>
        <v>-1931318</v>
      </c>
      <c r="G54" s="93"/>
      <c r="H54" s="93"/>
      <c r="I54" s="90"/>
      <c r="J54" s="90">
        <f>+F54</f>
        <v>-1931318</v>
      </c>
      <c r="K54" s="90"/>
      <c r="L54" s="90"/>
      <c r="M54" s="91"/>
    </row>
    <row r="55" spans="1:13" s="92" customFormat="1" ht="15" customHeight="1" x14ac:dyDescent="0.2">
      <c r="A55" s="93" t="s">
        <v>51</v>
      </c>
      <c r="B55" s="99" t="s">
        <v>90</v>
      </c>
      <c r="C55" s="113" t="s">
        <v>108</v>
      </c>
      <c r="D55" s="90"/>
      <c r="E55" s="110"/>
      <c r="F55" s="110">
        <f>-874535+19401</f>
        <v>-855134</v>
      </c>
      <c r="G55" s="93"/>
      <c r="H55" s="93"/>
      <c r="I55" s="90"/>
      <c r="J55" s="90">
        <f>+F55</f>
        <v>-855134</v>
      </c>
      <c r="K55" s="90"/>
      <c r="L55" s="90"/>
      <c r="M55" s="91"/>
    </row>
    <row r="56" spans="1:13" s="92" customFormat="1" ht="15" customHeight="1" x14ac:dyDescent="0.2">
      <c r="A56" s="93" t="s">
        <v>51</v>
      </c>
      <c r="B56" s="99" t="s">
        <v>90</v>
      </c>
      <c r="C56" s="113" t="s">
        <v>109</v>
      </c>
      <c r="D56" s="90"/>
      <c r="E56" s="110">
        <f>27467988-14941737</f>
        <v>12526251</v>
      </c>
      <c r="F56" s="110"/>
      <c r="G56" s="93"/>
      <c r="H56" s="93"/>
      <c r="I56" s="90">
        <f>+E56</f>
        <v>12526251</v>
      </c>
      <c r="J56" s="90"/>
      <c r="K56" s="90"/>
      <c r="L56" s="90"/>
      <c r="M56" s="91"/>
    </row>
    <row r="57" spans="1:13" s="92" customFormat="1" ht="15" customHeight="1" x14ac:dyDescent="0.2">
      <c r="A57" s="93" t="s">
        <v>51</v>
      </c>
      <c r="B57" s="99" t="s">
        <v>90</v>
      </c>
      <c r="C57" s="113" t="s">
        <v>110</v>
      </c>
      <c r="D57" s="90"/>
      <c r="E57" s="110"/>
      <c r="F57" s="110">
        <f>-32647600</f>
        <v>-32647600</v>
      </c>
      <c r="G57" s="93"/>
      <c r="H57" s="93"/>
      <c r="I57" s="90"/>
      <c r="J57" s="90">
        <f>F57</f>
        <v>-32647600</v>
      </c>
      <c r="K57" s="90"/>
      <c r="L57" s="90"/>
      <c r="M57" s="91"/>
    </row>
    <row r="58" spans="1:13" s="92" customFormat="1" ht="15" customHeight="1" x14ac:dyDescent="0.2">
      <c r="A58" s="93" t="s">
        <v>51</v>
      </c>
      <c r="B58" s="99" t="s">
        <v>90</v>
      </c>
      <c r="C58" s="113" t="s">
        <v>111</v>
      </c>
      <c r="D58" s="90"/>
      <c r="E58" s="110"/>
      <c r="F58" s="110">
        <f>-26739+1573</f>
        <v>-25166</v>
      </c>
      <c r="G58" s="93"/>
      <c r="H58" s="93"/>
      <c r="I58" s="90"/>
      <c r="J58" s="90">
        <f>+F58</f>
        <v>-25166</v>
      </c>
      <c r="K58" s="90"/>
      <c r="L58" s="90"/>
      <c r="M58" s="91"/>
    </row>
    <row r="59" spans="1:13" s="92" customFormat="1" ht="15" customHeight="1" x14ac:dyDescent="0.2">
      <c r="A59" s="93" t="s">
        <v>51</v>
      </c>
      <c r="B59" s="99" t="s">
        <v>90</v>
      </c>
      <c r="C59" s="113" t="s">
        <v>112</v>
      </c>
      <c r="D59" s="90"/>
      <c r="E59" s="110"/>
      <c r="F59" s="110">
        <f>-29231764+13902201</f>
        <v>-15329563</v>
      </c>
      <c r="G59" s="93"/>
      <c r="H59" s="93"/>
      <c r="I59" s="90"/>
      <c r="J59" s="90">
        <f>+F59</f>
        <v>-15329563</v>
      </c>
      <c r="K59" s="90"/>
      <c r="L59" s="90"/>
      <c r="M59" s="91"/>
    </row>
    <row r="60" spans="1:13" s="92" customFormat="1" ht="15" customHeight="1" x14ac:dyDescent="0.2">
      <c r="A60" s="93" t="s">
        <v>51</v>
      </c>
      <c r="B60" s="99" t="s">
        <v>90</v>
      </c>
      <c r="C60" s="114" t="s">
        <v>52</v>
      </c>
      <c r="D60" s="90">
        <v>-48000000</v>
      </c>
      <c r="E60" s="110"/>
      <c r="F60" s="109"/>
      <c r="G60" s="93"/>
      <c r="H60" s="93"/>
      <c r="I60" s="90"/>
      <c r="J60" s="90">
        <f>+D60</f>
        <v>-48000000</v>
      </c>
      <c r="K60" s="90"/>
      <c r="L60" s="90"/>
      <c r="M60" s="91"/>
    </row>
    <row r="61" spans="1:13" s="92" customFormat="1" ht="15" customHeight="1" x14ac:dyDescent="0.2">
      <c r="A61" s="115" t="s">
        <v>33</v>
      </c>
      <c r="B61" s="99" t="s">
        <v>90</v>
      </c>
      <c r="C61" s="116">
        <f>+'Edison Int''l '!D23</f>
        <v>0</v>
      </c>
      <c r="D61" s="116">
        <f>+'Edison Int''l '!E23</f>
        <v>-970062</v>
      </c>
      <c r="E61" s="116">
        <f>+'Edison Int''l '!F23</f>
        <v>9734460</v>
      </c>
      <c r="F61" s="116">
        <f>+'Edison Int''l '!G23</f>
        <v>-7167360</v>
      </c>
      <c r="G61" s="116">
        <f>+'Edison Int''l '!L23</f>
        <v>-2289315</v>
      </c>
      <c r="H61" s="116">
        <f>+'Edison Int''l '!M23</f>
        <v>-11111175</v>
      </c>
      <c r="I61" s="116">
        <f>+'Edison Int''l '!Q23</f>
        <v>-3259377</v>
      </c>
      <c r="J61" s="116">
        <f>+'Edison Int''l '!R23</f>
        <v>0</v>
      </c>
      <c r="K61" s="90"/>
      <c r="L61" s="90"/>
      <c r="M61" s="91"/>
    </row>
    <row r="62" spans="1:13" s="92" customFormat="1" ht="15" customHeight="1" x14ac:dyDescent="0.2">
      <c r="A62" s="99" t="s">
        <v>0</v>
      </c>
      <c r="B62" s="99" t="s">
        <v>90</v>
      </c>
      <c r="C62" s="94">
        <f>+'PG&amp;E Corp. '!D10</f>
        <v>0</v>
      </c>
      <c r="D62" s="94">
        <f>+'PG&amp;E Corp. '!E10</f>
        <v>-134176796</v>
      </c>
      <c r="E62" s="94">
        <f>+'PG&amp;E Corp. '!F10</f>
        <v>577800</v>
      </c>
      <c r="F62" s="94">
        <f>+'PG&amp;E Corp. '!G10</f>
        <v>0</v>
      </c>
      <c r="G62" s="94">
        <f>+'PG&amp;E Corp. '!L10</f>
        <v>5449160</v>
      </c>
      <c r="H62" s="94">
        <f>+'PG&amp;E Corp. '!M10</f>
        <v>-102163008</v>
      </c>
      <c r="I62" s="94">
        <f>+'PG&amp;E Corp. '!Q10</f>
        <v>0</v>
      </c>
      <c r="J62" s="94">
        <f>+'PG&amp;E Corp. '!R10</f>
        <v>-128727636</v>
      </c>
      <c r="K62" s="90"/>
      <c r="L62" s="90"/>
      <c r="M62" s="91"/>
    </row>
    <row r="63" spans="1:13" s="92" customFormat="1" ht="15" customHeight="1" x14ac:dyDescent="0.25">
      <c r="A63" s="96" t="s">
        <v>3</v>
      </c>
      <c r="B63" s="96" t="s">
        <v>90</v>
      </c>
      <c r="C63" s="97">
        <f>+'PG&amp;E Corp. '!D28</f>
        <v>0</v>
      </c>
      <c r="D63" s="97">
        <f>+'PG&amp;E Corp. '!E28</f>
        <v>54642603</v>
      </c>
      <c r="E63" s="97">
        <f>+'PG&amp;E Corp. '!F28</f>
        <v>64279928</v>
      </c>
      <c r="F63" s="97">
        <f>+'PG&amp;E Corp. '!G28</f>
        <v>-41605059</v>
      </c>
      <c r="G63" s="97">
        <f>+'PG&amp;E Corp. '!L28</f>
        <v>11590156</v>
      </c>
      <c r="H63" s="97">
        <f>+'PG&amp;E Corp. '!M28</f>
        <v>221533072</v>
      </c>
      <c r="I63" s="97">
        <f>+'PG&amp;E Corp. '!Q28</f>
        <v>66232759</v>
      </c>
      <c r="J63" s="97">
        <f>+'PG&amp;E Corp. '!R28</f>
        <v>0</v>
      </c>
      <c r="K63" s="90"/>
      <c r="L63" s="90"/>
      <c r="M63" s="91"/>
    </row>
    <row r="64" spans="1:13" s="144" customFormat="1" ht="15" customHeight="1" x14ac:dyDescent="0.2">
      <c r="A64" s="147" t="s">
        <v>34</v>
      </c>
      <c r="B64" s="28" t="s">
        <v>90</v>
      </c>
      <c r="C64" s="148">
        <f>+'Edison Int''l '!D7</f>
        <v>0</v>
      </c>
      <c r="D64" s="148">
        <f>+'Edison Int''l '!E7</f>
        <v>-76379872</v>
      </c>
      <c r="E64" s="148">
        <f>+'Edison Int''l '!F7</f>
        <v>0</v>
      </c>
      <c r="F64" s="148">
        <f>+'Edison Int''l '!G7</f>
        <v>0</v>
      </c>
      <c r="G64" s="148">
        <f>+'Edison Int''l '!L7</f>
        <v>2496000</v>
      </c>
      <c r="H64" s="148">
        <f>+'Edison Int''l '!M7</f>
        <v>-43530494</v>
      </c>
      <c r="I64" s="149">
        <f>+'Edison Int''l '!Q7</f>
        <v>0</v>
      </c>
      <c r="J64" s="149">
        <f>+'Edison Int''l '!R7</f>
        <v>-73883872</v>
      </c>
      <c r="K64" s="29"/>
      <c r="L64" s="29"/>
      <c r="M64" s="146"/>
    </row>
    <row r="65" spans="1:13" s="92" customFormat="1" ht="15" customHeight="1" x14ac:dyDescent="0.25">
      <c r="A65" s="122" t="s">
        <v>83</v>
      </c>
      <c r="B65" s="115"/>
      <c r="C65" s="116"/>
      <c r="D65" s="116"/>
      <c r="E65" s="116"/>
      <c r="F65" s="116"/>
      <c r="G65" s="116"/>
      <c r="H65" s="116"/>
      <c r="I65" s="105">
        <f>SUM(I51:I64)</f>
        <v>125147493</v>
      </c>
      <c r="J65" s="105">
        <f>SUM(J51:J64)</f>
        <v>-321880855</v>
      </c>
      <c r="K65" s="90"/>
      <c r="L65" s="90"/>
      <c r="M65" s="91"/>
    </row>
    <row r="66" spans="1:13" s="92" customFormat="1" ht="15" customHeight="1" x14ac:dyDescent="0.25">
      <c r="A66" s="122"/>
      <c r="B66" s="115"/>
      <c r="C66" s="116"/>
      <c r="D66" s="116"/>
      <c r="E66" s="116"/>
      <c r="F66" s="116"/>
      <c r="G66" s="116"/>
      <c r="H66" s="116"/>
      <c r="I66" s="105"/>
      <c r="J66" s="105"/>
      <c r="K66" s="90"/>
      <c r="L66" s="90"/>
      <c r="M66" s="91"/>
    </row>
    <row r="67" spans="1:13" s="92" customFormat="1" ht="15" customHeight="1" x14ac:dyDescent="0.2">
      <c r="A67" s="115"/>
      <c r="B67" s="115"/>
      <c r="C67" s="116"/>
      <c r="D67" s="116"/>
      <c r="E67" s="116"/>
      <c r="F67" s="116"/>
      <c r="G67" s="116"/>
      <c r="H67" s="116"/>
      <c r="I67" s="116"/>
      <c r="J67" s="118"/>
      <c r="K67" s="90"/>
      <c r="L67" s="90"/>
      <c r="M67" s="91"/>
    </row>
    <row r="68" spans="1:13" s="144" customFormat="1" ht="15" customHeight="1" x14ac:dyDescent="0.2">
      <c r="A68" s="150" t="s">
        <v>0</v>
      </c>
      <c r="B68" s="150" t="s">
        <v>91</v>
      </c>
      <c r="C68" s="151">
        <f>+'PG&amp;E Corp. '!D14</f>
        <v>0</v>
      </c>
      <c r="D68" s="151">
        <f>+'PG&amp;E Corp. '!E14</f>
        <v>0</v>
      </c>
      <c r="E68" s="151">
        <f>+'PG&amp;E Corp. '!F14</f>
        <v>447801.92000000004</v>
      </c>
      <c r="F68" s="151">
        <f>+'PG&amp;E Corp. '!G14</f>
        <v>0</v>
      </c>
      <c r="G68" s="151">
        <f>+'PG&amp;E Corp. '!L14</f>
        <v>447801.92000000004</v>
      </c>
      <c r="H68" s="151">
        <f>+'PG&amp;E Corp. '!M14</f>
        <v>0</v>
      </c>
      <c r="I68" s="151">
        <f>+'PG&amp;E Corp. '!Q14</f>
        <v>447801.92000000004</v>
      </c>
      <c r="J68" s="151">
        <f>+'PG&amp;E Corp. '!R14</f>
        <v>0</v>
      </c>
      <c r="K68" s="29"/>
      <c r="L68" s="29"/>
      <c r="M68" s="146"/>
    </row>
    <row r="69" spans="1:13" s="144" customFormat="1" ht="15" customHeight="1" x14ac:dyDescent="0.2">
      <c r="A69" s="150" t="s">
        <v>34</v>
      </c>
      <c r="B69" s="150" t="s">
        <v>91</v>
      </c>
      <c r="C69" s="151">
        <f>+'Edison Int''l '!D11</f>
        <v>0</v>
      </c>
      <c r="D69" s="151">
        <f>+'Edison Int''l '!E11</f>
        <v>20190000</v>
      </c>
      <c r="E69" s="151">
        <f>+'Edison Int''l '!F11</f>
        <v>10868964.130000001</v>
      </c>
      <c r="F69" s="151">
        <f>+'Edison Int''l '!G11</f>
        <v>0</v>
      </c>
      <c r="G69" s="151">
        <f>+'Edison Int''l '!L11</f>
        <v>10868964.130000001</v>
      </c>
      <c r="H69" s="151">
        <f>+'Edison Int''l '!M11</f>
        <v>0</v>
      </c>
      <c r="I69" s="152">
        <f>+'Edison Int''l '!Q11</f>
        <v>31058964.130000003</v>
      </c>
      <c r="J69" s="152">
        <f>+'Edison Int''l '!R11</f>
        <v>0</v>
      </c>
      <c r="K69" s="29"/>
      <c r="L69" s="29"/>
      <c r="M69" s="146"/>
    </row>
    <row r="70" spans="1:13" s="92" customFormat="1" ht="15" customHeight="1" x14ac:dyDescent="0.25">
      <c r="A70" s="122" t="s">
        <v>84</v>
      </c>
      <c r="B70" s="119"/>
      <c r="C70" s="101"/>
      <c r="D70" s="101"/>
      <c r="E70" s="101"/>
      <c r="F70" s="101"/>
      <c r="G70" s="101"/>
      <c r="H70" s="116"/>
      <c r="I70" s="89">
        <f>+SUM(I68:I69)</f>
        <v>31506766.050000004</v>
      </c>
      <c r="J70" s="89">
        <f>+SUM(J68:J69)</f>
        <v>0</v>
      </c>
      <c r="K70" s="90"/>
      <c r="L70" s="90"/>
      <c r="M70" s="91"/>
    </row>
    <row r="71" spans="1:13" s="92" customFormat="1" ht="15" customHeight="1" x14ac:dyDescent="0.25">
      <c r="A71" s="122"/>
      <c r="B71" s="119"/>
      <c r="C71" s="101"/>
      <c r="D71" s="101"/>
      <c r="E71" s="101"/>
      <c r="F71" s="101"/>
      <c r="G71" s="101"/>
      <c r="H71" s="116"/>
      <c r="I71" s="89"/>
      <c r="J71" s="89"/>
      <c r="K71" s="90"/>
      <c r="L71" s="90"/>
      <c r="M71" s="91"/>
    </row>
    <row r="72" spans="1:13" s="92" customFormat="1" ht="15" customHeight="1" x14ac:dyDescent="0.2">
      <c r="A72" s="119"/>
      <c r="B72" s="119"/>
      <c r="C72" s="101"/>
      <c r="D72" s="101"/>
      <c r="E72" s="101"/>
      <c r="F72" s="101"/>
      <c r="G72" s="101"/>
      <c r="H72" s="116"/>
      <c r="I72" s="101"/>
      <c r="J72" s="117"/>
      <c r="K72" s="90"/>
      <c r="L72" s="90"/>
      <c r="M72" s="91"/>
    </row>
    <row r="73" spans="1:13" s="92" customFormat="1" ht="15" customHeight="1" x14ac:dyDescent="0.2">
      <c r="A73" s="99" t="s">
        <v>5</v>
      </c>
      <c r="B73" s="99" t="s">
        <v>92</v>
      </c>
      <c r="C73" s="94">
        <f>+'PG&amp;E Corp. '!D45</f>
        <v>0</v>
      </c>
      <c r="D73" s="94">
        <f>+'PG&amp;E Corp. '!E45</f>
        <v>0</v>
      </c>
      <c r="E73" s="94">
        <f>+'PG&amp;E Corp. '!F45</f>
        <v>1045275</v>
      </c>
      <c r="F73" s="94">
        <f>+'PG&amp;E Corp. '!G45</f>
        <v>-936500</v>
      </c>
      <c r="G73" s="94">
        <f>+'PG&amp;E Corp. '!L45</f>
        <v>87209</v>
      </c>
      <c r="H73" s="94">
        <f>+'PG&amp;E Corp. '!M45</f>
        <v>1507632</v>
      </c>
      <c r="I73" s="100">
        <f>+'PG&amp;E Corp. '!Q45</f>
        <v>87209</v>
      </c>
      <c r="J73" s="100">
        <f>+'PG&amp;E Corp. '!R45</f>
        <v>0</v>
      </c>
      <c r="K73" s="90"/>
      <c r="L73" s="90"/>
      <c r="M73" s="91"/>
    </row>
    <row r="74" spans="1:13" s="92" customFormat="1" ht="15" customHeight="1" x14ac:dyDescent="0.25">
      <c r="A74" s="122" t="s">
        <v>85</v>
      </c>
      <c r="B74" s="99"/>
      <c r="C74" s="94"/>
      <c r="D74" s="94"/>
      <c r="E74" s="94"/>
      <c r="F74" s="94"/>
      <c r="G74" s="94"/>
      <c r="H74" s="94"/>
      <c r="I74" s="97">
        <f>SUM(I73)</f>
        <v>87209</v>
      </c>
      <c r="J74" s="97">
        <f>SUM(J73)</f>
        <v>0</v>
      </c>
      <c r="K74" s="90"/>
      <c r="L74" s="90"/>
      <c r="M74" s="91"/>
    </row>
    <row r="75" spans="1:13" s="92" customFormat="1" ht="15" customHeight="1" x14ac:dyDescent="0.25">
      <c r="A75" s="122"/>
      <c r="B75" s="99"/>
      <c r="C75" s="94"/>
      <c r="D75" s="94"/>
      <c r="E75" s="94"/>
      <c r="F75" s="94"/>
      <c r="G75" s="94"/>
      <c r="H75" s="94"/>
      <c r="I75" s="97"/>
      <c r="J75" s="97"/>
      <c r="K75" s="90"/>
      <c r="L75" s="90"/>
      <c r="M75" s="91"/>
    </row>
    <row r="76" spans="1:13" s="92" customFormat="1" ht="15" customHeight="1" x14ac:dyDescent="0.2">
      <c r="A76" s="99"/>
      <c r="B76" s="99"/>
      <c r="C76" s="94"/>
      <c r="D76" s="94"/>
      <c r="E76" s="94"/>
      <c r="F76" s="94"/>
      <c r="G76" s="94"/>
      <c r="H76" s="94"/>
      <c r="I76" s="94"/>
      <c r="J76" s="90"/>
      <c r="K76" s="90"/>
      <c r="L76" s="90"/>
      <c r="M76" s="91"/>
    </row>
    <row r="77" spans="1:13" s="92" customFormat="1" ht="15" customHeight="1" x14ac:dyDescent="0.2">
      <c r="A77" s="90" t="s">
        <v>45</v>
      </c>
      <c r="B77" s="99" t="s">
        <v>101</v>
      </c>
      <c r="C77" s="111" t="s">
        <v>46</v>
      </c>
      <c r="D77" s="108"/>
      <c r="E77" s="110">
        <v>7700000</v>
      </c>
      <c r="F77" s="109"/>
      <c r="G77" s="93"/>
      <c r="H77" s="93"/>
      <c r="I77" s="90">
        <f>+E77</f>
        <v>7700000</v>
      </c>
      <c r="J77" s="108"/>
      <c r="K77" s="93"/>
      <c r="L77" s="93"/>
    </row>
    <row r="78" spans="1:13" s="92" customFormat="1" ht="15" customHeight="1" x14ac:dyDescent="0.2">
      <c r="A78" s="90" t="s">
        <v>45</v>
      </c>
      <c r="B78" s="99" t="s">
        <v>101</v>
      </c>
      <c r="C78" s="111" t="s">
        <v>47</v>
      </c>
      <c r="D78" s="108"/>
      <c r="E78" s="110">
        <v>45000000</v>
      </c>
      <c r="F78" s="109"/>
      <c r="G78" s="93"/>
      <c r="H78" s="93"/>
      <c r="I78" s="90">
        <f>+E78</f>
        <v>45000000</v>
      </c>
      <c r="J78" s="108"/>
      <c r="K78" s="93"/>
      <c r="L78" s="93"/>
    </row>
    <row r="79" spans="1:13" s="92" customFormat="1" ht="15" customHeight="1" x14ac:dyDescent="0.2">
      <c r="A79" s="90" t="s">
        <v>45</v>
      </c>
      <c r="B79" s="99" t="s">
        <v>101</v>
      </c>
      <c r="C79" s="111" t="s">
        <v>48</v>
      </c>
      <c r="D79" s="108"/>
      <c r="E79" s="110">
        <v>500000</v>
      </c>
      <c r="F79" s="109"/>
      <c r="G79" s="93"/>
      <c r="H79" s="93"/>
      <c r="I79" s="90">
        <f>+E79</f>
        <v>500000</v>
      </c>
      <c r="J79" s="108"/>
      <c r="K79" s="93"/>
      <c r="L79" s="93"/>
    </row>
    <row r="80" spans="1:13" s="92" customFormat="1" ht="15" customHeight="1" x14ac:dyDescent="0.2">
      <c r="A80" s="93" t="s">
        <v>51</v>
      </c>
      <c r="B80" s="99" t="s">
        <v>101</v>
      </c>
      <c r="C80" s="120" t="s">
        <v>47</v>
      </c>
      <c r="D80" s="121"/>
      <c r="E80" s="110">
        <v>2800000</v>
      </c>
      <c r="F80" s="110"/>
      <c r="G80" s="93"/>
      <c r="H80" s="93"/>
      <c r="I80" s="90">
        <f>+E80</f>
        <v>2800000</v>
      </c>
      <c r="J80" s="90"/>
      <c r="K80" s="93"/>
      <c r="L80" s="93"/>
    </row>
    <row r="81" spans="1:12" s="144" customFormat="1" ht="15" customHeight="1" x14ac:dyDescent="0.25">
      <c r="A81" s="153" t="s">
        <v>34</v>
      </c>
      <c r="B81" s="142" t="s">
        <v>101</v>
      </c>
      <c r="C81" s="154">
        <f>+'Edison Int''l '!D8</f>
        <v>0</v>
      </c>
      <c r="D81" s="154">
        <f>+'Edison Int''l '!E8</f>
        <v>0</v>
      </c>
      <c r="E81" s="154">
        <f>+'Edison Int''l '!F8</f>
        <v>50379149</v>
      </c>
      <c r="F81" s="154">
        <f>+'Edison Int''l '!G8</f>
        <v>0</v>
      </c>
      <c r="G81" s="154">
        <f>+'Edison Int''l '!L8</f>
        <v>50379149</v>
      </c>
      <c r="H81" s="154">
        <f>+'Edison Int''l '!M8</f>
        <v>0</v>
      </c>
      <c r="I81" s="155">
        <f>+'Edison Int''l '!Q8</f>
        <v>50379149</v>
      </c>
      <c r="J81" s="155">
        <f>+'Edison Int''l '!R8</f>
        <v>0</v>
      </c>
      <c r="K81" s="48"/>
      <c r="L81" s="48"/>
    </row>
    <row r="82" spans="1:12" s="92" customFormat="1" ht="15" customHeight="1" x14ac:dyDescent="0.25">
      <c r="A82" s="122" t="s">
        <v>86</v>
      </c>
      <c r="B82" s="93"/>
      <c r="C82" s="93"/>
      <c r="D82" s="93"/>
      <c r="E82" s="130"/>
      <c r="F82" s="130"/>
      <c r="G82" s="130"/>
      <c r="H82" s="130"/>
      <c r="I82" s="141">
        <f>SUM(I77:I81)</f>
        <v>106379149</v>
      </c>
      <c r="J82" s="141">
        <f>SUM(J77:J81)</f>
        <v>0</v>
      </c>
      <c r="K82" s="93"/>
      <c r="L82" s="93"/>
    </row>
    <row r="83" spans="1:12" s="92" customFormat="1" ht="15" customHeight="1" thickBot="1" x14ac:dyDescent="0.3">
      <c r="A83" s="122"/>
      <c r="B83" s="93"/>
      <c r="C83" s="93"/>
      <c r="D83" s="93"/>
      <c r="E83" s="130"/>
      <c r="F83" s="130"/>
      <c r="G83" s="130"/>
      <c r="H83" s="130"/>
      <c r="I83" s="127"/>
      <c r="J83" s="127"/>
      <c r="K83" s="93"/>
      <c r="L83" s="93"/>
    </row>
    <row r="84" spans="1:12" s="93" customFormat="1" ht="15" customHeight="1" thickTop="1" thickBot="1" x14ac:dyDescent="0.3">
      <c r="A84" s="122" t="s">
        <v>87</v>
      </c>
      <c r="E84" s="90"/>
      <c r="F84" s="90"/>
      <c r="G84" s="90"/>
      <c r="I84" s="127" t="e">
        <f>+I82+I74+I70+I65+I48+I34+I29+I24+I19+I10</f>
        <v>#REF!</v>
      </c>
      <c r="J84" s="127" t="e">
        <f>+J82+J74+J70+J65+J48+J34+J29+J24+J19+J10</f>
        <v>#REF!</v>
      </c>
    </row>
    <row r="85" spans="1:12" s="92" customFormat="1" ht="15" customHeight="1" thickTop="1" thickBot="1" x14ac:dyDescent="0.25">
      <c r="A85" s="93"/>
      <c r="B85" s="93"/>
      <c r="C85" s="93"/>
      <c r="D85" s="93"/>
      <c r="E85" s="93"/>
      <c r="F85" s="93"/>
      <c r="G85" s="93"/>
      <c r="H85" s="93"/>
      <c r="I85" s="93"/>
      <c r="J85" s="245"/>
      <c r="K85" s="93"/>
      <c r="L85" s="93"/>
    </row>
    <row r="86" spans="1:12" s="92" customFormat="1" ht="15" customHeight="1" thickTop="1" thickBot="1" x14ac:dyDescent="0.3">
      <c r="A86" s="122" t="s">
        <v>145</v>
      </c>
      <c r="B86" s="93"/>
      <c r="C86" s="93"/>
      <c r="D86" s="93"/>
      <c r="E86" s="93"/>
      <c r="F86" s="93"/>
      <c r="G86" s="93"/>
      <c r="H86" s="93"/>
      <c r="J86" s="127" t="e">
        <f>+J28+J41+J64+J62+I84</f>
        <v>#REF!</v>
      </c>
      <c r="K86" s="93"/>
      <c r="L86" s="93"/>
    </row>
    <row r="87" spans="1:12" s="92" customFormat="1" ht="15" customHeight="1" thickTop="1" x14ac:dyDescent="0.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</row>
    <row r="88" spans="1:12" s="92" customFormat="1" ht="15" customHeight="1" x14ac:dyDescent="0.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</row>
    <row r="89" spans="1:12" s="92" customFormat="1" ht="15" customHeight="1" x14ac:dyDescent="0.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</row>
    <row r="90" spans="1:12" s="92" customFormat="1" ht="15" x14ac:dyDescent="0.2">
      <c r="A90" s="93"/>
      <c r="B90" s="93"/>
      <c r="C90" s="93"/>
      <c r="D90" s="93"/>
      <c r="E90" s="93"/>
      <c r="F90" s="93"/>
      <c r="G90" s="93" t="s">
        <v>75</v>
      </c>
      <c r="H90" s="93"/>
      <c r="I90" s="90">
        <f>+'PG&amp;E Corp. '!Q64+'Edison Int''l '!Q30+'Px - ISO '!J34+'Px - ISO '!J16</f>
        <v>1245441238.9295177</v>
      </c>
      <c r="J90" s="90">
        <f>+'PG&amp;E Corp. '!R64+'Edison Int''l '!R30+'Px - ISO '!K34+'Px - ISO '!K16</f>
        <v>-390763248.5</v>
      </c>
      <c r="K90" s="93"/>
      <c r="L90" s="93"/>
    </row>
    <row r="91" spans="1:12" s="92" customFormat="1" ht="15" x14ac:dyDescent="0.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</row>
    <row r="92" spans="1:12" s="92" customFormat="1" ht="15" x14ac:dyDescent="0.2">
      <c r="A92" s="93"/>
      <c r="B92" s="93"/>
      <c r="C92" s="93"/>
      <c r="D92" s="93"/>
      <c r="E92" s="93"/>
      <c r="F92" s="93"/>
      <c r="G92" s="93" t="s">
        <v>75</v>
      </c>
      <c r="H92" s="93"/>
      <c r="I92" s="90">
        <f>+'PG&amp;E Corp. '!Q64+'Edison Int''l '!Q30+'Px - ISO '!J16+'Px - ISO '!J34</f>
        <v>1245441238.9295177</v>
      </c>
      <c r="J92" s="90">
        <f>+'PG&amp;E Corp. '!R64+'Edison Int''l '!R30+'Px - ISO '!K16+'Px - ISO '!K34</f>
        <v>-390763248.5</v>
      </c>
      <c r="K92" s="93"/>
      <c r="L92" s="93"/>
    </row>
    <row r="93" spans="1:12" s="92" customFormat="1" ht="15" x14ac:dyDescent="0.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</row>
    <row r="94" spans="1:12" s="92" customFormat="1" ht="15" x14ac:dyDescent="0.2">
      <c r="A94" s="93"/>
      <c r="B94" s="93"/>
      <c r="C94" s="93"/>
      <c r="D94" s="93"/>
      <c r="E94" s="93"/>
      <c r="F94" s="93"/>
      <c r="G94" s="93"/>
      <c r="H94" s="93"/>
      <c r="J94" s="93"/>
      <c r="K94" s="93"/>
      <c r="L94" s="93"/>
    </row>
    <row r="95" spans="1:12" s="92" customFormat="1" ht="15" x14ac:dyDescent="0.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</row>
    <row r="96" spans="1:12" s="92" customFormat="1" ht="15" x14ac:dyDescent="0.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</row>
    <row r="97" spans="1:12" s="92" customFormat="1" ht="15" x14ac:dyDescent="0.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</row>
    <row r="98" spans="1:12" s="92" customFormat="1" x14ac:dyDescent="0.2"/>
    <row r="99" spans="1:12" s="92" customFormat="1" x14ac:dyDescent="0.2"/>
    <row r="100" spans="1:12" s="92" customFormat="1" x14ac:dyDescent="0.2"/>
    <row r="101" spans="1:12" s="92" customFormat="1" x14ac:dyDescent="0.2"/>
    <row r="102" spans="1:12" s="92" customFormat="1" x14ac:dyDescent="0.2"/>
    <row r="103" spans="1:12" s="92" customFormat="1" x14ac:dyDescent="0.2"/>
    <row r="104" spans="1:12" s="92" customFormat="1" x14ac:dyDescent="0.2"/>
    <row r="105" spans="1:12" s="92" customFormat="1" x14ac:dyDescent="0.2"/>
    <row r="106" spans="1:12" s="92" customFormat="1" x14ac:dyDescent="0.2"/>
    <row r="107" spans="1:12" s="92" customFormat="1" x14ac:dyDescent="0.2"/>
    <row r="108" spans="1:12" s="92" customFormat="1" x14ac:dyDescent="0.2"/>
    <row r="109" spans="1:12" s="92" customFormat="1" x14ac:dyDescent="0.2"/>
    <row r="110" spans="1:12" s="92" customFormat="1" x14ac:dyDescent="0.2"/>
    <row r="111" spans="1:12" s="92" customFormat="1" x14ac:dyDescent="0.2"/>
    <row r="112" spans="1:12" s="92" customFormat="1" x14ac:dyDescent="0.2"/>
    <row r="113" s="92" customFormat="1" x14ac:dyDescent="0.2"/>
    <row r="114" s="92" customFormat="1" x14ac:dyDescent="0.2"/>
    <row r="115" s="92" customFormat="1" x14ac:dyDescent="0.2"/>
    <row r="116" s="92" customFormat="1" x14ac:dyDescent="0.2"/>
    <row r="117" s="92" customFormat="1" x14ac:dyDescent="0.2"/>
    <row r="118" s="92" customFormat="1" x14ac:dyDescent="0.2"/>
    <row r="119" s="92" customFormat="1" x14ac:dyDescent="0.2"/>
    <row r="120" s="92" customFormat="1" x14ac:dyDescent="0.2"/>
    <row r="121" s="92" customFormat="1" x14ac:dyDescent="0.2"/>
    <row r="122" s="92" customFormat="1" x14ac:dyDescent="0.2"/>
    <row r="123" s="92" customFormat="1" x14ac:dyDescent="0.2"/>
    <row r="124" s="92" customFormat="1" x14ac:dyDescent="0.2"/>
    <row r="125" s="92" customFormat="1" x14ac:dyDescent="0.2"/>
    <row r="126" s="92" customFormat="1" x14ac:dyDescent="0.2"/>
    <row r="127" s="92" customFormat="1" x14ac:dyDescent="0.2"/>
    <row r="128" s="92" customFormat="1" x14ac:dyDescent="0.2"/>
    <row r="129" s="92" customFormat="1" x14ac:dyDescent="0.2"/>
    <row r="130" s="92" customFormat="1" x14ac:dyDescent="0.2"/>
    <row r="131" s="92" customFormat="1" x14ac:dyDescent="0.2"/>
    <row r="132" s="92" customFormat="1" x14ac:dyDescent="0.2"/>
    <row r="133" s="92" customFormat="1" x14ac:dyDescent="0.2"/>
    <row r="134" s="92" customFormat="1" x14ac:dyDescent="0.2"/>
    <row r="135" s="92" customFormat="1" x14ac:dyDescent="0.2"/>
    <row r="136" s="92" customFormat="1" x14ac:dyDescent="0.2"/>
    <row r="137" s="92" customFormat="1" x14ac:dyDescent="0.2"/>
    <row r="138" s="92" customFormat="1" x14ac:dyDescent="0.2"/>
    <row r="139" s="92" customFormat="1" x14ac:dyDescent="0.2"/>
    <row r="140" s="92" customFormat="1" x14ac:dyDescent="0.2"/>
    <row r="141" s="92" customFormat="1" x14ac:dyDescent="0.2"/>
    <row r="142" s="92" customFormat="1" x14ac:dyDescent="0.2"/>
    <row r="143" s="92" customFormat="1" x14ac:dyDescent="0.2"/>
    <row r="144" s="92" customFormat="1" x14ac:dyDescent="0.2"/>
    <row r="145" s="92" customFormat="1" x14ac:dyDescent="0.2"/>
    <row r="146" s="92" customFormat="1" x14ac:dyDescent="0.2"/>
    <row r="147" s="92" customFormat="1" x14ac:dyDescent="0.2"/>
    <row r="148" s="92" customFormat="1" x14ac:dyDescent="0.2"/>
    <row r="149" s="92" customFormat="1" x14ac:dyDescent="0.2"/>
    <row r="150" s="92" customFormat="1" x14ac:dyDescent="0.2"/>
    <row r="151" s="92" customFormat="1" x14ac:dyDescent="0.2"/>
    <row r="152" s="92" customFormat="1" x14ac:dyDescent="0.2"/>
    <row r="153" s="92" customFormat="1" x14ac:dyDescent="0.2"/>
    <row r="154" s="92" customFormat="1" x14ac:dyDescent="0.2"/>
    <row r="155" s="92" customFormat="1" x14ac:dyDescent="0.2"/>
    <row r="156" s="92" customFormat="1" x14ac:dyDescent="0.2"/>
    <row r="157" s="92" customFormat="1" x14ac:dyDescent="0.2"/>
    <row r="158" s="92" customFormat="1" x14ac:dyDescent="0.2"/>
    <row r="159" s="92" customFormat="1" x14ac:dyDescent="0.2"/>
    <row r="160" s="92" customFormat="1" x14ac:dyDescent="0.2"/>
    <row r="161" s="92" customFormat="1" x14ac:dyDescent="0.2"/>
    <row r="162" s="92" customFormat="1" x14ac:dyDescent="0.2"/>
    <row r="163" s="92" customFormat="1" x14ac:dyDescent="0.2"/>
    <row r="164" s="92" customFormat="1" x14ac:dyDescent="0.2"/>
    <row r="165" s="92" customFormat="1" x14ac:dyDescent="0.2"/>
    <row r="166" s="92" customFormat="1" x14ac:dyDescent="0.2"/>
    <row r="167" s="92" customFormat="1" x14ac:dyDescent="0.2"/>
    <row r="168" s="92" customFormat="1" x14ac:dyDescent="0.2"/>
    <row r="169" s="92" customFormat="1" x14ac:dyDescent="0.2"/>
    <row r="170" s="92" customFormat="1" x14ac:dyDescent="0.2"/>
    <row r="171" s="92" customFormat="1" x14ac:dyDescent="0.2"/>
    <row r="172" s="92" customFormat="1" x14ac:dyDescent="0.2"/>
    <row r="173" s="92" customFormat="1" x14ac:dyDescent="0.2"/>
    <row r="174" s="92" customFormat="1" x14ac:dyDescent="0.2"/>
    <row r="175" s="92" customFormat="1" x14ac:dyDescent="0.2"/>
    <row r="176" s="92" customFormat="1" x14ac:dyDescent="0.2"/>
    <row r="177" s="92" customFormat="1" x14ac:dyDescent="0.2"/>
    <row r="178" s="92" customFormat="1" x14ac:dyDescent="0.2"/>
    <row r="179" s="92" customFormat="1" x14ac:dyDescent="0.2"/>
    <row r="180" s="92" customFormat="1" x14ac:dyDescent="0.2"/>
    <row r="181" s="92" customFormat="1" x14ac:dyDescent="0.2"/>
    <row r="182" s="92" customFormat="1" x14ac:dyDescent="0.2"/>
    <row r="183" s="92" customFormat="1" x14ac:dyDescent="0.2"/>
    <row r="184" s="92" customFormat="1" x14ac:dyDescent="0.2"/>
    <row r="185" s="92" customFormat="1" x14ac:dyDescent="0.2"/>
    <row r="186" s="92" customFormat="1" x14ac:dyDescent="0.2"/>
    <row r="187" s="92" customFormat="1" x14ac:dyDescent="0.2"/>
    <row r="188" s="92" customFormat="1" x14ac:dyDescent="0.2"/>
    <row r="189" s="92" customFormat="1" x14ac:dyDescent="0.2"/>
    <row r="190" s="92" customFormat="1" x14ac:dyDescent="0.2"/>
    <row r="191" s="92" customFormat="1" x14ac:dyDescent="0.2"/>
    <row r="192" s="92" customFormat="1" x14ac:dyDescent="0.2"/>
    <row r="193" s="92" customFormat="1" x14ac:dyDescent="0.2"/>
    <row r="194" s="92" customFormat="1" x14ac:dyDescent="0.2"/>
    <row r="195" s="92" customFormat="1" x14ac:dyDescent="0.2"/>
    <row r="196" s="92" customFormat="1" x14ac:dyDescent="0.2"/>
    <row r="197" s="92" customFormat="1" x14ac:dyDescent="0.2"/>
    <row r="198" s="92" customFormat="1" x14ac:dyDescent="0.2"/>
    <row r="199" s="92" customFormat="1" x14ac:dyDescent="0.2"/>
    <row r="200" s="92" customFormat="1" x14ac:dyDescent="0.2"/>
    <row r="201" s="92" customFormat="1" x14ac:dyDescent="0.2"/>
    <row r="202" s="92" customFormat="1" x14ac:dyDescent="0.2"/>
    <row r="203" s="92" customFormat="1" x14ac:dyDescent="0.2"/>
    <row r="204" s="92" customFormat="1" x14ac:dyDescent="0.2"/>
    <row r="205" s="92" customFormat="1" x14ac:dyDescent="0.2"/>
    <row r="206" s="92" customFormat="1" x14ac:dyDescent="0.2"/>
    <row r="207" s="92" customFormat="1" x14ac:dyDescent="0.2"/>
    <row r="208" s="92" customFormat="1" x14ac:dyDescent="0.2"/>
    <row r="209" s="92" customFormat="1" x14ac:dyDescent="0.2"/>
    <row r="210" s="92" customFormat="1" x14ac:dyDescent="0.2"/>
    <row r="211" s="92" customFormat="1" x14ac:dyDescent="0.2"/>
    <row r="212" s="92" customFormat="1" x14ac:dyDescent="0.2"/>
    <row r="213" s="92" customFormat="1" x14ac:dyDescent="0.2"/>
    <row r="214" s="92" customFormat="1" x14ac:dyDescent="0.2"/>
    <row r="215" s="92" customFormat="1" x14ac:dyDescent="0.2"/>
    <row r="216" s="92" customFormat="1" x14ac:dyDescent="0.2"/>
    <row r="217" s="92" customFormat="1" x14ac:dyDescent="0.2"/>
    <row r="218" s="92" customFormat="1" x14ac:dyDescent="0.2"/>
    <row r="219" s="92" customFormat="1" x14ac:dyDescent="0.2"/>
    <row r="220" s="92" customFormat="1" x14ac:dyDescent="0.2"/>
    <row r="221" s="92" customFormat="1" x14ac:dyDescent="0.2"/>
    <row r="222" s="92" customFormat="1" x14ac:dyDescent="0.2"/>
    <row r="223" s="92" customFormat="1" x14ac:dyDescent="0.2"/>
    <row r="224" s="92" customFormat="1" x14ac:dyDescent="0.2"/>
    <row r="225" s="92" customFormat="1" x14ac:dyDescent="0.2"/>
    <row r="226" s="92" customFormat="1" x14ac:dyDescent="0.2"/>
    <row r="227" s="92" customFormat="1" x14ac:dyDescent="0.2"/>
    <row r="228" s="92" customFormat="1" x14ac:dyDescent="0.2"/>
    <row r="229" s="92" customFormat="1" x14ac:dyDescent="0.2"/>
    <row r="230" s="92" customFormat="1" x14ac:dyDescent="0.2"/>
    <row r="231" s="92" customFormat="1" x14ac:dyDescent="0.2"/>
    <row r="232" s="92" customFormat="1" x14ac:dyDescent="0.2"/>
    <row r="233" s="92" customFormat="1" x14ac:dyDescent="0.2"/>
    <row r="234" s="92" customFormat="1" x14ac:dyDescent="0.2"/>
    <row r="235" s="92" customFormat="1" x14ac:dyDescent="0.2"/>
    <row r="236" s="92" customFormat="1" x14ac:dyDescent="0.2"/>
    <row r="237" s="92" customFormat="1" x14ac:dyDescent="0.2"/>
    <row r="238" s="92" customFormat="1" x14ac:dyDescent="0.2"/>
    <row r="239" s="92" customFormat="1" x14ac:dyDescent="0.2"/>
    <row r="240" s="92" customFormat="1" x14ac:dyDescent="0.2"/>
    <row r="241" s="92" customFormat="1" x14ac:dyDescent="0.2"/>
    <row r="242" s="92" customFormat="1" x14ac:dyDescent="0.2"/>
    <row r="243" s="92" customFormat="1" x14ac:dyDescent="0.2"/>
    <row r="244" s="92" customFormat="1" x14ac:dyDescent="0.2"/>
    <row r="245" s="92" customFormat="1" x14ac:dyDescent="0.2"/>
    <row r="246" s="92" customFormat="1" x14ac:dyDescent="0.2"/>
    <row r="247" s="92" customFormat="1" x14ac:dyDescent="0.2"/>
    <row r="248" s="92" customFormat="1" x14ac:dyDescent="0.2"/>
    <row r="249" s="92" customFormat="1" x14ac:dyDescent="0.2"/>
    <row r="250" s="92" customFormat="1" x14ac:dyDescent="0.2"/>
    <row r="251" s="92" customFormat="1" x14ac:dyDescent="0.2"/>
    <row r="252" s="92" customFormat="1" x14ac:dyDescent="0.2"/>
    <row r="253" s="92" customFormat="1" x14ac:dyDescent="0.2"/>
    <row r="254" s="92" customFormat="1" x14ac:dyDescent="0.2"/>
    <row r="255" s="92" customFormat="1" x14ac:dyDescent="0.2"/>
    <row r="256" s="92" customFormat="1" x14ac:dyDescent="0.2"/>
    <row r="257" s="92" customFormat="1" x14ac:dyDescent="0.2"/>
    <row r="258" s="92" customFormat="1" x14ac:dyDescent="0.2"/>
    <row r="259" s="92" customFormat="1" x14ac:dyDescent="0.2"/>
    <row r="260" s="92" customFormat="1" x14ac:dyDescent="0.2"/>
    <row r="261" s="92" customFormat="1" x14ac:dyDescent="0.2"/>
    <row r="262" s="92" customFormat="1" x14ac:dyDescent="0.2"/>
    <row r="263" s="92" customFormat="1" x14ac:dyDescent="0.2"/>
    <row r="264" s="92" customFormat="1" x14ac:dyDescent="0.2"/>
    <row r="265" s="92" customFormat="1" x14ac:dyDescent="0.2"/>
    <row r="266" s="92" customFormat="1" x14ac:dyDescent="0.2"/>
    <row r="267" s="92" customFormat="1" x14ac:dyDescent="0.2"/>
    <row r="268" s="92" customFormat="1" x14ac:dyDescent="0.2"/>
    <row r="269" s="92" customFormat="1" x14ac:dyDescent="0.2"/>
    <row r="270" s="92" customFormat="1" x14ac:dyDescent="0.2"/>
    <row r="271" s="92" customFormat="1" x14ac:dyDescent="0.2"/>
    <row r="272" s="92" customFormat="1" x14ac:dyDescent="0.2"/>
    <row r="273" s="92" customFormat="1" x14ac:dyDescent="0.2"/>
    <row r="274" s="92" customFormat="1" x14ac:dyDescent="0.2"/>
    <row r="275" s="92" customFormat="1" x14ac:dyDescent="0.2"/>
    <row r="276" s="92" customFormat="1" x14ac:dyDescent="0.2"/>
    <row r="277" s="92" customFormat="1" x14ac:dyDescent="0.2"/>
    <row r="278" s="92" customFormat="1" x14ac:dyDescent="0.2"/>
    <row r="279" s="92" customFormat="1" x14ac:dyDescent="0.2"/>
    <row r="280" s="92" customFormat="1" x14ac:dyDescent="0.2"/>
    <row r="281" s="92" customFormat="1" x14ac:dyDescent="0.2"/>
    <row r="282" s="92" customFormat="1" x14ac:dyDescent="0.2"/>
    <row r="283" s="92" customFormat="1" x14ac:dyDescent="0.2"/>
    <row r="284" s="92" customFormat="1" x14ac:dyDescent="0.2"/>
    <row r="285" s="92" customFormat="1" x14ac:dyDescent="0.2"/>
    <row r="286" s="92" customFormat="1" x14ac:dyDescent="0.2"/>
    <row r="287" s="92" customFormat="1" x14ac:dyDescent="0.2"/>
    <row r="288" s="92" customFormat="1" x14ac:dyDescent="0.2"/>
    <row r="289" s="92" customFormat="1" x14ac:dyDescent="0.2"/>
    <row r="290" s="92" customFormat="1" x14ac:dyDescent="0.2"/>
    <row r="291" s="92" customFormat="1" x14ac:dyDescent="0.2"/>
    <row r="292" s="92" customFormat="1" x14ac:dyDescent="0.2"/>
    <row r="293" s="92" customFormat="1" x14ac:dyDescent="0.2"/>
    <row r="294" s="92" customFormat="1" x14ac:dyDescent="0.2"/>
    <row r="295" s="92" customFormat="1" x14ac:dyDescent="0.2"/>
    <row r="296" s="92" customFormat="1" x14ac:dyDescent="0.2"/>
    <row r="297" s="92" customFormat="1" x14ac:dyDescent="0.2"/>
    <row r="298" s="92" customFormat="1" x14ac:dyDescent="0.2"/>
    <row r="299" s="92" customFormat="1" x14ac:dyDescent="0.2"/>
    <row r="300" s="92" customFormat="1" x14ac:dyDescent="0.2"/>
    <row r="301" s="92" customFormat="1" x14ac:dyDescent="0.2"/>
    <row r="302" s="92" customFormat="1" x14ac:dyDescent="0.2"/>
    <row r="303" s="92" customFormat="1" x14ac:dyDescent="0.2"/>
    <row r="304" s="92" customFormat="1" x14ac:dyDescent="0.2"/>
    <row r="305" s="92" customFormat="1" x14ac:dyDescent="0.2"/>
    <row r="306" s="92" customFormat="1" x14ac:dyDescent="0.2"/>
    <row r="307" s="92" customFormat="1" x14ac:dyDescent="0.2"/>
    <row r="308" s="92" customFormat="1" x14ac:dyDescent="0.2"/>
    <row r="309" s="92" customFormat="1" x14ac:dyDescent="0.2"/>
    <row r="310" s="92" customFormat="1" x14ac:dyDescent="0.2"/>
    <row r="311" s="92" customFormat="1" x14ac:dyDescent="0.2"/>
    <row r="312" s="92" customFormat="1" x14ac:dyDescent="0.2"/>
    <row r="313" s="92" customFormat="1" x14ac:dyDescent="0.2"/>
    <row r="314" s="92" customFormat="1" x14ac:dyDescent="0.2"/>
    <row r="315" s="92" customFormat="1" x14ac:dyDescent="0.2"/>
    <row r="316" s="92" customFormat="1" x14ac:dyDescent="0.2"/>
    <row r="317" s="92" customFormat="1" x14ac:dyDescent="0.2"/>
    <row r="318" s="92" customFormat="1" x14ac:dyDescent="0.2"/>
    <row r="319" s="92" customFormat="1" x14ac:dyDescent="0.2"/>
    <row r="320" s="92" customFormat="1" x14ac:dyDescent="0.2"/>
    <row r="321" s="92" customFormat="1" x14ac:dyDescent="0.2"/>
    <row r="322" s="92" customFormat="1" x14ac:dyDescent="0.2"/>
    <row r="323" s="92" customFormat="1" x14ac:dyDescent="0.2"/>
    <row r="324" s="92" customFormat="1" x14ac:dyDescent="0.2"/>
    <row r="325" s="92" customFormat="1" x14ac:dyDescent="0.2"/>
    <row r="326" s="92" customFormat="1" x14ac:dyDescent="0.2"/>
    <row r="327" s="92" customFormat="1" x14ac:dyDescent="0.2"/>
    <row r="328" s="92" customFormat="1" x14ac:dyDescent="0.2"/>
    <row r="329" s="92" customFormat="1" x14ac:dyDescent="0.2"/>
    <row r="330" s="92" customFormat="1" x14ac:dyDescent="0.2"/>
    <row r="331" s="92" customFormat="1" x14ac:dyDescent="0.2"/>
    <row r="332" s="92" customFormat="1" x14ac:dyDescent="0.2"/>
    <row r="333" s="92" customFormat="1" x14ac:dyDescent="0.2"/>
    <row r="334" s="92" customFormat="1" x14ac:dyDescent="0.2"/>
    <row r="335" s="92" customFormat="1" x14ac:dyDescent="0.2"/>
    <row r="336" s="92" customFormat="1" x14ac:dyDescent="0.2"/>
    <row r="337" s="92" customFormat="1" x14ac:dyDescent="0.2"/>
    <row r="338" s="92" customFormat="1" x14ac:dyDescent="0.2"/>
    <row r="339" s="92" customFormat="1" x14ac:dyDescent="0.2"/>
    <row r="340" s="92" customFormat="1" x14ac:dyDescent="0.2"/>
    <row r="341" s="92" customFormat="1" x14ac:dyDescent="0.2"/>
    <row r="342" s="92" customFormat="1" x14ac:dyDescent="0.2"/>
    <row r="343" s="92" customFormat="1" x14ac:dyDescent="0.2"/>
    <row r="344" s="92" customFormat="1" x14ac:dyDescent="0.2"/>
    <row r="345" s="92" customFormat="1" x14ac:dyDescent="0.2"/>
    <row r="346" s="92" customFormat="1" x14ac:dyDescent="0.2"/>
    <row r="347" s="92" customFormat="1" x14ac:dyDescent="0.2"/>
    <row r="348" s="92" customFormat="1" x14ac:dyDescent="0.2"/>
    <row r="349" s="92" customFormat="1" x14ac:dyDescent="0.2"/>
    <row r="350" s="92" customFormat="1" x14ac:dyDescent="0.2"/>
    <row r="351" s="92" customFormat="1" x14ac:dyDescent="0.2"/>
    <row r="352" s="92" customFormat="1" x14ac:dyDescent="0.2"/>
    <row r="353" s="92" customFormat="1" x14ac:dyDescent="0.2"/>
    <row r="354" s="92" customFormat="1" x14ac:dyDescent="0.2"/>
    <row r="355" s="92" customFormat="1" x14ac:dyDescent="0.2"/>
    <row r="356" s="92" customFormat="1" x14ac:dyDescent="0.2"/>
    <row r="357" s="92" customFormat="1" x14ac:dyDescent="0.2"/>
    <row r="358" s="92" customFormat="1" x14ac:dyDescent="0.2"/>
    <row r="359" s="92" customFormat="1" x14ac:dyDescent="0.2"/>
    <row r="360" s="92" customFormat="1" x14ac:dyDescent="0.2"/>
    <row r="361" s="92" customFormat="1" x14ac:dyDescent="0.2"/>
    <row r="362" s="92" customFormat="1" x14ac:dyDescent="0.2"/>
    <row r="363" s="92" customFormat="1" x14ac:dyDescent="0.2"/>
    <row r="364" s="92" customFormat="1" x14ac:dyDescent="0.2"/>
    <row r="365" s="92" customFormat="1" x14ac:dyDescent="0.2"/>
    <row r="366" s="92" customFormat="1" x14ac:dyDescent="0.2"/>
    <row r="367" s="92" customFormat="1" x14ac:dyDescent="0.2"/>
    <row r="368" s="92" customFormat="1" x14ac:dyDescent="0.2"/>
    <row r="369" s="92" customFormat="1" x14ac:dyDescent="0.2"/>
    <row r="370" s="92" customFormat="1" x14ac:dyDescent="0.2"/>
    <row r="371" s="92" customFormat="1" x14ac:dyDescent="0.2"/>
    <row r="372" s="92" customFormat="1" x14ac:dyDescent="0.2"/>
    <row r="373" s="92" customFormat="1" x14ac:dyDescent="0.2"/>
    <row r="374" s="92" customFormat="1" x14ac:dyDescent="0.2"/>
    <row r="375" s="92" customFormat="1" x14ac:dyDescent="0.2"/>
    <row r="376" s="92" customFormat="1" x14ac:dyDescent="0.2"/>
    <row r="377" s="92" customFormat="1" x14ac:dyDescent="0.2"/>
    <row r="378" s="92" customFormat="1" x14ac:dyDescent="0.2"/>
    <row r="379" s="92" customFormat="1" x14ac:dyDescent="0.2"/>
    <row r="380" s="92" customFormat="1" x14ac:dyDescent="0.2"/>
    <row r="381" s="92" customFormat="1" x14ac:dyDescent="0.2"/>
    <row r="382" s="92" customFormat="1" x14ac:dyDescent="0.2"/>
    <row r="383" s="92" customFormat="1" x14ac:dyDescent="0.2"/>
    <row r="384" s="92" customFormat="1" x14ac:dyDescent="0.2"/>
    <row r="385" s="92" customFormat="1" x14ac:dyDescent="0.2"/>
    <row r="386" s="92" customFormat="1" x14ac:dyDescent="0.2"/>
    <row r="387" s="92" customFormat="1" x14ac:dyDescent="0.2"/>
    <row r="388" s="92" customFormat="1" x14ac:dyDescent="0.2"/>
    <row r="389" s="92" customFormat="1" x14ac:dyDescent="0.2"/>
    <row r="390" s="92" customFormat="1" x14ac:dyDescent="0.2"/>
    <row r="391" s="92" customFormat="1" x14ac:dyDescent="0.2"/>
    <row r="392" s="92" customFormat="1" x14ac:dyDescent="0.2"/>
    <row r="393" s="92" customFormat="1" x14ac:dyDescent="0.2"/>
    <row r="394" s="92" customFormat="1" x14ac:dyDescent="0.2"/>
    <row r="395" s="92" customFormat="1" x14ac:dyDescent="0.2"/>
    <row r="396" s="92" customFormat="1" x14ac:dyDescent="0.2"/>
    <row r="397" s="92" customFormat="1" x14ac:dyDescent="0.2"/>
    <row r="398" s="92" customFormat="1" x14ac:dyDescent="0.2"/>
    <row r="399" s="92" customFormat="1" x14ac:dyDescent="0.2"/>
    <row r="400" s="92" customFormat="1" x14ac:dyDescent="0.2"/>
    <row r="401" s="92" customFormat="1" x14ac:dyDescent="0.2"/>
    <row r="402" s="92" customFormat="1" x14ac:dyDescent="0.2"/>
    <row r="403" s="92" customFormat="1" x14ac:dyDescent="0.2"/>
    <row r="404" s="92" customFormat="1" x14ac:dyDescent="0.2"/>
    <row r="405" s="92" customFormat="1" x14ac:dyDescent="0.2"/>
    <row r="406" s="92" customFormat="1" x14ac:dyDescent="0.2"/>
    <row r="407" s="92" customFormat="1" x14ac:dyDescent="0.2"/>
    <row r="408" s="92" customFormat="1" x14ac:dyDescent="0.2"/>
    <row r="409" s="92" customFormat="1" x14ac:dyDescent="0.2"/>
    <row r="410" s="92" customFormat="1" x14ac:dyDescent="0.2"/>
    <row r="411" s="92" customFormat="1" x14ac:dyDescent="0.2"/>
    <row r="412" s="92" customFormat="1" x14ac:dyDescent="0.2"/>
    <row r="413" s="92" customFormat="1" x14ac:dyDescent="0.2"/>
    <row r="414" s="92" customFormat="1" x14ac:dyDescent="0.2"/>
    <row r="415" s="92" customFormat="1" x14ac:dyDescent="0.2"/>
    <row r="416" s="92" customFormat="1" x14ac:dyDescent="0.2"/>
  </sheetData>
  <phoneticPr fontId="0" type="noConversion"/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Jan Havlíček</cp:lastModifiedBy>
  <cp:lastPrinted>2001-04-02T17:56:34Z</cp:lastPrinted>
  <dcterms:created xsi:type="dcterms:W3CDTF">2001-01-17T17:48:43Z</dcterms:created>
  <dcterms:modified xsi:type="dcterms:W3CDTF">2023-09-10T18:10:58Z</dcterms:modified>
</cp:coreProperties>
</file>