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735508-ED94-417A-8C04-1D54E69E64C0}" xr6:coauthVersionLast="47" xr6:coauthVersionMax="47" xr10:uidLastSave="{00000000-0000-0000-0000-000000000000}"/>
  <bookViews>
    <workbookView xWindow="-120" yWindow="-120" windowWidth="38640" windowHeight="15720"/>
  </bookViews>
  <sheets>
    <sheet name="Market Size" sheetId="8" r:id="rId1"/>
    <sheet name="Model Assumptions" sheetId="9" r:id="rId2"/>
    <sheet name="Income Statement and Valuation" sheetId="3" r:id="rId3"/>
    <sheet name="Balance Sheet" sheetId="5" r:id="rId4"/>
    <sheet name="Cash Flows" sheetId="4" r:id="rId5"/>
  </sheets>
  <externalReferences>
    <externalReference r:id="rId6"/>
  </externalReferences>
  <definedNames>
    <definedName name="Page1">#REF!</definedName>
    <definedName name="Page2">#REF!</definedName>
    <definedName name="_xlnm.Print_Area" localSheetId="3">'Balance Sheet'!$A$1:$I$45</definedName>
    <definedName name="_xlnm.Print_Area" localSheetId="4">'Cash Flows'!$A$1:$I$32</definedName>
    <definedName name="_xlnm.Print_Area" localSheetId="2">'Income Statement and Valuation'!$A$1:$J$85</definedName>
    <definedName name="_xlnm.Print_Area" localSheetId="0">'Market Size'!$A$1:$L$81</definedName>
    <definedName name="_xlnm.Print_Area" localSheetId="1">'Model Assumptions'!$A$1:$N$85</definedName>
    <definedName name="V">#REF!</definedName>
    <definedName name="VA">#REF!</definedName>
    <definedName name="VB">#REF!</definedName>
    <definedName name="VC">#REF!</definedName>
    <definedName name="VOL">#REF!</definedName>
  </definedNames>
  <calcPr calcId="0"/>
</workbook>
</file>

<file path=xl/calcChain.xml><?xml version="1.0" encoding="utf-8"?>
<calcChain xmlns="http://schemas.openxmlformats.org/spreadsheetml/2006/main">
  <c r="A1" i="5" l="1"/>
  <c r="F6" i="5"/>
  <c r="G6" i="5"/>
  <c r="H6" i="5"/>
  <c r="I6" i="5"/>
  <c r="E10" i="5"/>
  <c r="F10" i="5"/>
  <c r="G10" i="5"/>
  <c r="H10" i="5"/>
  <c r="I10" i="5"/>
  <c r="E12" i="5"/>
  <c r="F12" i="5"/>
  <c r="G12" i="5"/>
  <c r="H12" i="5"/>
  <c r="I12" i="5"/>
  <c r="E14" i="5"/>
  <c r="F14" i="5"/>
  <c r="G14" i="5"/>
  <c r="H14" i="5"/>
  <c r="I14" i="5"/>
  <c r="E15" i="5"/>
  <c r="F15" i="5"/>
  <c r="G15" i="5"/>
  <c r="H15" i="5"/>
  <c r="I15" i="5"/>
  <c r="E16" i="5"/>
  <c r="F16" i="5"/>
  <c r="G16" i="5"/>
  <c r="H16" i="5"/>
  <c r="I16" i="5"/>
  <c r="E17" i="5"/>
  <c r="F17" i="5"/>
  <c r="G17" i="5"/>
  <c r="H17" i="5"/>
  <c r="I17" i="5"/>
  <c r="E19" i="5"/>
  <c r="F19" i="5"/>
  <c r="G19" i="5"/>
  <c r="H19" i="5"/>
  <c r="I19" i="5"/>
  <c r="E25" i="5"/>
  <c r="F25" i="5"/>
  <c r="G25" i="5"/>
  <c r="H25" i="5"/>
  <c r="I25" i="5"/>
  <c r="E28" i="5"/>
  <c r="F28" i="5"/>
  <c r="G28" i="5"/>
  <c r="H28" i="5"/>
  <c r="I28" i="5"/>
  <c r="E29" i="5"/>
  <c r="F29" i="5"/>
  <c r="G29" i="5"/>
  <c r="H29" i="5"/>
  <c r="I29" i="5"/>
  <c r="E30" i="5"/>
  <c r="F30" i="5"/>
  <c r="G30" i="5"/>
  <c r="H30" i="5"/>
  <c r="I30" i="5"/>
  <c r="E33" i="5"/>
  <c r="F33" i="5"/>
  <c r="G33" i="5"/>
  <c r="H33" i="5"/>
  <c r="I33" i="5"/>
  <c r="F35" i="5"/>
  <c r="G35" i="5"/>
  <c r="H35" i="5"/>
  <c r="I35" i="5"/>
  <c r="E36" i="5"/>
  <c r="F36" i="5"/>
  <c r="G36" i="5"/>
  <c r="H36" i="5"/>
  <c r="I36" i="5"/>
  <c r="E37" i="5"/>
  <c r="F37" i="5"/>
  <c r="G37" i="5"/>
  <c r="H37" i="5"/>
  <c r="I37" i="5"/>
  <c r="E38" i="5"/>
  <c r="F38" i="5"/>
  <c r="G38" i="5"/>
  <c r="H38" i="5"/>
  <c r="I38" i="5"/>
  <c r="E40" i="5"/>
  <c r="F40" i="5"/>
  <c r="G40" i="5"/>
  <c r="H40" i="5"/>
  <c r="I40" i="5"/>
  <c r="E42" i="5"/>
  <c r="F42" i="5"/>
  <c r="G42" i="5"/>
  <c r="H42" i="5"/>
  <c r="I42" i="5"/>
  <c r="E44" i="5"/>
  <c r="F44" i="5"/>
  <c r="G44" i="5"/>
  <c r="H44" i="5"/>
  <c r="I44" i="5"/>
  <c r="A1" i="4"/>
  <c r="F7" i="4"/>
  <c r="G7" i="4"/>
  <c r="H7" i="4"/>
  <c r="I7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8" i="4"/>
  <c r="F18" i="4"/>
  <c r="G18" i="4"/>
  <c r="H18" i="4"/>
  <c r="I18" i="4"/>
  <c r="E27" i="4"/>
  <c r="F27" i="4"/>
  <c r="G27" i="4"/>
  <c r="H27" i="4"/>
  <c r="I27" i="4"/>
  <c r="E29" i="4"/>
  <c r="F29" i="4"/>
  <c r="G29" i="4"/>
  <c r="H29" i="4"/>
  <c r="I29" i="4"/>
  <c r="E31" i="4"/>
  <c r="F31" i="4"/>
  <c r="G31" i="4"/>
  <c r="H31" i="4"/>
  <c r="I31" i="4"/>
  <c r="E37" i="4"/>
  <c r="F37" i="4"/>
  <c r="G37" i="4"/>
  <c r="H37" i="4"/>
  <c r="I37" i="4"/>
  <c r="E38" i="4"/>
  <c r="F38" i="4"/>
  <c r="G38" i="4"/>
  <c r="H38" i="4"/>
  <c r="I38" i="4"/>
  <c r="E41" i="4"/>
  <c r="F41" i="4"/>
  <c r="G41" i="4"/>
  <c r="H41" i="4"/>
  <c r="I41" i="4"/>
  <c r="E42" i="4"/>
  <c r="F42" i="4"/>
  <c r="G42" i="4"/>
  <c r="H42" i="4"/>
  <c r="I42" i="4"/>
  <c r="E43" i="4"/>
  <c r="F43" i="4"/>
  <c r="G43" i="4"/>
  <c r="H43" i="4"/>
  <c r="I43" i="4"/>
  <c r="E45" i="4"/>
  <c r="F45" i="4"/>
  <c r="G45" i="4"/>
  <c r="H45" i="4"/>
  <c r="I45" i="4"/>
  <c r="A1" i="3"/>
  <c r="F6" i="3"/>
  <c r="G6" i="3"/>
  <c r="H6" i="3"/>
  <c r="I6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8" i="3"/>
  <c r="F28" i="3"/>
  <c r="G28" i="3"/>
  <c r="H28" i="3"/>
  <c r="I28" i="3"/>
  <c r="E29" i="3"/>
  <c r="F29" i="3"/>
  <c r="G29" i="3"/>
  <c r="H29" i="3"/>
  <c r="I29" i="3"/>
  <c r="E32" i="3"/>
  <c r="F32" i="3"/>
  <c r="G32" i="3"/>
  <c r="H32" i="3"/>
  <c r="I32" i="3"/>
  <c r="E34" i="3"/>
  <c r="F34" i="3"/>
  <c r="G34" i="3"/>
  <c r="H34" i="3"/>
  <c r="I34" i="3"/>
  <c r="E36" i="3"/>
  <c r="F36" i="3"/>
  <c r="G36" i="3"/>
  <c r="H36" i="3"/>
  <c r="I36" i="3"/>
  <c r="J40" i="3"/>
  <c r="J42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J50" i="3"/>
  <c r="J52" i="3"/>
  <c r="F62" i="3"/>
  <c r="G62" i="3"/>
  <c r="H62" i="3"/>
  <c r="I62" i="3"/>
  <c r="E64" i="3"/>
  <c r="F64" i="3"/>
  <c r="G64" i="3"/>
  <c r="H64" i="3"/>
  <c r="I64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F79" i="3"/>
  <c r="G79" i="3"/>
  <c r="H79" i="3"/>
  <c r="I79" i="3"/>
  <c r="E81" i="3"/>
  <c r="F81" i="3"/>
  <c r="G81" i="3"/>
  <c r="H81" i="3"/>
  <c r="I81" i="3"/>
  <c r="E82" i="3"/>
  <c r="F82" i="3"/>
  <c r="G82" i="3"/>
  <c r="H82" i="3"/>
  <c r="I82" i="3"/>
  <c r="A1" i="8"/>
  <c r="AB8" i="8"/>
  <c r="C10" i="8"/>
  <c r="D10" i="8"/>
  <c r="E10" i="8"/>
  <c r="AB13" i="8"/>
  <c r="C14" i="8"/>
  <c r="D14" i="8"/>
  <c r="E14" i="8"/>
  <c r="C15" i="8"/>
  <c r="D15" i="8"/>
  <c r="E15" i="8"/>
  <c r="C18" i="8"/>
  <c r="AB18" i="8"/>
  <c r="C19" i="8"/>
  <c r="C20" i="8"/>
  <c r="D20" i="8"/>
  <c r="E20" i="8"/>
  <c r="AB23" i="8"/>
  <c r="C25" i="8"/>
  <c r="D25" i="8"/>
  <c r="E25" i="8"/>
  <c r="C28" i="8"/>
  <c r="D28" i="8"/>
  <c r="E28" i="8"/>
  <c r="AB28" i="8"/>
  <c r="C29" i="8"/>
  <c r="D29" i="8"/>
  <c r="E29" i="8"/>
  <c r="C30" i="8"/>
  <c r="D30" i="8"/>
  <c r="E30" i="8"/>
  <c r="AB33" i="8"/>
  <c r="C35" i="8"/>
  <c r="D35" i="8"/>
  <c r="E35" i="8"/>
  <c r="A41" i="8"/>
  <c r="H48" i="8"/>
  <c r="I48" i="8"/>
  <c r="J48" i="8"/>
  <c r="H49" i="8"/>
  <c r="I49" i="8"/>
  <c r="J49" i="8"/>
  <c r="C50" i="8"/>
  <c r="D50" i="8"/>
  <c r="E50" i="8"/>
  <c r="F50" i="8"/>
  <c r="G50" i="8"/>
  <c r="H50" i="8"/>
  <c r="I50" i="8"/>
  <c r="J50" i="8"/>
  <c r="H52" i="8"/>
  <c r="I52" i="8"/>
  <c r="J52" i="8"/>
  <c r="H53" i="8"/>
  <c r="I53" i="8"/>
  <c r="J53" i="8"/>
  <c r="C54" i="8"/>
  <c r="D54" i="8"/>
  <c r="E54" i="8"/>
  <c r="F54" i="8"/>
  <c r="G54" i="8"/>
  <c r="H54" i="8"/>
  <c r="I54" i="8"/>
  <c r="J54" i="8"/>
  <c r="H56" i="8"/>
  <c r="I56" i="8"/>
  <c r="J56" i="8"/>
  <c r="H57" i="8"/>
  <c r="I57" i="8"/>
  <c r="J57" i="8"/>
  <c r="C58" i="8"/>
  <c r="D58" i="8"/>
  <c r="E58" i="8"/>
  <c r="F58" i="8"/>
  <c r="G58" i="8"/>
  <c r="H58" i="8"/>
  <c r="I58" i="8"/>
  <c r="J58" i="8"/>
  <c r="H61" i="8"/>
  <c r="I61" i="8"/>
  <c r="J61" i="8"/>
  <c r="H62" i="8"/>
  <c r="I62" i="8"/>
  <c r="J62" i="8"/>
  <c r="C63" i="8"/>
  <c r="D63" i="8"/>
  <c r="E63" i="8"/>
  <c r="F63" i="8"/>
  <c r="G63" i="8"/>
  <c r="H63" i="8"/>
  <c r="I63" i="8"/>
  <c r="J63" i="8"/>
  <c r="H66" i="8"/>
  <c r="I66" i="8"/>
  <c r="J66" i="8"/>
  <c r="H67" i="8"/>
  <c r="I67" i="8"/>
  <c r="J67" i="8"/>
  <c r="C68" i="8"/>
  <c r="D68" i="8"/>
  <c r="E68" i="8"/>
  <c r="F68" i="8"/>
  <c r="G68" i="8"/>
  <c r="H68" i="8"/>
  <c r="I68" i="8"/>
  <c r="J68" i="8"/>
  <c r="D78" i="8"/>
  <c r="D79" i="8"/>
  <c r="D80" i="8"/>
  <c r="H5" i="9"/>
  <c r="J5" i="9"/>
  <c r="L5" i="9"/>
  <c r="N5" i="9"/>
  <c r="F8" i="9"/>
  <c r="H8" i="9"/>
  <c r="J8" i="9"/>
  <c r="L8" i="9"/>
  <c r="N8" i="9"/>
  <c r="F10" i="9"/>
  <c r="H10" i="9"/>
  <c r="J10" i="9"/>
  <c r="L10" i="9"/>
  <c r="N10" i="9"/>
  <c r="H11" i="9"/>
  <c r="J11" i="9"/>
  <c r="L11" i="9"/>
  <c r="N11" i="9"/>
  <c r="H12" i="9"/>
  <c r="J12" i="9"/>
  <c r="L12" i="9"/>
  <c r="N12" i="9"/>
  <c r="F13" i="9"/>
  <c r="H13" i="9"/>
  <c r="J13" i="9"/>
  <c r="L13" i="9"/>
  <c r="N13" i="9"/>
  <c r="H14" i="9"/>
  <c r="J14" i="9"/>
  <c r="L14" i="9"/>
  <c r="N14" i="9"/>
  <c r="F16" i="9"/>
  <c r="H16" i="9"/>
  <c r="J16" i="9"/>
  <c r="L16" i="9"/>
  <c r="N16" i="9"/>
  <c r="F18" i="9"/>
  <c r="H18" i="9"/>
  <c r="J18" i="9"/>
  <c r="L18" i="9"/>
  <c r="N18" i="9"/>
  <c r="H19" i="9"/>
  <c r="J19" i="9"/>
  <c r="L19" i="9"/>
  <c r="N19" i="9"/>
  <c r="H20" i="9"/>
  <c r="J20" i="9"/>
  <c r="L20" i="9"/>
  <c r="N20" i="9"/>
  <c r="F21" i="9"/>
  <c r="H21" i="9"/>
  <c r="J21" i="9"/>
  <c r="L21" i="9"/>
  <c r="N21" i="9"/>
  <c r="H22" i="9"/>
  <c r="J22" i="9"/>
  <c r="L22" i="9"/>
  <c r="N22" i="9"/>
  <c r="F24" i="9"/>
  <c r="H24" i="9"/>
  <c r="J24" i="9"/>
  <c r="L24" i="9"/>
  <c r="N24" i="9"/>
  <c r="F26" i="9"/>
  <c r="H26" i="9"/>
  <c r="J26" i="9"/>
  <c r="L26" i="9"/>
  <c r="N26" i="9"/>
  <c r="H27" i="9"/>
  <c r="J27" i="9"/>
  <c r="L27" i="9"/>
  <c r="N27" i="9"/>
  <c r="H28" i="9"/>
  <c r="J28" i="9"/>
  <c r="L28" i="9"/>
  <c r="N28" i="9"/>
  <c r="F29" i="9"/>
  <c r="H29" i="9"/>
  <c r="J29" i="9"/>
  <c r="L29" i="9"/>
  <c r="N29" i="9"/>
  <c r="H30" i="9"/>
  <c r="J30" i="9"/>
  <c r="L30" i="9"/>
  <c r="N30" i="9"/>
  <c r="F32" i="9"/>
  <c r="H32" i="9"/>
  <c r="J32" i="9"/>
  <c r="L32" i="9"/>
  <c r="N32" i="9"/>
  <c r="F34" i="9"/>
  <c r="H34" i="9"/>
  <c r="J34" i="9"/>
  <c r="L34" i="9"/>
  <c r="N34" i="9"/>
  <c r="H35" i="9"/>
  <c r="J35" i="9"/>
  <c r="L35" i="9"/>
  <c r="N35" i="9"/>
  <c r="H36" i="9"/>
  <c r="J36" i="9"/>
  <c r="L36" i="9"/>
  <c r="N36" i="9"/>
  <c r="F37" i="9"/>
  <c r="H37" i="9"/>
  <c r="J37" i="9"/>
  <c r="L37" i="9"/>
  <c r="M37" i="9"/>
  <c r="N37" i="9"/>
  <c r="O37" i="9"/>
  <c r="H38" i="9"/>
  <c r="J38" i="9"/>
  <c r="L38" i="9"/>
  <c r="N38" i="9"/>
  <c r="F40" i="9"/>
  <c r="H40" i="9"/>
  <c r="J40" i="9"/>
  <c r="L40" i="9"/>
  <c r="N40" i="9"/>
  <c r="F42" i="9"/>
  <c r="H42" i="9"/>
  <c r="J42" i="9"/>
  <c r="L42" i="9"/>
  <c r="N42" i="9"/>
  <c r="H43" i="9"/>
  <c r="J43" i="9"/>
  <c r="L43" i="9"/>
  <c r="N43" i="9"/>
  <c r="H44" i="9"/>
  <c r="J44" i="9"/>
  <c r="L44" i="9"/>
  <c r="N44" i="9"/>
  <c r="F45" i="9"/>
  <c r="H45" i="9"/>
  <c r="J45" i="9"/>
  <c r="L45" i="9"/>
  <c r="N45" i="9"/>
  <c r="H46" i="9"/>
  <c r="J46" i="9"/>
  <c r="L46" i="9"/>
  <c r="N46" i="9"/>
  <c r="F48" i="9"/>
  <c r="H48" i="9"/>
  <c r="J48" i="9"/>
  <c r="L48" i="9"/>
  <c r="N48" i="9"/>
  <c r="F50" i="9"/>
  <c r="H50" i="9"/>
  <c r="J50" i="9"/>
  <c r="L50" i="9"/>
  <c r="N50" i="9"/>
  <c r="H51" i="9"/>
  <c r="J51" i="9"/>
  <c r="L51" i="9"/>
  <c r="N51" i="9"/>
  <c r="H52" i="9"/>
  <c r="J52" i="9"/>
  <c r="L52" i="9"/>
  <c r="N52" i="9"/>
  <c r="F53" i="9"/>
  <c r="H53" i="9"/>
  <c r="J53" i="9"/>
  <c r="L53" i="9"/>
  <c r="N53" i="9"/>
  <c r="H54" i="9"/>
  <c r="J54" i="9"/>
  <c r="L54" i="9"/>
  <c r="N54" i="9"/>
  <c r="F56" i="9"/>
  <c r="H56" i="9"/>
  <c r="J56" i="9"/>
  <c r="L56" i="9"/>
  <c r="N56" i="9"/>
  <c r="P56" i="9"/>
  <c r="H57" i="9"/>
  <c r="J57" i="9"/>
  <c r="L57" i="9"/>
  <c r="N57" i="9"/>
  <c r="H62" i="9"/>
  <c r="J62" i="9"/>
  <c r="L62" i="9"/>
  <c r="N62" i="9"/>
  <c r="F63" i="9"/>
  <c r="H63" i="9"/>
  <c r="J63" i="9"/>
  <c r="L63" i="9"/>
  <c r="N63" i="9"/>
  <c r="F64" i="9"/>
  <c r="H64" i="9"/>
  <c r="J64" i="9"/>
  <c r="L64" i="9"/>
  <c r="N64" i="9"/>
  <c r="J65" i="9"/>
  <c r="L65" i="9"/>
  <c r="N65" i="9"/>
  <c r="J66" i="9"/>
  <c r="L66" i="9"/>
  <c r="N66" i="9"/>
  <c r="J67" i="9"/>
  <c r="L67" i="9"/>
  <c r="N67" i="9"/>
  <c r="F68" i="9"/>
  <c r="H68" i="9"/>
  <c r="J68" i="9"/>
  <c r="L68" i="9"/>
  <c r="N68" i="9"/>
  <c r="J69" i="9"/>
  <c r="L69" i="9"/>
  <c r="N69" i="9"/>
  <c r="J70" i="9"/>
  <c r="L70" i="9"/>
  <c r="N70" i="9"/>
  <c r="H73" i="9"/>
  <c r="J73" i="9"/>
  <c r="L73" i="9"/>
  <c r="N73" i="9"/>
  <c r="F74" i="9"/>
  <c r="H74" i="9"/>
  <c r="J74" i="9"/>
  <c r="L74" i="9"/>
  <c r="N74" i="9"/>
  <c r="J76" i="9"/>
  <c r="L76" i="9"/>
  <c r="N76" i="9"/>
  <c r="F79" i="9"/>
  <c r="H79" i="9"/>
  <c r="J79" i="9"/>
  <c r="L79" i="9"/>
  <c r="N79" i="9"/>
  <c r="J80" i="9"/>
  <c r="L80" i="9"/>
  <c r="N80" i="9"/>
  <c r="H82" i="9"/>
  <c r="J82" i="9"/>
  <c r="L82" i="9"/>
  <c r="N82" i="9"/>
  <c r="F83" i="9"/>
  <c r="H83" i="9"/>
  <c r="J83" i="9"/>
  <c r="L83" i="9"/>
  <c r="N83" i="9"/>
  <c r="F84" i="9"/>
  <c r="H84" i="9"/>
  <c r="J84" i="9"/>
  <c r="L84" i="9"/>
  <c r="N84" i="9"/>
  <c r="H91" i="9"/>
  <c r="J91" i="9"/>
  <c r="L91" i="9"/>
  <c r="N91" i="9"/>
  <c r="F93" i="9"/>
  <c r="P93" i="9"/>
  <c r="P94" i="9"/>
  <c r="P95" i="9"/>
  <c r="F96" i="9"/>
  <c r="H96" i="9"/>
  <c r="J96" i="9"/>
  <c r="L96" i="9"/>
  <c r="N96" i="9"/>
  <c r="P96" i="9"/>
  <c r="F99" i="9"/>
  <c r="H99" i="9"/>
  <c r="J99" i="9"/>
  <c r="P99" i="9"/>
  <c r="H100" i="9"/>
  <c r="J100" i="9"/>
  <c r="L100" i="9"/>
  <c r="P100" i="9"/>
  <c r="J101" i="9"/>
  <c r="L101" i="9"/>
  <c r="N101" i="9"/>
  <c r="P101" i="9"/>
  <c r="L102" i="9"/>
  <c r="N102" i="9"/>
  <c r="P102" i="9"/>
  <c r="N103" i="9"/>
  <c r="P103" i="9"/>
  <c r="F104" i="9"/>
  <c r="H104" i="9"/>
  <c r="J104" i="9"/>
  <c r="P104" i="9"/>
  <c r="H105" i="9"/>
  <c r="J105" i="9"/>
  <c r="L105" i="9"/>
  <c r="P105" i="9"/>
  <c r="J106" i="9"/>
  <c r="L106" i="9"/>
  <c r="N106" i="9"/>
  <c r="P106" i="9"/>
  <c r="L107" i="9"/>
  <c r="N107" i="9"/>
  <c r="P107" i="9"/>
  <c r="N108" i="9"/>
  <c r="P108" i="9"/>
  <c r="F109" i="9"/>
  <c r="H109" i="9"/>
  <c r="J109" i="9"/>
  <c r="L109" i="9"/>
  <c r="N109" i="9"/>
  <c r="P109" i="9"/>
  <c r="H110" i="9"/>
  <c r="J110" i="9"/>
  <c r="L110" i="9"/>
  <c r="N110" i="9"/>
  <c r="P110" i="9"/>
  <c r="J111" i="9"/>
  <c r="L111" i="9"/>
  <c r="N111" i="9"/>
  <c r="P111" i="9"/>
  <c r="L112" i="9"/>
  <c r="N112" i="9"/>
  <c r="P112" i="9"/>
  <c r="N113" i="9"/>
  <c r="P113" i="9"/>
  <c r="F114" i="9"/>
  <c r="H114" i="9"/>
  <c r="J114" i="9"/>
  <c r="L114" i="9"/>
  <c r="N114" i="9"/>
  <c r="P114" i="9"/>
  <c r="F115" i="9"/>
  <c r="H115" i="9"/>
  <c r="J115" i="9"/>
  <c r="L115" i="9"/>
  <c r="N115" i="9"/>
  <c r="P115" i="9"/>
  <c r="F116" i="9"/>
  <c r="H116" i="9"/>
  <c r="J116" i="9"/>
  <c r="L116" i="9"/>
  <c r="N116" i="9"/>
  <c r="P116" i="9"/>
</calcChain>
</file>

<file path=xl/comments1.xml><?xml version="1.0" encoding="utf-8"?>
<comments xmlns="http://schemas.openxmlformats.org/spreadsheetml/2006/main">
  <authors>
    <author>Jeffrey M. Bartlett</author>
  </authors>
  <commentList>
    <comment ref="C8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equal to 5 year average number of bank syndications during 1995
-1999
</t>
        </r>
      </text>
    </comment>
  </commentList>
</comments>
</file>

<file path=xl/comments2.xml><?xml version="1.0" encoding="utf-8"?>
<comments xmlns="http://schemas.openxmlformats.org/spreadsheetml/2006/main">
  <authors>
    <author>Jeffrey M. Bartlett</author>
  </authors>
  <commentList>
    <comment ref="F8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5-year average = 4453
5-year max = 5500
5-year min = 3500</t>
        </r>
      </text>
    </comment>
    <comment ref="B24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Includes Leagl Space, Other Capital Markets Deals (bond issuance, equity offerings, webcast hostings, etc.)</t>
        </r>
      </text>
    </comment>
    <comment ref="F63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assumes $100,000 per marketing professional</t>
        </r>
      </text>
    </comment>
    <comment ref="F64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Assume $200,000 per marketing professional</t>
        </r>
      </text>
    </comment>
    <comment ref="B69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Includes periodic site testing and other general operating costs of DealBench platform</t>
        </r>
      </text>
    </comment>
    <comment ref="B76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Includes 3 help desk and 3 Product Control Group (Sheri Thomas' Group) and 3 Hardware mainenance group (ie, networks and database) </t>
        </r>
      </text>
    </comment>
    <comment ref="C79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Includes  1VP, 2Dir,  an Associates</t>
        </r>
      </text>
    </comment>
    <comment ref="C82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Includes legal, consulting and accounting services</t>
        </r>
      </text>
    </comment>
    <comment ref="B93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Includes $200k expenses from FileOpen (or alternative dataroom security technology) and $300k expenses from Digital Signature Room and estimate for other software "plugin" expenditures</t>
        </r>
      </text>
    </comment>
    <comment ref="B94" authorId="0" shapeId="0">
      <text>
        <r>
          <rPr>
            <b/>
            <sz val="8"/>
            <color indexed="81"/>
            <rFont val="Tahoma"/>
          </rPr>
          <t xml:space="preserve">Jeffrey M. Bartlett:
</t>
        </r>
        <r>
          <rPr>
            <sz val="8"/>
            <color indexed="81"/>
            <rFont val="Tahoma"/>
            <family val="2"/>
          </rPr>
          <t>Placeholder for unforeseen investment that can be amortized over certain period of time (3 years = initial guess)</t>
        </r>
      </text>
    </comment>
  </commentList>
</comments>
</file>

<file path=xl/comments3.xml><?xml version="1.0" encoding="utf-8"?>
<comments xmlns="http://schemas.openxmlformats.org/spreadsheetml/2006/main">
  <authors>
    <author>Jeffrey M. Bartlett</author>
  </authors>
  <commentList>
    <comment ref="B17" authorId="0" shapeId="0">
      <text>
        <r>
          <rPr>
            <b/>
            <sz val="8"/>
            <color indexed="81"/>
            <rFont val="Tahoma"/>
          </rPr>
          <t>Jeffrey M. Bartlett:</t>
        </r>
        <r>
          <rPr>
            <sz val="8"/>
            <color indexed="81"/>
            <rFont val="Tahoma"/>
          </rPr>
          <t xml:space="preserve">
Cost of programmers that add incremental features and customize solutions for revenue-generating customers</t>
        </r>
      </text>
    </comment>
  </commentList>
</comments>
</file>

<file path=xl/sharedStrings.xml><?xml version="1.0" encoding="utf-8"?>
<sst xmlns="http://schemas.openxmlformats.org/spreadsheetml/2006/main" count="295" uniqueCount="231">
  <si>
    <t>Average</t>
  </si>
  <si>
    <t xml:space="preserve">         Subtotal</t>
  </si>
  <si>
    <t>144-A Convertible</t>
  </si>
  <si>
    <t>144-A Non-Convertible</t>
  </si>
  <si>
    <t xml:space="preserve">      Subtotal</t>
  </si>
  <si>
    <t>Private Convertible</t>
  </si>
  <si>
    <t>Private Non-Convertible</t>
  </si>
  <si>
    <t>Euro/Foreign Convertible</t>
  </si>
  <si>
    <t>Euro/Foreign Non-Convertible</t>
  </si>
  <si>
    <t>Bank Products</t>
  </si>
  <si>
    <t>Domestic</t>
  </si>
  <si>
    <t>International</t>
  </si>
  <si>
    <t>Investor Grade Bonds issued outside the U.S.</t>
  </si>
  <si>
    <t>Public US Convertible</t>
  </si>
  <si>
    <t>Investor Grade Bonds issued in the U.S.</t>
  </si>
  <si>
    <t>Sources:</t>
  </si>
  <si>
    <t>Min</t>
  </si>
  <si>
    <t>Max</t>
  </si>
  <si>
    <t>Total</t>
  </si>
  <si>
    <t>Cost of Sales</t>
  </si>
  <si>
    <t>General Administrative Expenses</t>
  </si>
  <si>
    <t>Sales and Marketing</t>
  </si>
  <si>
    <t>Gross Margin</t>
  </si>
  <si>
    <t>Interest Expense</t>
  </si>
  <si>
    <t>Net income before tax</t>
  </si>
  <si>
    <t>Net income after tax</t>
  </si>
  <si>
    <t>Cash flows from continuing operations</t>
  </si>
  <si>
    <t>Operating Income (EBIT)</t>
  </si>
  <si>
    <t>Changes in working capital</t>
  </si>
  <si>
    <t>Depreciation/Amortization</t>
  </si>
  <si>
    <t>Working capital assumptions</t>
  </si>
  <si>
    <t>Accounts receivable</t>
  </si>
  <si>
    <t>Accounts Payable</t>
  </si>
  <si>
    <t>Days outstanding</t>
  </si>
  <si>
    <t>Cash flows from investments</t>
  </si>
  <si>
    <t>Capital expenditures</t>
  </si>
  <si>
    <t>Cash flows from financing activities</t>
  </si>
  <si>
    <t>Net proceeds from issuance</t>
  </si>
  <si>
    <t>of common stock</t>
  </si>
  <si>
    <t>Issuance of debt</t>
  </si>
  <si>
    <t>Retirement of debt</t>
  </si>
  <si>
    <t>Net increase (decrease) in cash balance</t>
  </si>
  <si>
    <t>Proforma Balance Sheet</t>
  </si>
  <si>
    <t>Assets</t>
  </si>
  <si>
    <t xml:space="preserve">     Current assets:</t>
  </si>
  <si>
    <t xml:space="preserve">          Cash and cash equivalents</t>
  </si>
  <si>
    <t xml:space="preserve">          Short-term investments</t>
  </si>
  <si>
    <t xml:space="preserve">          Accounts receivable</t>
  </si>
  <si>
    <t xml:space="preserve">          Prepaid expenses and other assets</t>
  </si>
  <si>
    <t xml:space="preserve">    Total current assets</t>
  </si>
  <si>
    <t xml:space="preserve">     Property and equipment</t>
  </si>
  <si>
    <t xml:space="preserve">     Net Property and equipment </t>
  </si>
  <si>
    <t xml:space="preserve">     Other assets</t>
  </si>
  <si>
    <t>Total assets</t>
  </si>
  <si>
    <t>Liabilities and Shareholders' Equity (Deficit)</t>
  </si>
  <si>
    <t xml:space="preserve">     Current liabilities:</t>
  </si>
  <si>
    <t xml:space="preserve">          Current portion of long-term debt</t>
  </si>
  <si>
    <t xml:space="preserve">          Line of credit</t>
  </si>
  <si>
    <t xml:space="preserve">          Accounts payable</t>
  </si>
  <si>
    <t xml:space="preserve">          Accrued expenses</t>
  </si>
  <si>
    <t xml:space="preserve">          Deferred revenues</t>
  </si>
  <si>
    <t xml:space="preserve">     Total current liabilities</t>
  </si>
  <si>
    <t xml:space="preserve">          Long-term notes</t>
  </si>
  <si>
    <t xml:space="preserve">    Total liabilities</t>
  </si>
  <si>
    <t>Shareholders' Equity:</t>
  </si>
  <si>
    <t xml:space="preserve">          Preferred stock </t>
  </si>
  <si>
    <t xml:space="preserve">          Common stock</t>
  </si>
  <si>
    <t xml:space="preserve">          Retained Earnings</t>
  </si>
  <si>
    <t xml:space="preserve">     Total shareholders' equity </t>
  </si>
  <si>
    <t>Total liabilities and shareholders' equity</t>
  </si>
  <si>
    <t>Dividends</t>
  </si>
  <si>
    <t>Beginning balance</t>
  </si>
  <si>
    <t>Less:  Dividends</t>
  </si>
  <si>
    <t>Ending balance</t>
  </si>
  <si>
    <t>Terminal Value</t>
  </si>
  <si>
    <t>check</t>
  </si>
  <si>
    <t>Cash ending balance</t>
  </si>
  <si>
    <t>Accumulated depreciation amortization</t>
  </si>
  <si>
    <t>Ending Balances</t>
  </si>
  <si>
    <t>No. of Transactions Per Annum</t>
  </si>
  <si>
    <t>Proforma Cash Flow Statement</t>
  </si>
  <si>
    <t>Years Ended</t>
  </si>
  <si>
    <t>History of Debt Transactions</t>
  </si>
  <si>
    <t>Public US Non-Convertible</t>
  </si>
  <si>
    <t xml:space="preserve">     Bonds:  Securities Data Corporation</t>
  </si>
  <si>
    <t xml:space="preserve">     Bank Products: Loan Pricing Corporation</t>
  </si>
  <si>
    <t>(in millions of Dollars)</t>
  </si>
  <si>
    <t>Revenues:</t>
  </si>
  <si>
    <t>(US$ in millions unless noted)</t>
  </si>
  <si>
    <t>bank products</t>
  </si>
  <si>
    <t>5 year Average</t>
  </si>
  <si>
    <t>bond offerings (investor grade)</t>
  </si>
  <si>
    <t>m&amp;a transactions (40% of total)</t>
  </si>
  <si>
    <t>DOM BANK PROD</t>
  </si>
  <si>
    <t>INTL BONDS</t>
  </si>
  <si>
    <t>DealBench</t>
  </si>
  <si>
    <t>Revenues/Syndication</t>
  </si>
  <si>
    <t>Bank Syndication Transactions</t>
  </si>
  <si>
    <t>Lease Syndication Transactions</t>
  </si>
  <si>
    <t>Auction Transactions</t>
  </si>
  <si>
    <t>Revenues/Auction</t>
  </si>
  <si>
    <t>Data Room Transactions</t>
  </si>
  <si>
    <t>Revenues/Data Room</t>
  </si>
  <si>
    <t>TOTAL REVENUES</t>
  </si>
  <si>
    <t>% Market Share</t>
  </si>
  <si>
    <t>Number of Lease Syndications</t>
  </si>
  <si>
    <t>Number of Bank Syndications</t>
  </si>
  <si>
    <t>Energy Auction Transactions</t>
  </si>
  <si>
    <t xml:space="preserve">Domestic </t>
  </si>
  <si>
    <t>$20B in originated Capital Equipment Leases during 2000</t>
  </si>
  <si>
    <t>50% of originated leases are syndicated out by originating institution</t>
  </si>
  <si>
    <t>Number of Energy Auctions</t>
  </si>
  <si>
    <t>Content</t>
  </si>
  <si>
    <t>DealRooms</t>
  </si>
  <si>
    <t>DataRooms</t>
  </si>
  <si>
    <t>Auctions</t>
  </si>
  <si>
    <t>Marketing Professionals</t>
  </si>
  <si>
    <t>Salary/Employee</t>
  </si>
  <si>
    <t>Total Marketing Costs</t>
  </si>
  <si>
    <t>Software Developers</t>
  </si>
  <si>
    <t>Total Software Development</t>
  </si>
  <si>
    <t>Office Expenses (rent,supplies, etc.)</t>
  </si>
  <si>
    <t xml:space="preserve">Gross Revenues </t>
  </si>
  <si>
    <t>TOTAL COSTS</t>
  </si>
  <si>
    <t xml:space="preserve">    Bank Syndication Revenues</t>
  </si>
  <si>
    <t xml:space="preserve">    Lease Syndication Revenues</t>
  </si>
  <si>
    <t xml:space="preserve">    Data Room Revenues</t>
  </si>
  <si>
    <t xml:space="preserve">    Energy Auction Revenues</t>
  </si>
  <si>
    <t>(Excluding MBS/ABS)</t>
  </si>
  <si>
    <t>Comments (Assumptions)</t>
  </si>
  <si>
    <t>Travel &amp; Sales Calls</t>
  </si>
  <si>
    <t>Promotional Material</t>
  </si>
  <si>
    <t>Shows &amp; Conferences</t>
  </si>
  <si>
    <t>Advertising</t>
  </si>
  <si>
    <t>% of Sales</t>
  </si>
  <si>
    <t>Source:  see below</t>
  </si>
  <si>
    <t>2005 Net Income</t>
  </si>
  <si>
    <t>applicable P/E multiple</t>
  </si>
  <si>
    <t>Free Cash Flow to Equity Holders</t>
  </si>
  <si>
    <t>Net Present Value @</t>
  </si>
  <si>
    <t>Taxes@</t>
  </si>
  <si>
    <t>Number of Non-Energy Auctions</t>
  </si>
  <si>
    <t xml:space="preserve">    Non-Energy Auction Revenues</t>
  </si>
  <si>
    <t>Non-Energy Auction Transactions</t>
  </si>
  <si>
    <t>% Growth</t>
  </si>
  <si>
    <t>Number of DataRooms Hosted</t>
  </si>
  <si>
    <t>Number of Other DealRoom Transactions</t>
  </si>
  <si>
    <t>Other DealRoom Transactions</t>
  </si>
  <si>
    <t>Revenues/DealRoom</t>
  </si>
  <si>
    <t>Other DealRoom Revenues</t>
  </si>
  <si>
    <t>Annual</t>
  </si>
  <si>
    <t>Inflator/Deflator</t>
  </si>
  <si>
    <t>Summary of Model Assumptions</t>
  </si>
  <si>
    <t>Overview of Market Size of Certain Domains</t>
  </si>
  <si>
    <t>Avg. syndication size = $2.5mm (based on discussions w/ Lease Synd. professionals</t>
  </si>
  <si>
    <t>International Transactions = 50% of U.S. (banks not as aggressive in other countries)</t>
  </si>
  <si>
    <t>Assumes 2/3 of auctions discussed in research report are domestic &amp; 1/3 are International</t>
  </si>
  <si>
    <t>Summary Statistics</t>
  </si>
  <si>
    <t>Salary per Employee</t>
  </si>
  <si>
    <t xml:space="preserve">    Subtotal - staff salaries</t>
  </si>
  <si>
    <t>Other DealRoom Transactions (Capital Markets, Legal Space, etc.)</t>
  </si>
  <si>
    <t>DataRooms (Mergers &amp; Acquisitions Transactions)</t>
  </si>
  <si>
    <t>Includes only auctions in the Construction, Engineering and Real Estate arenas</t>
  </si>
  <si>
    <t>International deals = 50% of domestic deals</t>
  </si>
  <si>
    <t>Legal Deals = 500 per year (estimate)</t>
  </si>
  <si>
    <t>Proforma Income Statement and Valuation Summary</t>
  </si>
  <si>
    <t>Amortization of Platform Development</t>
  </si>
  <si>
    <t>Server Maintenance+Operating Costs</t>
  </si>
  <si>
    <t>Capital Expenditures</t>
  </si>
  <si>
    <t>Software Licensing Fees</t>
  </si>
  <si>
    <t>Itemized CapEx</t>
  </si>
  <si>
    <t>Build Auction Control Room</t>
  </si>
  <si>
    <t xml:space="preserve">    Total Capital Expenditures</t>
  </si>
  <si>
    <t>SLD Amortization</t>
  </si>
  <si>
    <t>Period (# of Years)</t>
  </si>
  <si>
    <t>TOTAL</t>
  </si>
  <si>
    <t>Amortization of Software Licensing Fees</t>
  </si>
  <si>
    <t>TOTAL Amortization</t>
  </si>
  <si>
    <t>2001 - 2005</t>
  </si>
  <si>
    <t>Depreciation of Auction Control Room CapEx</t>
  </si>
  <si>
    <t>TOTAL Depreciation</t>
  </si>
  <si>
    <t xml:space="preserve">    TOTAL Amortization + Depreciation</t>
  </si>
  <si>
    <t xml:space="preserve">         less accumulated depreciation</t>
  </si>
  <si>
    <t>Year Ended 12/31</t>
  </si>
  <si>
    <t>Amortization Schedule:</t>
  </si>
  <si>
    <t>A/R</t>
  </si>
  <si>
    <t>A/P</t>
  </si>
  <si>
    <t xml:space="preserve">   Net Change</t>
  </si>
  <si>
    <t>EBITDA</t>
  </si>
  <si>
    <t xml:space="preserve">Total </t>
  </si>
  <si>
    <t>Management/Business Development</t>
  </si>
  <si>
    <t>Revenue Details</t>
  </si>
  <si>
    <t>Expense Details</t>
  </si>
  <si>
    <t>Cost Category:</t>
  </si>
  <si>
    <t>Unlevered Net Income</t>
  </si>
  <si>
    <t>(+) Depreciation</t>
  </si>
  <si>
    <t>(-) Capital Expenditures</t>
  </si>
  <si>
    <t>(-) Change in Working Investment</t>
  </si>
  <si>
    <t>Depreciation of Capital Expenditures</t>
  </si>
  <si>
    <t>Other Platform Development Spending</t>
  </si>
  <si>
    <t>Amortization of Software Expenses</t>
  </si>
  <si>
    <t>Software Development</t>
  </si>
  <si>
    <t>Terminal Value Calculation (using Trailing 12mo. P/E Multiple)</t>
  </si>
  <si>
    <t>(+) Amortization</t>
  </si>
  <si>
    <t>Summary Statistics (for DealBench Business Plan presentation)</t>
  </si>
  <si>
    <t>Number DealRooms hosted</t>
  </si>
  <si>
    <t>Number of DataRooms hosted</t>
  </si>
  <si>
    <t>Number of Auctions hosted</t>
  </si>
  <si>
    <t>Market Share, %</t>
  </si>
  <si>
    <t>Revenues</t>
  </si>
  <si>
    <t xml:space="preserve">  Total Revenues</t>
  </si>
  <si>
    <t>Growth, %/year</t>
  </si>
  <si>
    <t>n.a.</t>
  </si>
  <si>
    <t>DealBench, LLC</t>
  </si>
  <si>
    <t>Year Ended December 31,</t>
  </si>
  <si>
    <t>($ in millions unless noted)</t>
  </si>
  <si>
    <t>Number of Employees</t>
  </si>
  <si>
    <t xml:space="preserve">  EBITDA</t>
  </si>
  <si>
    <t>Legal, Consulting and Other Expenses</t>
  </si>
  <si>
    <t>Correct so this adds Operations, Help Desk, IT Maintenance, Legal, Accounting</t>
  </si>
  <si>
    <t>Potential Hosted ASP Market Opportunity</t>
  </si>
  <si>
    <t>Management Professionals</t>
  </si>
  <si>
    <t>Operations Professionals</t>
  </si>
  <si>
    <t>Legal, Accounting Professionals</t>
  </si>
  <si>
    <t>Hardware Maintenance Costs</t>
  </si>
  <si>
    <t>Total Operations Group</t>
  </si>
  <si>
    <t xml:space="preserve">Total General &amp; Administrative </t>
  </si>
  <si>
    <t>Valuation Summary</t>
  </si>
  <si>
    <t>Income Statement</t>
  </si>
  <si>
    <t>Balance Sheet</t>
  </si>
  <si>
    <t>Statement of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</si>
</sst>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70" formatCode="0.0\x"/>
    <numFmt numFmtId="171" formatCode="0.0%"/>
    <numFmt numFmtId="174" formatCode="_(* #,##0.000_);_(* \(#,##0.000\);_(* &quot;-&quot;??_);_(@_)"/>
    <numFmt numFmtId="175" formatCode="_(&quot;$&quot;* #,##0.000_);_(&quot;$&quot;* \(#,##0.000\);_(&quot;$&quot;* &quot;-&quot;??_);_(@_)"/>
  </numFmts>
  <fonts count="4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u val="singleAccounting"/>
      <sz val="10"/>
      <color indexed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i/>
      <u/>
      <sz val="10"/>
      <name val="Arial"/>
      <family val="2"/>
    </font>
    <font>
      <sz val="14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color indexed="12"/>
      <name val="Arial"/>
      <family val="2"/>
    </font>
    <font>
      <b/>
      <u/>
      <sz val="10"/>
      <color indexed="12"/>
      <name val="Arial"/>
      <family val="2"/>
    </font>
    <font>
      <i/>
      <sz val="9"/>
      <name val="Arial"/>
      <family val="2"/>
    </font>
    <font>
      <i/>
      <sz val="9"/>
      <color indexed="12"/>
      <name val="Arial"/>
      <family val="2"/>
    </font>
    <font>
      <b/>
      <i/>
      <sz val="9"/>
      <name val="Arial"/>
      <family val="2"/>
    </font>
    <font>
      <i/>
      <u val="singleAccounting"/>
      <sz val="9"/>
      <color indexed="12"/>
      <name val="Arial"/>
      <family val="2"/>
    </font>
    <font>
      <b/>
      <i/>
      <u val="singleAccounting"/>
      <sz val="9"/>
      <name val="Arial"/>
      <family val="2"/>
    </font>
    <font>
      <i/>
      <u val="singleAccounting"/>
      <sz val="9"/>
      <name val="Arial"/>
      <family val="2"/>
    </font>
    <font>
      <i/>
      <sz val="9"/>
      <color indexed="57"/>
      <name val="Arial"/>
      <family val="2"/>
    </font>
    <font>
      <b/>
      <u val="singleAccounting"/>
      <sz val="9"/>
      <name val="Arial"/>
      <family val="2"/>
    </font>
    <font>
      <sz val="10"/>
      <color indexed="17"/>
      <name val="Arial"/>
      <family val="2"/>
    </font>
    <font>
      <i/>
      <sz val="9"/>
      <color indexed="17"/>
      <name val="Arial"/>
      <family val="2"/>
    </font>
    <font>
      <sz val="10"/>
      <color indexed="55"/>
      <name val="Arial"/>
      <family val="2"/>
    </font>
    <font>
      <u/>
      <sz val="10"/>
      <color indexed="55"/>
      <name val="Arial"/>
      <family val="2"/>
    </font>
    <font>
      <b/>
      <sz val="10"/>
      <color indexed="23"/>
      <name val="Arial"/>
      <family val="2"/>
    </font>
    <font>
      <sz val="8"/>
      <color indexed="81"/>
      <name val="Tahoma"/>
      <family val="2"/>
    </font>
    <font>
      <i/>
      <sz val="10"/>
      <color indexed="17"/>
      <name val="Arial"/>
      <family val="2"/>
    </font>
    <font>
      <b/>
      <i/>
      <sz val="10"/>
      <color indexed="17"/>
      <name val="Arial"/>
      <family val="2"/>
    </font>
    <font>
      <sz val="14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/>
    <xf numFmtId="0" fontId="2" fillId="0" borderId="0" xfId="0" applyFont="1" applyBorder="1"/>
    <xf numFmtId="167" fontId="0" fillId="0" borderId="0" xfId="0" applyNumberFormat="1" applyBorder="1"/>
    <xf numFmtId="0" fontId="0" fillId="0" borderId="5" xfId="0" applyBorder="1"/>
    <xf numFmtId="0" fontId="0" fillId="0" borderId="6" xfId="0" applyBorder="1"/>
    <xf numFmtId="165" fontId="3" fillId="0" borderId="2" xfId="1" applyNumberFormat="1" applyFont="1" applyBorder="1"/>
    <xf numFmtId="165" fontId="3" fillId="0" borderId="2" xfId="0" applyNumberFormat="1" applyFont="1" applyBorder="1"/>
    <xf numFmtId="0" fontId="0" fillId="0" borderId="7" xfId="0" applyBorder="1"/>
    <xf numFmtId="43" fontId="0" fillId="0" borderId="0" xfId="0" applyNumberFormat="1"/>
    <xf numFmtId="0" fontId="0" fillId="2" borderId="7" xfId="0" applyFill="1" applyBorder="1"/>
    <xf numFmtId="0" fontId="0" fillId="0" borderId="7" xfId="0" applyFill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165" fontId="3" fillId="0" borderId="0" xfId="1" applyNumberFormat="1" applyFont="1" applyBorder="1"/>
    <xf numFmtId="165" fontId="3" fillId="0" borderId="0" xfId="0" applyNumberFormat="1" applyFont="1" applyBorder="1"/>
    <xf numFmtId="165" fontId="3" fillId="0" borderId="4" xfId="0" applyNumberFormat="1" applyFont="1" applyBorder="1"/>
    <xf numFmtId="165" fontId="3" fillId="0" borderId="8" xfId="0" applyNumberFormat="1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2" fillId="0" borderId="0" xfId="0" applyFont="1" applyBorder="1" applyAlignment="1">
      <alignment horizontal="center"/>
    </xf>
    <xf numFmtId="0" fontId="2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7" fillId="3" borderId="3" xfId="0" applyFont="1" applyFill="1" applyBorder="1"/>
    <xf numFmtId="0" fontId="3" fillId="3" borderId="0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8" fillId="3" borderId="6" xfId="0" applyFont="1" applyFill="1" applyBorder="1"/>
    <xf numFmtId="0" fontId="8" fillId="3" borderId="9" xfId="0" applyFont="1" applyFill="1" applyBorder="1"/>
    <xf numFmtId="0" fontId="8" fillId="3" borderId="11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0" fillId="0" borderId="13" xfId="0" applyFill="1" applyBorder="1"/>
    <xf numFmtId="165" fontId="0" fillId="0" borderId="0" xfId="0" applyNumberFormat="1" applyBorder="1"/>
    <xf numFmtId="165" fontId="0" fillId="0" borderId="4" xfId="0" applyNumberFormat="1" applyBorder="1"/>
    <xf numFmtId="0" fontId="2" fillId="2" borderId="13" xfId="0" applyFont="1" applyFill="1" applyBorder="1"/>
    <xf numFmtId="0" fontId="0" fillId="2" borderId="14" xfId="0" applyFill="1" applyBorder="1"/>
    <xf numFmtId="0" fontId="2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13" xfId="0" applyBorder="1"/>
    <xf numFmtId="0" fontId="0" fillId="0" borderId="18" xfId="0" applyBorder="1"/>
    <xf numFmtId="0" fontId="2" fillId="2" borderId="15" xfId="0" applyFont="1" applyFill="1" applyBorder="1" applyAlignment="1">
      <alignment horizontal="center"/>
    </xf>
    <xf numFmtId="0" fontId="10" fillId="0" borderId="0" xfId="0" applyFont="1" applyBorder="1"/>
    <xf numFmtId="0" fontId="0" fillId="4" borderId="7" xfId="0" applyFill="1" applyBorder="1"/>
    <xf numFmtId="0" fontId="0" fillId="4" borderId="0" xfId="0" applyFill="1" applyBorder="1"/>
    <xf numFmtId="0" fontId="3" fillId="2" borderId="18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19" xfId="0" applyFont="1" applyFill="1" applyBorder="1"/>
    <xf numFmtId="0" fontId="2" fillId="4" borderId="3" xfId="0" applyFont="1" applyFill="1" applyBorder="1"/>
    <xf numFmtId="0" fontId="0" fillId="4" borderId="4" xfId="0" applyFill="1" applyBorder="1"/>
    <xf numFmtId="0" fontId="0" fillId="4" borderId="13" xfId="0" applyFill="1" applyBorder="1"/>
    <xf numFmtId="165" fontId="6" fillId="0" borderId="0" xfId="1" applyNumberFormat="1" applyFont="1" applyBorder="1"/>
    <xf numFmtId="165" fontId="6" fillId="0" borderId="2" xfId="1" applyNumberFormat="1" applyFont="1" applyBorder="1"/>
    <xf numFmtId="0" fontId="0" fillId="0" borderId="3" xfId="0" applyFill="1" applyBorder="1"/>
    <xf numFmtId="0" fontId="0" fillId="0" borderId="0" xfId="0" applyFill="1" applyBorder="1"/>
    <xf numFmtId="0" fontId="15" fillId="3" borderId="10" xfId="0" applyFont="1" applyFill="1" applyBorder="1"/>
    <xf numFmtId="0" fontId="16" fillId="3" borderId="3" xfId="0" applyFont="1" applyFill="1" applyBorder="1"/>
    <xf numFmtId="175" fontId="0" fillId="0" borderId="0" xfId="2" applyNumberFormat="1" applyFont="1" applyBorder="1"/>
    <xf numFmtId="175" fontId="0" fillId="4" borderId="0" xfId="0" applyNumberFormat="1" applyFill="1" applyBorder="1"/>
    <xf numFmtId="175" fontId="0" fillId="4" borderId="0" xfId="2" applyNumberFormat="1" applyFont="1" applyFill="1" applyBorder="1"/>
    <xf numFmtId="0" fontId="18" fillId="3" borderId="10" xfId="0" applyFont="1" applyFill="1" applyBorder="1"/>
    <xf numFmtId="0" fontId="17" fillId="3" borderId="5" xfId="0" applyFont="1" applyFill="1" applyBorder="1"/>
    <xf numFmtId="0" fontId="17" fillId="0" borderId="0" xfId="0" applyFont="1" applyFill="1" applyBorder="1"/>
    <xf numFmtId="174" fontId="0" fillId="0" borderId="0" xfId="1" applyNumberFormat="1" applyFont="1" applyBorder="1"/>
    <xf numFmtId="174" fontId="0" fillId="0" borderId="0" xfId="0" applyNumberFormat="1" applyBorder="1"/>
    <xf numFmtId="174" fontId="0" fillId="0" borderId="4" xfId="0" applyNumberFormat="1" applyBorder="1"/>
    <xf numFmtId="174" fontId="0" fillId="4" borderId="0" xfId="0" applyNumberFormat="1" applyFill="1" applyBorder="1"/>
    <xf numFmtId="174" fontId="0" fillId="4" borderId="4" xfId="0" applyNumberFormat="1" applyFill="1" applyBorder="1"/>
    <xf numFmtId="0" fontId="17" fillId="0" borderId="0" xfId="0" applyFont="1"/>
    <xf numFmtId="0" fontId="19" fillId="3" borderId="10" xfId="0" applyFont="1" applyFill="1" applyBorder="1"/>
    <xf numFmtId="0" fontId="15" fillId="0" borderId="0" xfId="0" applyFont="1"/>
    <xf numFmtId="166" fontId="0" fillId="0" borderId="0" xfId="2" applyNumberFormat="1" applyFont="1" applyBorder="1"/>
    <xf numFmtId="0" fontId="2" fillId="0" borderId="0" xfId="0" applyFont="1" applyFill="1" applyBorder="1"/>
    <xf numFmtId="0" fontId="2" fillId="0" borderId="4" xfId="0" applyFont="1" applyFill="1" applyBorder="1"/>
    <xf numFmtId="0" fontId="9" fillId="0" borderId="7" xfId="0" applyFont="1" applyFill="1" applyBorder="1" applyAlignment="1">
      <alignment horizontal="center"/>
    </xf>
    <xf numFmtId="0" fontId="9" fillId="0" borderId="14" xfId="0" applyFont="1" applyFill="1" applyBorder="1" applyAlignment="1">
      <alignment horizontal="center"/>
    </xf>
    <xf numFmtId="164" fontId="3" fillId="0" borderId="0" xfId="1" applyNumberFormat="1" applyFont="1" applyFill="1" applyBorder="1"/>
    <xf numFmtId="164" fontId="3" fillId="0" borderId="4" xfId="1" applyNumberFormat="1" applyFont="1" applyFill="1" applyBorder="1"/>
    <xf numFmtId="0" fontId="3" fillId="0" borderId="0" xfId="0" applyFont="1" applyFill="1" applyBorder="1"/>
    <xf numFmtId="0" fontId="3" fillId="0" borderId="4" xfId="0" applyFont="1" applyFill="1" applyBorder="1"/>
    <xf numFmtId="165" fontId="3" fillId="0" borderId="0" xfId="1" applyNumberFormat="1" applyFont="1" applyFill="1" applyBorder="1"/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64" fontId="0" fillId="0" borderId="0" xfId="1" applyNumberFormat="1" applyFont="1" applyBorder="1"/>
    <xf numFmtId="164" fontId="0" fillId="0" borderId="4" xfId="1" applyNumberFormat="1" applyFont="1" applyBorder="1"/>
    <xf numFmtId="164" fontId="11" fillId="0" borderId="0" xfId="1" applyNumberFormat="1" applyFont="1" applyFill="1" applyBorder="1"/>
    <xf numFmtId="164" fontId="11" fillId="0" borderId="0" xfId="1" applyNumberFormat="1" applyFont="1" applyBorder="1"/>
    <xf numFmtId="166" fontId="0" fillId="0" borderId="0" xfId="1" applyNumberFormat="1" applyFont="1" applyBorder="1"/>
    <xf numFmtId="166" fontId="0" fillId="0" borderId="4" xfId="1" applyNumberFormat="1" applyFont="1" applyBorder="1"/>
    <xf numFmtId="166" fontId="0" fillId="0" borderId="0" xfId="0" applyNumberFormat="1" applyBorder="1"/>
    <xf numFmtId="166" fontId="0" fillId="0" borderId="4" xfId="0" applyNumberFormat="1" applyBorder="1"/>
    <xf numFmtId="165" fontId="3" fillId="0" borderId="4" xfId="1" applyNumberFormat="1" applyFont="1" applyFill="1" applyBorder="1"/>
    <xf numFmtId="0" fontId="20" fillId="0" borderId="0" xfId="0" applyFont="1" applyFill="1" applyBorder="1"/>
    <xf numFmtId="166" fontId="0" fillId="0" borderId="7" xfId="0" applyNumberFormat="1" applyBorder="1"/>
    <xf numFmtId="166" fontId="0" fillId="0" borderId="14" xfId="0" applyNumberFormat="1" applyBorder="1"/>
    <xf numFmtId="166" fontId="0" fillId="2" borderId="7" xfId="0" applyNumberFormat="1" applyFill="1" applyBorder="1"/>
    <xf numFmtId="166" fontId="0" fillId="2" borderId="14" xfId="0" applyNumberFormat="1" applyFill="1" applyBorder="1"/>
    <xf numFmtId="166" fontId="0" fillId="0" borderId="2" xfId="0" applyNumberFormat="1" applyBorder="1"/>
    <xf numFmtId="166" fontId="0" fillId="0" borderId="8" xfId="0" applyNumberFormat="1" applyBorder="1"/>
    <xf numFmtId="166" fontId="0" fillId="0" borderId="7" xfId="1" applyNumberFormat="1" applyFont="1" applyBorder="1"/>
    <xf numFmtId="166" fontId="0" fillId="0" borderId="14" xfId="1" applyNumberFormat="1" applyFont="1" applyBorder="1"/>
    <xf numFmtId="166" fontId="0" fillId="4" borderId="7" xfId="2" applyNumberFormat="1" applyFont="1" applyFill="1" applyBorder="1"/>
    <xf numFmtId="166" fontId="0" fillId="4" borderId="7" xfId="1" applyNumberFormat="1" applyFont="1" applyFill="1" applyBorder="1"/>
    <xf numFmtId="166" fontId="0" fillId="4" borderId="14" xfId="1" applyNumberFormat="1" applyFont="1" applyFill="1" applyBorder="1"/>
    <xf numFmtId="166" fontId="0" fillId="0" borderId="6" xfId="0" applyNumberFormat="1" applyBorder="1"/>
    <xf numFmtId="164" fontId="0" fillId="0" borderId="2" xfId="1" applyNumberFormat="1" applyFont="1" applyBorder="1"/>
    <xf numFmtId="164" fontId="0" fillId="0" borderId="8" xfId="1" applyNumberFormat="1" applyFont="1" applyBorder="1"/>
    <xf numFmtId="166" fontId="0" fillId="4" borderId="0" xfId="0" applyNumberFormat="1" applyFill="1" applyBorder="1"/>
    <xf numFmtId="166" fontId="0" fillId="4" borderId="4" xfId="0" applyNumberFormat="1" applyFill="1" applyBorder="1"/>
    <xf numFmtId="166" fontId="0" fillId="4" borderId="20" xfId="2" applyNumberFormat="1" applyFont="1" applyFill="1" applyBorder="1"/>
    <xf numFmtId="166" fontId="0" fillId="0" borderId="2" xfId="2" applyNumberFormat="1" applyFont="1" applyBorder="1"/>
    <xf numFmtId="165" fontId="0" fillId="0" borderId="20" xfId="0" applyNumberFormat="1" applyBorder="1"/>
    <xf numFmtId="9" fontId="3" fillId="0" borderId="0" xfId="3" applyFont="1"/>
    <xf numFmtId="167" fontId="11" fillId="0" borderId="0" xfId="2" applyNumberFormat="1" applyFont="1" applyFill="1" applyBorder="1"/>
    <xf numFmtId="165" fontId="6" fillId="0" borderId="0" xfId="1" applyNumberFormat="1" applyFont="1" applyFill="1" applyBorder="1"/>
    <xf numFmtId="0" fontId="2" fillId="0" borderId="3" xfId="0" applyFont="1" applyFill="1" applyBorder="1"/>
    <xf numFmtId="166" fontId="3" fillId="0" borderId="0" xfId="2" applyNumberFormat="1" applyFont="1" applyFill="1" applyBorder="1"/>
    <xf numFmtId="166" fontId="2" fillId="0" borderId="0" xfId="2" applyNumberFormat="1" applyFont="1" applyFill="1" applyBorder="1"/>
    <xf numFmtId="167" fontId="12" fillId="0" borderId="0" xfId="2" applyNumberFormat="1" applyFont="1" applyFill="1" applyBorder="1"/>
    <xf numFmtId="0" fontId="22" fillId="0" borderId="0" xfId="0" applyFont="1" applyFill="1" applyBorder="1"/>
    <xf numFmtId="165" fontId="11" fillId="0" borderId="0" xfId="1" applyNumberFormat="1" applyFont="1"/>
    <xf numFmtId="165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9" fontId="24" fillId="0" borderId="0" xfId="3" applyFont="1" applyFill="1" applyBorder="1" applyAlignment="1">
      <alignment horizontal="right"/>
    </xf>
    <xf numFmtId="0" fontId="25" fillId="0" borderId="0" xfId="0" applyFont="1" applyFill="1" applyBorder="1" applyAlignment="1">
      <alignment horizontal="center"/>
    </xf>
    <xf numFmtId="165" fontId="6" fillId="0" borderId="0" xfId="1" applyNumberFormat="1" applyFont="1"/>
    <xf numFmtId="165" fontId="12" fillId="0" borderId="0" xfId="1" applyNumberFormat="1" applyFont="1"/>
    <xf numFmtId="165" fontId="12" fillId="0" borderId="0" xfId="1" applyNumberFormat="1" applyFont="1" applyBorder="1"/>
    <xf numFmtId="166" fontId="0" fillId="0" borderId="1" xfId="0" applyNumberFormat="1" applyBorder="1"/>
    <xf numFmtId="0" fontId="0" fillId="0" borderId="21" xfId="0" applyBorder="1"/>
    <xf numFmtId="166" fontId="0" fillId="0" borderId="22" xfId="0" applyNumberFormat="1" applyBorder="1"/>
    <xf numFmtId="0" fontId="2" fillId="4" borderId="5" xfId="0" applyFont="1" applyFill="1" applyBorder="1"/>
    <xf numFmtId="0" fontId="0" fillId="4" borderId="6" xfId="0" applyFill="1" applyBorder="1"/>
    <xf numFmtId="166" fontId="0" fillId="4" borderId="6" xfId="2" applyNumberFormat="1" applyFont="1" applyFill="1" applyBorder="1"/>
    <xf numFmtId="166" fontId="0" fillId="4" borderId="6" xfId="0" applyNumberFormat="1" applyFill="1" applyBorder="1"/>
    <xf numFmtId="166" fontId="0" fillId="4" borderId="9" xfId="0" applyNumberFormat="1" applyFill="1" applyBorder="1"/>
    <xf numFmtId="164" fontId="6" fillId="0" borderId="0" xfId="1" applyNumberFormat="1" applyFont="1" applyFill="1" applyBorder="1"/>
    <xf numFmtId="164" fontId="2" fillId="0" borderId="0" xfId="1" applyNumberFormat="1" applyFont="1" applyFill="1" applyBorder="1"/>
    <xf numFmtId="164" fontId="2" fillId="0" borderId="0" xfId="1" applyNumberFormat="1" applyFont="1" applyBorder="1"/>
    <xf numFmtId="0" fontId="22" fillId="0" borderId="0" xfId="0" applyFont="1" applyBorder="1"/>
    <xf numFmtId="166" fontId="2" fillId="0" borderId="4" xfId="2" applyNumberFormat="1" applyFont="1" applyFill="1" applyBorder="1"/>
    <xf numFmtId="170" fontId="6" fillId="0" borderId="4" xfId="0" applyNumberFormat="1" applyFont="1" applyBorder="1"/>
    <xf numFmtId="9" fontId="24" fillId="0" borderId="23" xfId="3" applyFont="1" applyFill="1" applyBorder="1" applyAlignment="1">
      <alignment horizontal="center"/>
    </xf>
    <xf numFmtId="0" fontId="20" fillId="0" borderId="23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3" fillId="0" borderId="23" xfId="0" applyFont="1" applyBorder="1" applyAlignment="1">
      <alignment horizontal="center"/>
    </xf>
    <xf numFmtId="0" fontId="23" fillId="0" borderId="24" xfId="0" applyFont="1" applyBorder="1"/>
    <xf numFmtId="43" fontId="2" fillId="0" borderId="0" xfId="0" applyNumberFormat="1" applyFont="1" applyFill="1" applyBorder="1"/>
    <xf numFmtId="0" fontId="13" fillId="0" borderId="3" xfId="0" applyFont="1" applyFill="1" applyBorder="1"/>
    <xf numFmtId="0" fontId="26" fillId="0" borderId="0" xfId="0" applyFont="1" applyBorder="1"/>
    <xf numFmtId="0" fontId="13" fillId="0" borderId="0" xfId="0" applyFont="1" applyFill="1" applyBorder="1"/>
    <xf numFmtId="167" fontId="27" fillId="0" borderId="23" xfId="2" applyNumberFormat="1" applyFont="1" applyFill="1" applyBorder="1" applyAlignment="1">
      <alignment horizontal="center"/>
    </xf>
    <xf numFmtId="164" fontId="26" fillId="0" borderId="0" xfId="0" applyNumberFormat="1" applyFont="1" applyFill="1" applyBorder="1"/>
    <xf numFmtId="0" fontId="14" fillId="0" borderId="0" xfId="0" applyFont="1" applyFill="1" applyBorder="1"/>
    <xf numFmtId="0" fontId="13" fillId="0" borderId="0" xfId="0" applyFont="1"/>
    <xf numFmtId="0" fontId="26" fillId="0" borderId="3" xfId="0" applyFont="1" applyBorder="1"/>
    <xf numFmtId="0" fontId="26" fillId="0" borderId="0" xfId="0" applyFont="1" applyFill="1" applyBorder="1"/>
    <xf numFmtId="0" fontId="26" fillId="0" borderId="23" xfId="0" applyFont="1" applyFill="1" applyBorder="1" applyAlignment="1">
      <alignment horizontal="center"/>
    </xf>
    <xf numFmtId="0" fontId="27" fillId="0" borderId="0" xfId="0" applyFont="1" applyFill="1" applyBorder="1"/>
    <xf numFmtId="0" fontId="26" fillId="0" borderId="0" xfId="0" applyFont="1"/>
    <xf numFmtId="9" fontId="27" fillId="0" borderId="23" xfId="3" applyFont="1" applyFill="1" applyBorder="1" applyAlignment="1">
      <alignment horizontal="center"/>
    </xf>
    <xf numFmtId="174" fontId="29" fillId="0" borderId="0" xfId="1" applyNumberFormat="1" applyFont="1" applyFill="1" applyBorder="1"/>
    <xf numFmtId="174" fontId="30" fillId="0" borderId="0" xfId="0" applyNumberFormat="1" applyFont="1" applyFill="1" applyBorder="1"/>
    <xf numFmtId="174" fontId="31" fillId="0" borderId="0" xfId="1" applyNumberFormat="1" applyFont="1" applyFill="1" applyBorder="1"/>
    <xf numFmtId="164" fontId="27" fillId="0" borderId="0" xfId="1" applyNumberFormat="1" applyFont="1" applyFill="1" applyBorder="1"/>
    <xf numFmtId="164" fontId="26" fillId="0" borderId="0" xfId="1" applyNumberFormat="1" applyFont="1" applyFill="1" applyBorder="1"/>
    <xf numFmtId="0" fontId="28" fillId="0" borderId="0" xfId="0" applyFont="1"/>
    <xf numFmtId="0" fontId="0" fillId="0" borderId="25" xfId="0" applyBorder="1"/>
    <xf numFmtId="0" fontId="7" fillId="3" borderId="5" xfId="0" applyFont="1" applyFill="1" applyBorder="1"/>
    <xf numFmtId="0" fontId="3" fillId="3" borderId="9" xfId="0" applyFont="1" applyFill="1" applyBorder="1"/>
    <xf numFmtId="0" fontId="3" fillId="4" borderId="7" xfId="0" applyFont="1" applyFill="1" applyBorder="1"/>
    <xf numFmtId="0" fontId="3" fillId="4" borderId="26" xfId="0" applyFont="1" applyFill="1" applyBorder="1"/>
    <xf numFmtId="0" fontId="0" fillId="0" borderId="27" xfId="0" applyBorder="1" applyAlignment="1">
      <alignment horizontal="left"/>
    </xf>
    <xf numFmtId="43" fontId="6" fillId="0" borderId="0" xfId="1" applyNumberFormat="1" applyFont="1" applyBorder="1"/>
    <xf numFmtId="43" fontId="3" fillId="0" borderId="0" xfId="1" applyNumberFormat="1" applyFont="1" applyFill="1" applyBorder="1"/>
    <xf numFmtId="43" fontId="0" fillId="0" borderId="0" xfId="1" applyNumberFormat="1" applyFont="1" applyBorder="1"/>
    <xf numFmtId="0" fontId="32" fillId="0" borderId="23" xfId="0" applyFont="1" applyBorder="1" applyAlignment="1">
      <alignment horizontal="center"/>
    </xf>
    <xf numFmtId="164" fontId="27" fillId="0" borderId="0" xfId="0" applyNumberFormat="1" applyFont="1" applyFill="1" applyBorder="1"/>
    <xf numFmtId="164" fontId="29" fillId="0" borderId="0" xfId="1" applyNumberFormat="1" applyFont="1" applyFill="1" applyBorder="1"/>
    <xf numFmtId="0" fontId="32" fillId="0" borderId="3" xfId="0" applyFont="1" applyFill="1" applyBorder="1"/>
    <xf numFmtId="0" fontId="32" fillId="0" borderId="0" xfId="0" applyFont="1" applyBorder="1"/>
    <xf numFmtId="0" fontId="32" fillId="0" borderId="0" xfId="0" applyFont="1" applyFill="1" applyBorder="1"/>
    <xf numFmtId="171" fontId="32" fillId="0" borderId="0" xfId="3" applyNumberFormat="1" applyFont="1" applyFill="1" applyBorder="1"/>
    <xf numFmtId="0" fontId="32" fillId="0" borderId="0" xfId="0" applyFont="1"/>
    <xf numFmtId="0" fontId="3" fillId="0" borderId="28" xfId="0" applyFont="1" applyBorder="1"/>
    <xf numFmtId="0" fontId="3" fillId="0" borderId="1" xfId="0" applyFont="1" applyBorder="1"/>
    <xf numFmtId="0" fontId="3" fillId="0" borderId="25" xfId="0" applyFont="1" applyBorder="1"/>
    <xf numFmtId="0" fontId="3" fillId="0" borderId="29" xfId="0" applyFont="1" applyBorder="1"/>
    <xf numFmtId="0" fontId="3" fillId="0" borderId="30" xfId="0" applyFont="1" applyBorder="1"/>
    <xf numFmtId="165" fontId="3" fillId="0" borderId="30" xfId="0" applyNumberFormat="1" applyFont="1" applyBorder="1"/>
    <xf numFmtId="165" fontId="3" fillId="0" borderId="30" xfId="1" applyNumberFormat="1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27" xfId="0" applyFont="1" applyBorder="1"/>
    <xf numFmtId="0" fontId="8" fillId="3" borderId="12" xfId="0" applyFont="1" applyFill="1" applyBorder="1"/>
    <xf numFmtId="0" fontId="0" fillId="3" borderId="9" xfId="0" applyFill="1" applyBorder="1"/>
    <xf numFmtId="165" fontId="3" fillId="0" borderId="4" xfId="1" applyNumberFormat="1" applyFont="1" applyFill="1" applyBorder="1" applyAlignment="1">
      <alignment horizontal="center"/>
    </xf>
    <xf numFmtId="9" fontId="24" fillId="0" borderId="4" xfId="3" applyFont="1" applyFill="1" applyBorder="1" applyAlignment="1">
      <alignment horizontal="right"/>
    </xf>
    <xf numFmtId="171" fontId="32" fillId="0" borderId="4" xfId="3" applyNumberFormat="1" applyFont="1" applyFill="1" applyBorder="1"/>
    <xf numFmtId="167" fontId="11" fillId="0" borderId="4" xfId="2" applyNumberFormat="1" applyFont="1" applyFill="1" applyBorder="1"/>
    <xf numFmtId="166" fontId="3" fillId="0" borderId="4" xfId="2" applyNumberFormat="1" applyFont="1" applyFill="1" applyBorder="1"/>
    <xf numFmtId="164" fontId="26" fillId="0" borderId="4" xfId="0" applyNumberFormat="1" applyFont="1" applyFill="1" applyBorder="1"/>
    <xf numFmtId="164" fontId="11" fillId="0" borderId="4" xfId="1" applyNumberFormat="1" applyFont="1" applyFill="1" applyBorder="1"/>
    <xf numFmtId="0" fontId="27" fillId="0" borderId="4" xfId="0" applyFont="1" applyFill="1" applyBorder="1"/>
    <xf numFmtId="174" fontId="31" fillId="0" borderId="4" xfId="1" applyNumberFormat="1" applyFont="1" applyFill="1" applyBorder="1"/>
    <xf numFmtId="43" fontId="3" fillId="0" borderId="4" xfId="1" applyNumberFormat="1" applyFont="1" applyFill="1" applyBorder="1"/>
    <xf numFmtId="164" fontId="26" fillId="0" borderId="4" xfId="1" applyNumberFormat="1" applyFont="1" applyFill="1" applyBorder="1"/>
    <xf numFmtId="164" fontId="2" fillId="0" borderId="4" xfId="1" applyNumberFormat="1" applyFont="1" applyFill="1" applyBorder="1"/>
    <xf numFmtId="0" fontId="22" fillId="0" borderId="6" xfId="0" applyFont="1" applyBorder="1"/>
    <xf numFmtId="167" fontId="0" fillId="0" borderId="6" xfId="2" applyNumberFormat="1" applyFont="1" applyBorder="1"/>
    <xf numFmtId="165" fontId="0" fillId="0" borderId="6" xfId="0" applyNumberFormat="1" applyBorder="1"/>
    <xf numFmtId="165" fontId="0" fillId="0" borderId="9" xfId="0" applyNumberFormat="1" applyBorder="1"/>
    <xf numFmtId="0" fontId="23" fillId="0" borderId="32" xfId="0" applyFont="1" applyFill="1" applyBorder="1" applyAlignment="1">
      <alignment horizontal="center"/>
    </xf>
    <xf numFmtId="0" fontId="21" fillId="3" borderId="3" xfId="0" applyFont="1" applyFill="1" applyBorder="1"/>
    <xf numFmtId="0" fontId="0" fillId="3" borderId="4" xfId="0" applyFill="1" applyBorder="1"/>
    <xf numFmtId="0" fontId="33" fillId="0" borderId="0" xfId="0" applyFont="1" applyFill="1" applyBorder="1"/>
    <xf numFmtId="164" fontId="31" fillId="0" borderId="0" xfId="1" applyNumberFormat="1" applyFont="1" applyFill="1" applyBorder="1"/>
    <xf numFmtId="164" fontId="31" fillId="0" borderId="4" xfId="1" applyNumberFormat="1" applyFont="1" applyFill="1" applyBorder="1"/>
    <xf numFmtId="174" fontId="6" fillId="0" borderId="0" xfId="1" applyNumberFormat="1" applyFont="1" applyFill="1" applyBorder="1"/>
    <xf numFmtId="174" fontId="6" fillId="0" borderId="0" xfId="1" applyNumberFormat="1" applyFont="1" applyBorder="1"/>
    <xf numFmtId="174" fontId="12" fillId="0" borderId="0" xfId="1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6" fillId="0" borderId="0" xfId="0" applyFont="1" applyBorder="1"/>
    <xf numFmtId="164" fontId="0" fillId="0" borderId="0" xfId="0" applyNumberFormat="1"/>
    <xf numFmtId="43" fontId="0" fillId="0" borderId="0" xfId="0" applyNumberFormat="1" applyBorder="1"/>
    <xf numFmtId="164" fontId="2" fillId="0" borderId="0" xfId="0" applyNumberFormat="1" applyFont="1" applyBorder="1"/>
    <xf numFmtId="174" fontId="2" fillId="0" borderId="0" xfId="0" applyNumberFormat="1" applyFont="1" applyBorder="1"/>
    <xf numFmtId="166" fontId="0" fillId="4" borderId="33" xfId="2" applyNumberFormat="1" applyFont="1" applyFill="1" applyBorder="1"/>
    <xf numFmtId="164" fontId="0" fillId="0" borderId="22" xfId="1" applyNumberFormat="1" applyFont="1" applyBorder="1"/>
    <xf numFmtId="164" fontId="11" fillId="0" borderId="0" xfId="0" applyNumberFormat="1" applyFont="1" applyBorder="1"/>
    <xf numFmtId="164" fontId="3" fillId="0" borderId="0" xfId="0" applyNumberFormat="1" applyFont="1" applyBorder="1"/>
    <xf numFmtId="166" fontId="6" fillId="0" borderId="7" xfId="0" applyNumberFormat="1" applyFont="1" applyBorder="1"/>
    <xf numFmtId="166" fontId="6" fillId="0" borderId="14" xfId="0" applyNumberFormat="1" applyFont="1" applyBorder="1"/>
    <xf numFmtId="166" fontId="6" fillId="0" borderId="0" xfId="0" applyNumberFormat="1" applyFont="1" applyBorder="1"/>
    <xf numFmtId="166" fontId="6" fillId="0" borderId="4" xfId="0" applyNumberFormat="1" applyFont="1" applyBorder="1"/>
    <xf numFmtId="0" fontId="2" fillId="2" borderId="7" xfId="0" applyFont="1" applyFill="1" applyBorder="1"/>
    <xf numFmtId="166" fontId="2" fillId="2" borderId="7" xfId="2" applyNumberFormat="1" applyFont="1" applyFill="1" applyBorder="1"/>
    <xf numFmtId="166" fontId="2" fillId="2" borderId="7" xfId="1" applyNumberFormat="1" applyFont="1" applyFill="1" applyBorder="1"/>
    <xf numFmtId="166" fontId="2" fillId="2" borderId="14" xfId="1" applyNumberFormat="1" applyFont="1" applyFill="1" applyBorder="1"/>
    <xf numFmtId="0" fontId="2" fillId="2" borderId="0" xfId="0" applyFont="1" applyFill="1"/>
    <xf numFmtId="0" fontId="15" fillId="0" borderId="10" xfId="0" applyFont="1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9" fillId="0" borderId="4" xfId="0" quotePrefix="1" applyFont="1" applyBorder="1" applyAlignment="1">
      <alignment horizontal="center"/>
    </xf>
    <xf numFmtId="174" fontId="11" fillId="0" borderId="4" xfId="0" applyNumberFormat="1" applyFont="1" applyBorder="1"/>
    <xf numFmtId="174" fontId="2" fillId="0" borderId="4" xfId="0" applyNumberFormat="1" applyFont="1" applyBorder="1"/>
    <xf numFmtId="0" fontId="17" fillId="0" borderId="4" xfId="0" applyFont="1" applyBorder="1"/>
    <xf numFmtId="164" fontId="3" fillId="0" borderId="4" xfId="0" applyNumberFormat="1" applyFont="1" applyBorder="1"/>
    <xf numFmtId="164" fontId="11" fillId="0" borderId="4" xfId="0" applyNumberFormat="1" applyFont="1" applyBorder="1"/>
    <xf numFmtId="164" fontId="2" fillId="0" borderId="4" xfId="0" applyNumberFormat="1" applyFont="1" applyBorder="1"/>
    <xf numFmtId="0" fontId="17" fillId="0" borderId="9" xfId="0" applyFont="1" applyBorder="1"/>
    <xf numFmtId="0" fontId="0" fillId="0" borderId="10" xfId="0" applyBorder="1"/>
    <xf numFmtId="0" fontId="9" fillId="0" borderId="11" xfId="0" applyFont="1" applyBorder="1"/>
    <xf numFmtId="0" fontId="17" fillId="0" borderId="12" xfId="0" applyFont="1" applyBorder="1"/>
    <xf numFmtId="0" fontId="9" fillId="0" borderId="0" xfId="0" applyFont="1" applyFill="1" applyBorder="1"/>
    <xf numFmtId="0" fontId="34" fillId="0" borderId="3" xfId="0" applyFont="1" applyBorder="1"/>
    <xf numFmtId="0" fontId="34" fillId="0" borderId="0" xfId="0" applyFont="1"/>
    <xf numFmtId="0" fontId="35" fillId="0" borderId="0" xfId="0" applyFont="1" applyBorder="1"/>
    <xf numFmtId="171" fontId="35" fillId="0" borderId="0" xfId="3" applyNumberFormat="1" applyFont="1" applyBorder="1"/>
    <xf numFmtId="0" fontId="36" fillId="0" borderId="29" xfId="0" applyFont="1" applyBorder="1"/>
    <xf numFmtId="0" fontId="36" fillId="0" borderId="0" xfId="0" applyFont="1" applyBorder="1"/>
    <xf numFmtId="0" fontId="36" fillId="0" borderId="30" xfId="0" applyFont="1" applyBorder="1"/>
    <xf numFmtId="164" fontId="36" fillId="0" borderId="0" xfId="1" applyNumberFormat="1" applyFont="1" applyBorder="1"/>
    <xf numFmtId="164" fontId="36" fillId="0" borderId="30" xfId="1" applyNumberFormat="1" applyFont="1" applyBorder="1"/>
    <xf numFmtId="165" fontId="36" fillId="0" borderId="0" xfId="1" applyNumberFormat="1" applyFont="1" applyBorder="1"/>
    <xf numFmtId="165" fontId="36" fillId="0" borderId="30" xfId="1" applyNumberFormat="1" applyFont="1" applyBorder="1"/>
    <xf numFmtId="0" fontId="37" fillId="0" borderId="0" xfId="0" applyFont="1" applyBorder="1"/>
    <xf numFmtId="164" fontId="36" fillId="0" borderId="2" xfId="1" applyNumberFormat="1" applyFont="1" applyBorder="1"/>
    <xf numFmtId="164" fontId="36" fillId="0" borderId="27" xfId="1" applyNumberFormat="1" applyFont="1" applyBorder="1"/>
    <xf numFmtId="164" fontId="36" fillId="0" borderId="0" xfId="0" applyNumberFormat="1" applyFont="1" applyBorder="1"/>
    <xf numFmtId="164" fontId="36" fillId="0" borderId="30" xfId="0" applyNumberFormat="1" applyFont="1" applyBorder="1"/>
    <xf numFmtId="0" fontId="36" fillId="0" borderId="31" xfId="0" applyFont="1" applyBorder="1"/>
    <xf numFmtId="0" fontId="36" fillId="0" borderId="2" xfId="0" applyFont="1" applyBorder="1"/>
    <xf numFmtId="0" fontId="36" fillId="0" borderId="27" xfId="0" applyFont="1" applyBorder="1"/>
    <xf numFmtId="0" fontId="38" fillId="0" borderId="28" xfId="0" applyFont="1" applyBorder="1"/>
    <xf numFmtId="0" fontId="15" fillId="0" borderId="3" xfId="0" applyFont="1" applyFill="1" applyBorder="1"/>
    <xf numFmtId="0" fontId="15" fillId="0" borderId="10" xfId="0" applyFont="1" applyFill="1" applyBorder="1"/>
    <xf numFmtId="0" fontId="22" fillId="0" borderId="34" xfId="0" applyFont="1" applyBorder="1" applyAlignment="1">
      <alignment horizontal="center"/>
    </xf>
    <xf numFmtId="0" fontId="3" fillId="0" borderId="11" xfId="0" applyFont="1" applyBorder="1"/>
    <xf numFmtId="0" fontId="3" fillId="0" borderId="11" xfId="0" applyFont="1" applyFill="1" applyBorder="1"/>
    <xf numFmtId="0" fontId="3" fillId="0" borderId="12" xfId="0" applyFont="1" applyFill="1" applyBorder="1"/>
    <xf numFmtId="0" fontId="13" fillId="0" borderId="0" xfId="0" applyFont="1" applyBorder="1"/>
    <xf numFmtId="14" fontId="37" fillId="0" borderId="0" xfId="0" applyNumberFormat="1" applyFont="1" applyBorder="1" applyAlignment="1">
      <alignment horizontal="center"/>
    </xf>
    <xf numFmtId="14" fontId="37" fillId="0" borderId="4" xfId="0" applyNumberFormat="1" applyFont="1" applyBorder="1" applyAlignment="1">
      <alignment horizontal="center"/>
    </xf>
    <xf numFmtId="9" fontId="24" fillId="0" borderId="0" xfId="3" applyFont="1" applyBorder="1" applyAlignment="1">
      <alignment horizontal="left"/>
    </xf>
    <xf numFmtId="0" fontId="22" fillId="0" borderId="28" xfId="0" applyFont="1" applyBorder="1"/>
    <xf numFmtId="0" fontId="0" fillId="0" borderId="29" xfId="0" applyBorder="1"/>
    <xf numFmtId="0" fontId="0" fillId="0" borderId="31" xfId="0" applyBorder="1"/>
    <xf numFmtId="166" fontId="6" fillId="0" borderId="0" xfId="1" applyNumberFormat="1" applyFont="1" applyBorder="1"/>
    <xf numFmtId="166" fontId="2" fillId="0" borderId="4" xfId="0" applyNumberFormat="1" applyFont="1" applyBorder="1"/>
    <xf numFmtId="166" fontId="11" fillId="0" borderId="0" xfId="0" applyNumberFormat="1" applyFont="1" applyBorder="1"/>
    <xf numFmtId="166" fontId="2" fillId="0" borderId="0" xfId="0" applyNumberFormat="1" applyFont="1" applyBorder="1"/>
    <xf numFmtId="0" fontId="0" fillId="0" borderId="22" xfId="0" applyBorder="1"/>
    <xf numFmtId="9" fontId="24" fillId="0" borderId="6" xfId="3" applyFont="1" applyBorder="1"/>
    <xf numFmtId="166" fontId="2" fillId="0" borderId="9" xfId="0" applyNumberFormat="1" applyFont="1" applyBorder="1"/>
    <xf numFmtId="1" fontId="0" fillId="0" borderId="0" xfId="0" applyNumberFormat="1"/>
    <xf numFmtId="0" fontId="22" fillId="0" borderId="0" xfId="0" applyFont="1"/>
    <xf numFmtId="171" fontId="40" fillId="0" borderId="0" xfId="3" applyNumberFormat="1" applyFont="1"/>
    <xf numFmtId="171" fontId="35" fillId="0" borderId="0" xfId="3" applyNumberFormat="1" applyFont="1" applyBorder="1" applyAlignment="1">
      <alignment horizontal="right"/>
    </xf>
    <xf numFmtId="0" fontId="42" fillId="0" borderId="28" xfId="0" applyFont="1" applyBorder="1"/>
    <xf numFmtId="0" fontId="0" fillId="0" borderId="30" xfId="0" applyBorder="1"/>
    <xf numFmtId="1" fontId="0" fillId="0" borderId="0" xfId="0" applyNumberFormat="1" applyBorder="1"/>
    <xf numFmtId="0" fontId="40" fillId="0" borderId="0" xfId="0" applyFont="1" applyBorder="1"/>
    <xf numFmtId="171" fontId="40" fillId="0" borderId="0" xfId="3" applyNumberFormat="1" applyFont="1" applyBorder="1"/>
    <xf numFmtId="171" fontId="40" fillId="0" borderId="30" xfId="3" applyNumberFormat="1" applyFont="1" applyBorder="1"/>
    <xf numFmtId="164" fontId="0" fillId="0" borderId="0" xfId="0" applyNumberFormat="1" applyBorder="1"/>
    <xf numFmtId="0" fontId="41" fillId="0" borderId="0" xfId="0" applyFont="1" applyBorder="1"/>
    <xf numFmtId="0" fontId="2" fillId="0" borderId="30" xfId="0" applyFont="1" applyBorder="1"/>
    <xf numFmtId="0" fontId="0" fillId="0" borderId="27" xfId="0" applyBorder="1"/>
    <xf numFmtId="0" fontId="15" fillId="0" borderId="0" xfId="0" applyFont="1" applyBorder="1"/>
    <xf numFmtId="0" fontId="43" fillId="0" borderId="0" xfId="0" applyFont="1" applyBorder="1"/>
    <xf numFmtId="0" fontId="9" fillId="0" borderId="0" xfId="0" applyFont="1" applyBorder="1"/>
    <xf numFmtId="0" fontId="0" fillId="0" borderId="12" xfId="0" applyBorder="1"/>
    <xf numFmtId="0" fontId="19" fillId="0" borderId="10" xfId="0" applyFont="1" applyBorder="1"/>
    <xf numFmtId="0" fontId="0" fillId="0" borderId="11" xfId="0" applyBorder="1" applyAlignment="1">
      <alignment horizontal="center"/>
    </xf>
    <xf numFmtId="166" fontId="0" fillId="0" borderId="4" xfId="2" applyNumberFormat="1" applyFont="1" applyBorder="1"/>
    <xf numFmtId="164" fontId="11" fillId="0" borderId="4" xfId="1" applyNumberFormat="1" applyFont="1" applyBorder="1"/>
    <xf numFmtId="175" fontId="0" fillId="0" borderId="4" xfId="2" applyNumberFormat="1" applyFont="1" applyBorder="1"/>
    <xf numFmtId="175" fontId="0" fillId="4" borderId="4" xfId="0" applyNumberFormat="1" applyFill="1" applyBorder="1"/>
    <xf numFmtId="174" fontId="0" fillId="0" borderId="4" xfId="1" applyNumberFormat="1" applyFont="1" applyBorder="1"/>
    <xf numFmtId="171" fontId="35" fillId="0" borderId="4" xfId="3" applyNumberFormat="1" applyFont="1" applyBorder="1"/>
    <xf numFmtId="166" fontId="0" fillId="0" borderId="8" xfId="2" applyNumberFormat="1" applyFont="1" applyBorder="1"/>
    <xf numFmtId="166" fontId="0" fillId="4" borderId="6" xfId="1" applyNumberFormat="1" applyFont="1" applyFill="1" applyBorder="1"/>
    <xf numFmtId="166" fontId="0" fillId="4" borderId="9" xfId="1" applyNumberFormat="1" applyFont="1" applyFill="1" applyBorder="1"/>
    <xf numFmtId="166" fontId="0" fillId="0" borderId="0" xfId="3" applyNumberFormat="1" applyFont="1" applyBorder="1"/>
    <xf numFmtId="0" fontId="2" fillId="2" borderId="5" xfId="0" applyFont="1" applyFill="1" applyBorder="1"/>
    <xf numFmtId="0" fontId="0" fillId="2" borderId="6" xfId="0" applyFill="1" applyBorder="1"/>
    <xf numFmtId="166" fontId="0" fillId="2" borderId="6" xfId="2" applyNumberFormat="1" applyFont="1" applyFill="1" applyBorder="1"/>
    <xf numFmtId="166" fontId="0" fillId="2" borderId="6" xfId="0" applyNumberFormat="1" applyFill="1" applyBorder="1"/>
    <xf numFmtId="166" fontId="0" fillId="2" borderId="9" xfId="0" applyNumberFormat="1" applyFill="1" applyBorder="1"/>
    <xf numFmtId="0" fontId="32" fillId="0" borderId="5" xfId="0" applyFont="1" applyFill="1" applyBorder="1"/>
    <xf numFmtId="0" fontId="32" fillId="0" borderId="6" xfId="0" applyFont="1" applyBorder="1"/>
    <xf numFmtId="0" fontId="32" fillId="0" borderId="35" xfId="0" applyFont="1" applyBorder="1" applyAlignment="1">
      <alignment horizontal="center"/>
    </xf>
    <xf numFmtId="0" fontId="32" fillId="0" borderId="6" xfId="0" applyFont="1" applyFill="1" applyBorder="1"/>
    <xf numFmtId="171" fontId="32" fillId="0" borderId="6" xfId="3" applyNumberFormat="1" applyFont="1" applyFill="1" applyBorder="1"/>
    <xf numFmtId="171" fontId="32" fillId="0" borderId="9" xfId="3" applyNumberFormat="1" applyFont="1" applyFill="1" applyBorder="1"/>
    <xf numFmtId="43" fontId="2" fillId="0" borderId="0" xfId="1" applyFont="1"/>
    <xf numFmtId="0" fontId="2" fillId="2" borderId="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89</xdr:row>
      <xdr:rowOff>0</xdr:rowOff>
    </xdr:from>
    <xdr:ext cx="104775" cy="213632"/>
    <xdr:sp macro="" textlink="">
      <xdr:nvSpPr>
        <xdr:cNvPr id="10241" name="Text Box 1">
          <a:extLst>
            <a:ext uri="{FF2B5EF4-FFF2-40B4-BE49-F238E27FC236}">
              <a16:creationId xmlns:a16="http://schemas.microsoft.com/office/drawing/2014/main" id="{7FF8DB0F-3877-A308-A591-4E9AC19E4F5A}"/>
            </a:ext>
          </a:extLst>
        </xdr:cNvPr>
        <xdr:cNvSpPr txBox="1">
          <a:spLocks noChangeArrowheads="1"/>
        </xdr:cNvSpPr>
      </xdr:nvSpPr>
      <xdr:spPr bwMode="auto">
        <a:xfrm>
          <a:off x="0" y="1502092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npv"/>
    </defined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09"/>
  <sheetViews>
    <sheetView tabSelected="1" zoomScale="70" workbookViewId="0"/>
  </sheetViews>
  <sheetFormatPr defaultRowHeight="12.75" x14ac:dyDescent="0.2"/>
  <cols>
    <col min="1" max="1" width="4.85546875" customWidth="1"/>
    <col min="2" max="2" width="30.85546875" customWidth="1"/>
    <col min="3" max="3" width="15" customWidth="1"/>
    <col min="4" max="4" width="15.140625" customWidth="1"/>
    <col min="5" max="5" width="10.85546875" bestFit="1" customWidth="1"/>
    <col min="6" max="6" width="12.7109375" bestFit="1" customWidth="1"/>
  </cols>
  <sheetData>
    <row r="1" spans="1:28" ht="18" x14ac:dyDescent="0.25">
      <c r="A1" s="89" t="str">
        <f>'Model Assumptions'!A1</f>
        <v>DealBench</v>
      </c>
      <c r="B1" s="35"/>
      <c r="C1" s="35"/>
      <c r="D1" s="35"/>
      <c r="E1" s="35"/>
      <c r="F1" s="35"/>
      <c r="G1" s="35"/>
      <c r="H1" s="35"/>
      <c r="I1" s="35"/>
      <c r="J1" s="36"/>
    </row>
    <row r="2" spans="1:28" x14ac:dyDescent="0.2">
      <c r="A2" s="37" t="s">
        <v>153</v>
      </c>
      <c r="B2" s="38"/>
      <c r="C2" s="38"/>
      <c r="D2" s="38"/>
      <c r="E2" s="38"/>
      <c r="F2" s="38"/>
      <c r="G2" s="38"/>
      <c r="H2" s="38"/>
      <c r="I2" s="38"/>
      <c r="J2" s="39"/>
    </row>
    <row r="3" spans="1:28" ht="13.5" thickBot="1" x14ac:dyDescent="0.25">
      <c r="A3" s="40" t="s">
        <v>128</v>
      </c>
      <c r="B3" s="42"/>
      <c r="C3" s="42"/>
      <c r="D3" s="42"/>
      <c r="E3" s="42"/>
      <c r="F3" s="42"/>
      <c r="G3" s="42"/>
      <c r="H3" s="42"/>
      <c r="I3" s="42"/>
      <c r="J3" s="43"/>
    </row>
    <row r="5" spans="1:28" x14ac:dyDescent="0.2">
      <c r="F5" s="193" t="s">
        <v>129</v>
      </c>
    </row>
    <row r="6" spans="1:28" ht="6.75" customHeight="1" x14ac:dyDescent="0.2"/>
    <row r="7" spans="1:28" ht="15.75" x14ac:dyDescent="0.25">
      <c r="A7" s="90" t="s">
        <v>9</v>
      </c>
    </row>
    <row r="8" spans="1:28" x14ac:dyDescent="0.2">
      <c r="B8" t="s">
        <v>10</v>
      </c>
      <c r="C8" s="71">
        <v>4423.2</v>
      </c>
      <c r="D8" s="71">
        <v>5561</v>
      </c>
      <c r="E8" s="71">
        <v>3494</v>
      </c>
      <c r="AA8" t="s">
        <v>94</v>
      </c>
      <c r="AB8" s="2">
        <f>+C19</f>
        <v>3885.2</v>
      </c>
    </row>
    <row r="9" spans="1:28" ht="15" x14ac:dyDescent="0.35">
      <c r="B9" t="s">
        <v>11</v>
      </c>
      <c r="C9" s="147">
        <v>6297.6</v>
      </c>
      <c r="D9" s="147">
        <v>8111</v>
      </c>
      <c r="E9" s="147">
        <v>4860</v>
      </c>
    </row>
    <row r="10" spans="1:28" ht="13.5" thickBot="1" x14ac:dyDescent="0.25">
      <c r="A10" s="1" t="s">
        <v>18</v>
      </c>
      <c r="C10" s="131">
        <f>C8+C9</f>
        <v>10720.8</v>
      </c>
      <c r="D10" s="131">
        <f>D8+D9</f>
        <v>13672</v>
      </c>
      <c r="E10" s="131">
        <f>E8+E9</f>
        <v>8354</v>
      </c>
    </row>
    <row r="11" spans="1:28" ht="15.75" customHeight="1" thickTop="1" x14ac:dyDescent="0.2"/>
    <row r="12" spans="1:28" ht="15.75" x14ac:dyDescent="0.25">
      <c r="A12" s="90" t="s">
        <v>98</v>
      </c>
      <c r="F12" t="s">
        <v>109</v>
      </c>
    </row>
    <row r="13" spans="1:28" x14ac:dyDescent="0.2">
      <c r="B13" t="s">
        <v>10</v>
      </c>
      <c r="C13" s="145">
        <v>4000</v>
      </c>
      <c r="D13" s="145">
        <v>5000</v>
      </c>
      <c r="E13" s="145">
        <v>3000</v>
      </c>
      <c r="F13" t="s">
        <v>110</v>
      </c>
      <c r="AA13" t="s">
        <v>93</v>
      </c>
      <c r="AB13" s="2">
        <f>+C18</f>
        <v>7270.4</v>
      </c>
    </row>
    <row r="14" spans="1:28" ht="15" x14ac:dyDescent="0.35">
      <c r="B14" t="s">
        <v>11</v>
      </c>
      <c r="C14" s="140">
        <f>C13*0.5</f>
        <v>2000</v>
      </c>
      <c r="D14" s="140">
        <f>D13*0.5</f>
        <v>2500</v>
      </c>
      <c r="E14" s="140">
        <f>E13*0.5</f>
        <v>1500</v>
      </c>
      <c r="F14" t="s">
        <v>154</v>
      </c>
    </row>
    <row r="15" spans="1:28" ht="13.5" thickBot="1" x14ac:dyDescent="0.25">
      <c r="A15" s="1" t="s">
        <v>18</v>
      </c>
      <c r="C15" s="131">
        <f>C13+C14</f>
        <v>6000</v>
      </c>
      <c r="D15" s="131">
        <f>D13+D14</f>
        <v>7500</v>
      </c>
      <c r="E15" s="131">
        <f>E13+E14</f>
        <v>4500</v>
      </c>
      <c r="F15" t="s">
        <v>155</v>
      </c>
    </row>
    <row r="16" spans="1:28" ht="13.5" thickTop="1" x14ac:dyDescent="0.2"/>
    <row r="17" spans="1:28" ht="15.75" x14ac:dyDescent="0.25">
      <c r="A17" s="90" t="s">
        <v>160</v>
      </c>
    </row>
    <row r="18" spans="1:28" x14ac:dyDescent="0.2">
      <c r="B18" t="s">
        <v>10</v>
      </c>
      <c r="C18" s="145">
        <f>D78+500</f>
        <v>7270.4</v>
      </c>
      <c r="D18" s="145">
        <v>7210</v>
      </c>
      <c r="E18" s="145">
        <v>2391</v>
      </c>
      <c r="F18" t="s">
        <v>163</v>
      </c>
      <c r="AA18" t="s">
        <v>93</v>
      </c>
      <c r="AB18" s="2">
        <f>+C8</f>
        <v>4423.2</v>
      </c>
    </row>
    <row r="19" spans="1:28" ht="15" x14ac:dyDescent="0.35">
      <c r="B19" t="s">
        <v>11</v>
      </c>
      <c r="C19" s="146">
        <f>0.5*(C18+500)</f>
        <v>3885.2</v>
      </c>
      <c r="D19" s="146">
        <v>2332</v>
      </c>
      <c r="E19" s="146">
        <v>1166</v>
      </c>
      <c r="F19" t="s">
        <v>164</v>
      </c>
    </row>
    <row r="20" spans="1:28" ht="13.5" thickBot="1" x14ac:dyDescent="0.25">
      <c r="A20" s="1" t="s">
        <v>18</v>
      </c>
      <c r="C20" s="131">
        <f>C18+C19</f>
        <v>11155.599999999999</v>
      </c>
      <c r="D20" s="131">
        <f>D18+D19</f>
        <v>9542</v>
      </c>
      <c r="E20" s="131">
        <f>E18+E19</f>
        <v>3557</v>
      </c>
    </row>
    <row r="21" spans="1:28" ht="13.5" thickTop="1" x14ac:dyDescent="0.2"/>
    <row r="22" spans="1:28" ht="15.75" x14ac:dyDescent="0.25">
      <c r="A22" s="90" t="s">
        <v>161</v>
      </c>
      <c r="F22" t="s">
        <v>135</v>
      </c>
    </row>
    <row r="23" spans="1:28" x14ac:dyDescent="0.2">
      <c r="B23" t="s">
        <v>108</v>
      </c>
      <c r="C23" s="145">
        <v>5045.6000000000004</v>
      </c>
      <c r="D23" s="145">
        <v>7210</v>
      </c>
      <c r="E23" s="145">
        <v>2391</v>
      </c>
      <c r="AA23" t="s">
        <v>93</v>
      </c>
      <c r="AB23" s="2">
        <f>+C28</f>
        <v>1364.22</v>
      </c>
    </row>
    <row r="24" spans="1:28" ht="15" x14ac:dyDescent="0.35">
      <c r="B24" t="s">
        <v>11</v>
      </c>
      <c r="C24" s="146">
        <v>1777.4</v>
      </c>
      <c r="D24" s="146">
        <v>2332</v>
      </c>
      <c r="E24" s="146">
        <v>1166</v>
      </c>
    </row>
    <row r="25" spans="1:28" ht="13.5" thickBot="1" x14ac:dyDescent="0.25">
      <c r="A25" s="1" t="s">
        <v>18</v>
      </c>
      <c r="C25" s="131">
        <f>C23+C24</f>
        <v>6823</v>
      </c>
      <c r="D25" s="131">
        <f>D23+D24</f>
        <v>9542</v>
      </c>
      <c r="E25" s="131">
        <f>E23+E24</f>
        <v>3557</v>
      </c>
    </row>
    <row r="26" spans="1:28" ht="13.5" thickTop="1" x14ac:dyDescent="0.2"/>
    <row r="27" spans="1:28" ht="15.75" x14ac:dyDescent="0.25">
      <c r="A27" s="90" t="s">
        <v>107</v>
      </c>
    </row>
    <row r="28" spans="1:28" x14ac:dyDescent="0.2">
      <c r="B28" t="s">
        <v>10</v>
      </c>
      <c r="C28" s="145">
        <f>2067*0.66</f>
        <v>1364.22</v>
      </c>
      <c r="D28" s="145">
        <f>105737*0.026*0.66</f>
        <v>1814.4469199999999</v>
      </c>
      <c r="E28" s="145">
        <f>52869*0.66*0.026</f>
        <v>907.23203999999998</v>
      </c>
      <c r="F28" t="s">
        <v>156</v>
      </c>
      <c r="AA28" t="s">
        <v>93</v>
      </c>
      <c r="AB28" s="2">
        <f>+C13</f>
        <v>4000</v>
      </c>
    </row>
    <row r="29" spans="1:28" ht="15" x14ac:dyDescent="0.35">
      <c r="B29" t="s">
        <v>11</v>
      </c>
      <c r="C29" s="146">
        <f>2067*0.34</f>
        <v>702.78000000000009</v>
      </c>
      <c r="D29" s="146">
        <f>105737*0.026*0.34</f>
        <v>934.71508000000006</v>
      </c>
      <c r="E29" s="146">
        <f>52869*0.026*0.34</f>
        <v>467.36195999999995</v>
      </c>
    </row>
    <row r="30" spans="1:28" ht="13.5" thickBot="1" x14ac:dyDescent="0.25">
      <c r="A30" s="1" t="s">
        <v>18</v>
      </c>
      <c r="C30" s="131">
        <f>C28+C29</f>
        <v>2067</v>
      </c>
      <c r="D30" s="131">
        <f>D28+D29</f>
        <v>2749.1619999999998</v>
      </c>
      <c r="E30" s="131">
        <f>E28+E29</f>
        <v>1374.5940000000001</v>
      </c>
    </row>
    <row r="31" spans="1:28" ht="13.5" thickTop="1" x14ac:dyDescent="0.2">
      <c r="A31" s="1"/>
      <c r="C31" s="48"/>
      <c r="D31" s="48"/>
      <c r="E31" s="48"/>
    </row>
    <row r="32" spans="1:28" ht="15.75" x14ac:dyDescent="0.25">
      <c r="A32" s="90" t="s">
        <v>143</v>
      </c>
    </row>
    <row r="33" spans="1:28" x14ac:dyDescent="0.2">
      <c r="B33" t="s">
        <v>10</v>
      </c>
      <c r="C33" s="145">
        <v>3456</v>
      </c>
      <c r="D33" s="145">
        <v>4000</v>
      </c>
      <c r="E33" s="145">
        <v>2500</v>
      </c>
      <c r="F33" t="s">
        <v>162</v>
      </c>
      <c r="AA33" t="s">
        <v>93</v>
      </c>
      <c r="AB33" s="2">
        <f>+C28</f>
        <v>1364.22</v>
      </c>
    </row>
    <row r="34" spans="1:28" ht="15" x14ac:dyDescent="0.35">
      <c r="B34" t="s">
        <v>11</v>
      </c>
      <c r="C34" s="146">
        <v>1600</v>
      </c>
      <c r="D34" s="146">
        <v>2000</v>
      </c>
      <c r="E34" s="146">
        <v>1000</v>
      </c>
    </row>
    <row r="35" spans="1:28" ht="13.5" thickBot="1" x14ac:dyDescent="0.25">
      <c r="A35" s="1" t="s">
        <v>18</v>
      </c>
      <c r="C35" s="131">
        <f>C33+C34</f>
        <v>5056</v>
      </c>
      <c r="D35" s="131">
        <f>D33+D34</f>
        <v>6000</v>
      </c>
      <c r="E35" s="131">
        <f>E33+E34</f>
        <v>3500</v>
      </c>
    </row>
    <row r="36" spans="1:28" ht="13.5" thickTop="1" x14ac:dyDescent="0.2"/>
    <row r="40" spans="1:28" ht="13.5" thickBot="1" x14ac:dyDescent="0.25"/>
    <row r="41" spans="1:28" x14ac:dyDescent="0.2">
      <c r="A41" s="34" t="str">
        <f>A1</f>
        <v>DealBench</v>
      </c>
      <c r="B41" s="35"/>
      <c r="C41" s="35"/>
      <c r="D41" s="35"/>
      <c r="E41" s="35"/>
      <c r="F41" s="35"/>
      <c r="G41" s="35"/>
      <c r="H41" s="35"/>
      <c r="I41" s="35"/>
      <c r="J41" s="36"/>
    </row>
    <row r="42" spans="1:28" ht="13.5" thickBot="1" x14ac:dyDescent="0.25">
      <c r="A42" s="189" t="s">
        <v>82</v>
      </c>
      <c r="B42" s="41"/>
      <c r="C42" s="41"/>
      <c r="D42" s="41"/>
      <c r="E42" s="41"/>
      <c r="F42" s="41"/>
      <c r="G42" s="41"/>
      <c r="H42" s="41"/>
      <c r="I42" s="41"/>
      <c r="J42" s="190"/>
    </row>
    <row r="43" spans="1:28" ht="13.5" thickBo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28" x14ac:dyDescent="0.2">
      <c r="A44" s="30"/>
      <c r="B44" s="31"/>
      <c r="C44" s="31"/>
      <c r="D44" s="31"/>
      <c r="E44" s="31"/>
      <c r="F44" s="31"/>
      <c r="G44" s="31"/>
      <c r="H44" s="31"/>
      <c r="I44" s="31"/>
      <c r="J44" s="32"/>
    </row>
    <row r="45" spans="1:28" x14ac:dyDescent="0.2">
      <c r="A45" s="63"/>
      <c r="B45" s="64" t="s">
        <v>79</v>
      </c>
      <c r="C45" s="65">
        <v>1995</v>
      </c>
      <c r="D45" s="65">
        <v>1996</v>
      </c>
      <c r="E45" s="65">
        <v>1997</v>
      </c>
      <c r="F45" s="65">
        <v>1998</v>
      </c>
      <c r="G45" s="65">
        <v>1999</v>
      </c>
      <c r="H45" s="65" t="s">
        <v>0</v>
      </c>
      <c r="I45" s="65" t="s">
        <v>16</v>
      </c>
      <c r="J45" s="66" t="s">
        <v>17</v>
      </c>
    </row>
    <row r="46" spans="1:28" x14ac:dyDescent="0.2">
      <c r="A46" s="20"/>
      <c r="B46" s="21"/>
      <c r="C46" s="21"/>
      <c r="D46" s="21"/>
      <c r="E46" s="21"/>
      <c r="F46" s="21"/>
      <c r="G46" s="21"/>
      <c r="H46" s="21"/>
      <c r="I46" s="21"/>
      <c r="J46" s="22"/>
    </row>
    <row r="47" spans="1:28" x14ac:dyDescent="0.2">
      <c r="A47" s="20"/>
      <c r="B47" s="67" t="s">
        <v>14</v>
      </c>
      <c r="C47" s="191"/>
      <c r="D47" s="192"/>
      <c r="E47" s="21"/>
      <c r="F47" s="21"/>
      <c r="G47" s="21"/>
      <c r="H47" s="24"/>
      <c r="I47" s="21"/>
      <c r="J47" s="22"/>
    </row>
    <row r="48" spans="1:28" x14ac:dyDescent="0.2">
      <c r="A48" s="20"/>
      <c r="B48" s="21" t="s">
        <v>13</v>
      </c>
      <c r="C48" s="71">
        <v>13</v>
      </c>
      <c r="D48" s="71">
        <v>26</v>
      </c>
      <c r="E48" s="71">
        <v>7</v>
      </c>
      <c r="F48" s="71">
        <v>15</v>
      </c>
      <c r="G48" s="71">
        <v>17</v>
      </c>
      <c r="H48" s="23">
        <f>AVERAGE(C48:G48)</f>
        <v>15.6</v>
      </c>
      <c r="I48" s="24">
        <f>MIN(C48:H48)</f>
        <v>7</v>
      </c>
      <c r="J48" s="25">
        <f>MAX(C48:H48)</f>
        <v>26</v>
      </c>
    </row>
    <row r="49" spans="1:10" x14ac:dyDescent="0.2">
      <c r="A49" s="20"/>
      <c r="B49" s="21" t="s">
        <v>83</v>
      </c>
      <c r="C49" s="72">
        <v>2247</v>
      </c>
      <c r="D49" s="72">
        <v>3125</v>
      </c>
      <c r="E49" s="72">
        <v>5288</v>
      </c>
      <c r="F49" s="72">
        <v>6257</v>
      </c>
      <c r="G49" s="72">
        <v>5971</v>
      </c>
      <c r="H49" s="14">
        <f>AVERAGE(C49:G49)</f>
        <v>4577.6000000000004</v>
      </c>
      <c r="I49" s="15">
        <f>MIN(C49:H49)</f>
        <v>2247</v>
      </c>
      <c r="J49" s="26">
        <f>MAX(C49:H49)</f>
        <v>6257</v>
      </c>
    </row>
    <row r="50" spans="1:10" x14ac:dyDescent="0.2">
      <c r="A50" s="20"/>
      <c r="B50" s="21" t="s">
        <v>1</v>
      </c>
      <c r="C50" s="24">
        <f t="shared" ref="C50:J50" si="0">SUM(C48:C49)</f>
        <v>2260</v>
      </c>
      <c r="D50" s="24">
        <f t="shared" si="0"/>
        <v>3151</v>
      </c>
      <c r="E50" s="24">
        <f t="shared" si="0"/>
        <v>5295</v>
      </c>
      <c r="F50" s="24">
        <f t="shared" si="0"/>
        <v>6272</v>
      </c>
      <c r="G50" s="24">
        <f t="shared" si="0"/>
        <v>5988</v>
      </c>
      <c r="H50" s="24">
        <f t="shared" si="0"/>
        <v>4593.2000000000007</v>
      </c>
      <c r="I50" s="24">
        <f t="shared" si="0"/>
        <v>2254</v>
      </c>
      <c r="J50" s="25">
        <f t="shared" si="0"/>
        <v>6283</v>
      </c>
    </row>
    <row r="51" spans="1:10" x14ac:dyDescent="0.2">
      <c r="A51" s="20"/>
      <c r="B51" s="21"/>
      <c r="C51" s="23"/>
      <c r="D51" s="23"/>
      <c r="E51" s="23"/>
      <c r="F51" s="23"/>
      <c r="G51" s="23"/>
      <c r="H51" s="23"/>
      <c r="I51" s="21"/>
      <c r="J51" s="22"/>
    </row>
    <row r="52" spans="1:10" x14ac:dyDescent="0.2">
      <c r="A52" s="20"/>
      <c r="B52" s="21" t="s">
        <v>2</v>
      </c>
      <c r="C52" s="71">
        <v>2</v>
      </c>
      <c r="D52" s="71">
        <v>9</v>
      </c>
      <c r="E52" s="71">
        <v>12</v>
      </c>
      <c r="F52" s="71">
        <v>6</v>
      </c>
      <c r="G52" s="71">
        <v>6</v>
      </c>
      <c r="H52" s="23">
        <f>AVERAGE(C52:G52)</f>
        <v>7</v>
      </c>
      <c r="I52" s="24">
        <f>MIN(C52:H52)</f>
        <v>2</v>
      </c>
      <c r="J52" s="25">
        <f>MAX(C52:H52)</f>
        <v>12</v>
      </c>
    </row>
    <row r="53" spans="1:10" x14ac:dyDescent="0.2">
      <c r="A53" s="20"/>
      <c r="B53" s="21" t="s">
        <v>3</v>
      </c>
      <c r="C53" s="72">
        <v>122</v>
      </c>
      <c r="D53" s="72">
        <v>142</v>
      </c>
      <c r="E53" s="72">
        <v>363</v>
      </c>
      <c r="F53" s="72">
        <v>572</v>
      </c>
      <c r="G53" s="72">
        <v>878</v>
      </c>
      <c r="H53" s="14">
        <f>AVERAGE(C53:G53)</f>
        <v>415.4</v>
      </c>
      <c r="I53" s="15">
        <f>MIN(C53:H53)</f>
        <v>122</v>
      </c>
      <c r="J53" s="26">
        <f>MAX(C53:H53)</f>
        <v>878</v>
      </c>
    </row>
    <row r="54" spans="1:10" x14ac:dyDescent="0.2">
      <c r="A54" s="20"/>
      <c r="B54" s="21" t="s">
        <v>4</v>
      </c>
      <c r="C54" s="24">
        <f t="shared" ref="C54:J54" si="1">SUM(C52:C53)</f>
        <v>124</v>
      </c>
      <c r="D54" s="24">
        <f t="shared" si="1"/>
        <v>151</v>
      </c>
      <c r="E54" s="24">
        <f t="shared" si="1"/>
        <v>375</v>
      </c>
      <c r="F54" s="24">
        <f t="shared" si="1"/>
        <v>578</v>
      </c>
      <c r="G54" s="24">
        <f t="shared" si="1"/>
        <v>884</v>
      </c>
      <c r="H54" s="24">
        <f t="shared" si="1"/>
        <v>422.4</v>
      </c>
      <c r="I54" s="24">
        <f t="shared" si="1"/>
        <v>124</v>
      </c>
      <c r="J54" s="25">
        <f t="shared" si="1"/>
        <v>890</v>
      </c>
    </row>
    <row r="55" spans="1:10" x14ac:dyDescent="0.2">
      <c r="A55" s="20"/>
      <c r="B55" s="21"/>
      <c r="C55" s="23"/>
      <c r="D55" s="23"/>
      <c r="E55" s="23"/>
      <c r="F55" s="23"/>
      <c r="G55" s="23"/>
      <c r="H55" s="23"/>
      <c r="I55" s="21"/>
      <c r="J55" s="22"/>
    </row>
    <row r="56" spans="1:10" x14ac:dyDescent="0.2">
      <c r="A56" s="20"/>
      <c r="B56" s="21" t="s">
        <v>5</v>
      </c>
      <c r="C56" s="71">
        <v>0</v>
      </c>
      <c r="D56" s="71">
        <v>0</v>
      </c>
      <c r="E56" s="71">
        <v>1</v>
      </c>
      <c r="F56" s="71">
        <v>1</v>
      </c>
      <c r="G56" s="71">
        <v>3</v>
      </c>
      <c r="H56" s="23">
        <f>AVERAGE(C56:G56)</f>
        <v>1</v>
      </c>
      <c r="I56" s="24">
        <f>MIN(C56:H56)</f>
        <v>0</v>
      </c>
      <c r="J56" s="25">
        <f>MAX(C56:H56)</f>
        <v>3</v>
      </c>
    </row>
    <row r="57" spans="1:10" x14ac:dyDescent="0.2">
      <c r="A57" s="20"/>
      <c r="B57" s="21" t="s">
        <v>6</v>
      </c>
      <c r="C57" s="72">
        <v>22</v>
      </c>
      <c r="D57" s="72">
        <v>28</v>
      </c>
      <c r="E57" s="72">
        <v>73</v>
      </c>
      <c r="F57" s="72">
        <v>65</v>
      </c>
      <c r="G57" s="72">
        <v>75</v>
      </c>
      <c r="H57" s="14">
        <f>AVERAGE(C57:G57)</f>
        <v>52.6</v>
      </c>
      <c r="I57" s="15">
        <f>MIN(C57:H57)</f>
        <v>22</v>
      </c>
      <c r="J57" s="26">
        <f>MAX(C57:H57)</f>
        <v>75</v>
      </c>
    </row>
    <row r="58" spans="1:10" x14ac:dyDescent="0.2">
      <c r="A58" s="20"/>
      <c r="B58" s="21" t="s">
        <v>1</v>
      </c>
      <c r="C58" s="24">
        <f t="shared" ref="C58:J58" si="2">SUM(C56:C57)</f>
        <v>22</v>
      </c>
      <c r="D58" s="24">
        <f t="shared" si="2"/>
        <v>28</v>
      </c>
      <c r="E58" s="24">
        <f t="shared" si="2"/>
        <v>74</v>
      </c>
      <c r="F58" s="24">
        <f t="shared" si="2"/>
        <v>66</v>
      </c>
      <c r="G58" s="24">
        <f t="shared" si="2"/>
        <v>78</v>
      </c>
      <c r="H58" s="24">
        <f t="shared" si="2"/>
        <v>53.6</v>
      </c>
      <c r="I58" s="24">
        <f t="shared" si="2"/>
        <v>22</v>
      </c>
      <c r="J58" s="25">
        <f t="shared" si="2"/>
        <v>78</v>
      </c>
    </row>
    <row r="59" spans="1:10" x14ac:dyDescent="0.2">
      <c r="A59" s="20"/>
      <c r="B59" s="21"/>
      <c r="C59" s="23"/>
      <c r="D59" s="23"/>
      <c r="E59" s="23"/>
      <c r="F59" s="23"/>
      <c r="G59" s="23"/>
      <c r="H59" s="23"/>
      <c r="I59" s="21"/>
      <c r="J59" s="22"/>
    </row>
    <row r="60" spans="1:10" x14ac:dyDescent="0.2">
      <c r="A60" s="20"/>
      <c r="B60" s="67" t="s">
        <v>12</v>
      </c>
      <c r="C60" s="191"/>
      <c r="D60" s="192"/>
      <c r="E60" s="23"/>
      <c r="F60" s="23"/>
      <c r="G60" s="23"/>
      <c r="H60" s="23"/>
      <c r="I60" s="21"/>
      <c r="J60" s="22"/>
    </row>
    <row r="61" spans="1:10" x14ac:dyDescent="0.2">
      <c r="A61" s="20"/>
      <c r="B61" s="21" t="s">
        <v>7</v>
      </c>
      <c r="C61" s="71">
        <v>4</v>
      </c>
      <c r="D61" s="71">
        <v>19</v>
      </c>
      <c r="E61" s="71">
        <v>18</v>
      </c>
      <c r="F61" s="71">
        <v>27</v>
      </c>
      <c r="G61" s="71">
        <v>62</v>
      </c>
      <c r="H61" s="23">
        <f>AVERAGE(C61:G61)</f>
        <v>26</v>
      </c>
      <c r="I61" s="24">
        <f>MIN(C61:H61)</f>
        <v>4</v>
      </c>
      <c r="J61" s="25">
        <f>MAX(C61:H61)</f>
        <v>62</v>
      </c>
    </row>
    <row r="62" spans="1:10" x14ac:dyDescent="0.2">
      <c r="A62" s="20"/>
      <c r="B62" s="21" t="s">
        <v>8</v>
      </c>
      <c r="C62" s="72">
        <v>1166</v>
      </c>
      <c r="D62" s="72">
        <v>1684</v>
      </c>
      <c r="E62" s="72">
        <v>1772</v>
      </c>
      <c r="F62" s="72">
        <v>1933</v>
      </c>
      <c r="G62" s="72">
        <v>2332</v>
      </c>
      <c r="H62" s="14">
        <f>AVERAGE(C62:G62)</f>
        <v>1777.4</v>
      </c>
      <c r="I62" s="15">
        <f>MIN(C62:H62)</f>
        <v>1166</v>
      </c>
      <c r="J62" s="26">
        <f>MAX(C62:H62)</f>
        <v>2332</v>
      </c>
    </row>
    <row r="63" spans="1:10" x14ac:dyDescent="0.2">
      <c r="A63" s="20"/>
      <c r="B63" s="21" t="s">
        <v>1</v>
      </c>
      <c r="C63" s="24">
        <f t="shared" ref="C63:J63" si="3">SUM(C61:C62)</f>
        <v>1170</v>
      </c>
      <c r="D63" s="24">
        <f t="shared" si="3"/>
        <v>1703</v>
      </c>
      <c r="E63" s="24">
        <f t="shared" si="3"/>
        <v>1790</v>
      </c>
      <c r="F63" s="24">
        <f t="shared" si="3"/>
        <v>1960</v>
      </c>
      <c r="G63" s="24">
        <f t="shared" si="3"/>
        <v>2394</v>
      </c>
      <c r="H63" s="24">
        <f t="shared" si="3"/>
        <v>1803.4</v>
      </c>
      <c r="I63" s="24">
        <f t="shared" si="3"/>
        <v>1170</v>
      </c>
      <c r="J63" s="25">
        <f t="shared" si="3"/>
        <v>2394</v>
      </c>
    </row>
    <row r="64" spans="1:10" x14ac:dyDescent="0.2">
      <c r="A64" s="20"/>
      <c r="B64" s="21"/>
      <c r="C64" s="23"/>
      <c r="D64" s="23"/>
      <c r="E64" s="23"/>
      <c r="F64" s="23"/>
      <c r="G64" s="23"/>
      <c r="H64" s="23"/>
      <c r="I64" s="21"/>
      <c r="J64" s="22"/>
    </row>
    <row r="65" spans="1:10" x14ac:dyDescent="0.2">
      <c r="A65" s="20"/>
      <c r="B65" s="67" t="s">
        <v>9</v>
      </c>
      <c r="C65" s="191"/>
      <c r="D65" s="192"/>
      <c r="E65" s="23"/>
      <c r="F65" s="23"/>
      <c r="G65" s="23"/>
      <c r="H65" s="23"/>
      <c r="I65" s="21"/>
      <c r="J65" s="22"/>
    </row>
    <row r="66" spans="1:10" x14ac:dyDescent="0.2">
      <c r="A66" s="20"/>
      <c r="B66" s="21" t="s">
        <v>10</v>
      </c>
      <c r="C66" s="71">
        <v>3494</v>
      </c>
      <c r="D66" s="71">
        <v>4500</v>
      </c>
      <c r="E66" s="71">
        <v>5561</v>
      </c>
      <c r="F66" s="71">
        <v>4587</v>
      </c>
      <c r="G66" s="71">
        <v>3974</v>
      </c>
      <c r="H66" s="23">
        <f>AVERAGE(C66:G66)</f>
        <v>4423.2</v>
      </c>
      <c r="I66" s="24">
        <f>MIN(C66:H66)</f>
        <v>3494</v>
      </c>
      <c r="J66" s="25">
        <f>MAX(C66:H66)</f>
        <v>5561</v>
      </c>
    </row>
    <row r="67" spans="1:10" x14ac:dyDescent="0.2">
      <c r="A67" s="20"/>
      <c r="B67" s="21" t="s">
        <v>11</v>
      </c>
      <c r="C67" s="72">
        <v>4860</v>
      </c>
      <c r="D67" s="72">
        <v>6387</v>
      </c>
      <c r="E67" s="72">
        <v>8111</v>
      </c>
      <c r="F67" s="72">
        <v>6275</v>
      </c>
      <c r="G67" s="72">
        <v>5855</v>
      </c>
      <c r="H67" s="14">
        <f>AVERAGE(C67:G67)</f>
        <v>6297.6</v>
      </c>
      <c r="I67" s="15">
        <f>MIN(C67:H67)</f>
        <v>4860</v>
      </c>
      <c r="J67" s="26">
        <f>MAX(C67:H67)</f>
        <v>8111</v>
      </c>
    </row>
    <row r="68" spans="1:10" x14ac:dyDescent="0.2">
      <c r="A68" s="20"/>
      <c r="B68" s="21" t="s">
        <v>1</v>
      </c>
      <c r="C68" s="24">
        <f t="shared" ref="C68:J68" si="4">SUM(C66:C67)</f>
        <v>8354</v>
      </c>
      <c r="D68" s="24">
        <f t="shared" si="4"/>
        <v>10887</v>
      </c>
      <c r="E68" s="24">
        <f t="shared" si="4"/>
        <v>13672</v>
      </c>
      <c r="F68" s="24">
        <f t="shared" si="4"/>
        <v>10862</v>
      </c>
      <c r="G68" s="24">
        <f t="shared" si="4"/>
        <v>9829</v>
      </c>
      <c r="H68" s="24">
        <f t="shared" si="4"/>
        <v>10720.8</v>
      </c>
      <c r="I68" s="24">
        <f t="shared" si="4"/>
        <v>8354</v>
      </c>
      <c r="J68" s="25">
        <f t="shared" si="4"/>
        <v>13672</v>
      </c>
    </row>
    <row r="69" spans="1:10" x14ac:dyDescent="0.2">
      <c r="A69" s="20"/>
      <c r="B69" s="21"/>
      <c r="C69" s="21"/>
      <c r="D69" s="21"/>
      <c r="E69" s="21"/>
      <c r="F69" s="21"/>
      <c r="G69" s="21"/>
      <c r="H69" s="21"/>
      <c r="I69" s="21"/>
      <c r="J69" s="22"/>
    </row>
    <row r="70" spans="1:10" x14ac:dyDescent="0.2">
      <c r="A70" s="20"/>
      <c r="B70" s="60" t="s">
        <v>15</v>
      </c>
      <c r="C70" s="21"/>
      <c r="D70" s="21"/>
      <c r="E70" s="21"/>
      <c r="F70" s="21"/>
      <c r="G70" s="21"/>
      <c r="H70" s="21"/>
      <c r="I70" s="21"/>
      <c r="J70" s="22"/>
    </row>
    <row r="71" spans="1:10" x14ac:dyDescent="0.2">
      <c r="A71" s="20"/>
      <c r="B71" s="21" t="s">
        <v>84</v>
      </c>
      <c r="C71" s="21"/>
      <c r="D71" s="21"/>
      <c r="E71" s="21"/>
      <c r="F71" s="21"/>
      <c r="G71" s="21"/>
      <c r="H71" s="21"/>
      <c r="I71" s="21"/>
      <c r="J71" s="22"/>
    </row>
    <row r="72" spans="1:10" x14ac:dyDescent="0.2">
      <c r="A72" s="20"/>
      <c r="B72" s="21" t="s">
        <v>85</v>
      </c>
      <c r="C72" s="21"/>
      <c r="D72" s="21"/>
      <c r="E72" s="21"/>
      <c r="F72" s="21"/>
      <c r="G72" s="21"/>
      <c r="H72" s="21"/>
      <c r="I72" s="21"/>
      <c r="J72" s="22"/>
    </row>
    <row r="73" spans="1:10" ht="13.5" thickBot="1" x14ac:dyDescent="0.25">
      <c r="A73" s="27"/>
      <c r="B73" s="28"/>
      <c r="C73" s="28"/>
      <c r="D73" s="28"/>
      <c r="E73" s="28"/>
      <c r="F73" s="28"/>
      <c r="G73" s="28"/>
      <c r="H73" s="28"/>
      <c r="I73" s="28"/>
      <c r="J73" s="29"/>
    </row>
    <row r="74" spans="1:10" x14ac:dyDescent="0.2">
      <c r="A74" s="3" t="s">
        <v>128</v>
      </c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">
      <c r="A76" s="205"/>
      <c r="B76" s="206" t="s">
        <v>157</v>
      </c>
      <c r="C76" s="206"/>
      <c r="D76" s="207" t="s">
        <v>90</v>
      </c>
      <c r="E76" s="3"/>
      <c r="F76" s="3"/>
      <c r="G76" s="3"/>
      <c r="H76" s="3"/>
      <c r="I76" s="3"/>
      <c r="J76" s="3"/>
    </row>
    <row r="77" spans="1:10" x14ac:dyDescent="0.2">
      <c r="A77" s="208"/>
      <c r="B77" s="21"/>
      <c r="C77" s="5"/>
      <c r="D77" s="209"/>
      <c r="E77" s="3"/>
      <c r="F77" s="3"/>
      <c r="G77" s="3"/>
      <c r="H77" s="3"/>
      <c r="I77" s="3"/>
      <c r="J77" s="3"/>
    </row>
    <row r="78" spans="1:10" x14ac:dyDescent="0.2">
      <c r="A78" s="208"/>
      <c r="B78" s="21" t="s">
        <v>91</v>
      </c>
      <c r="C78" s="5"/>
      <c r="D78" s="210">
        <f>+H49+H53+H62</f>
        <v>6770.4</v>
      </c>
      <c r="E78" s="3"/>
      <c r="F78" s="3"/>
      <c r="G78" s="3"/>
      <c r="H78" s="3"/>
      <c r="I78" s="3"/>
      <c r="J78" s="3"/>
    </row>
    <row r="79" spans="1:10" x14ac:dyDescent="0.2">
      <c r="A79" s="208"/>
      <c r="B79" s="21" t="s">
        <v>92</v>
      </c>
      <c r="C79" s="5"/>
      <c r="D79" s="211">
        <f>(64442+94351)/5*0.4</f>
        <v>12703.44</v>
      </c>
      <c r="E79" s="3"/>
      <c r="F79" s="3"/>
      <c r="G79" s="3"/>
      <c r="H79" s="3"/>
      <c r="I79" s="3"/>
      <c r="J79" s="3"/>
    </row>
    <row r="80" spans="1:10" x14ac:dyDescent="0.2">
      <c r="A80" s="208"/>
      <c r="B80" s="21" t="s">
        <v>89</v>
      </c>
      <c r="C80" s="5"/>
      <c r="D80" s="210">
        <f>+H68</f>
        <v>10720.8</v>
      </c>
      <c r="E80" s="3"/>
      <c r="F80" s="3"/>
      <c r="G80" s="3"/>
      <c r="H80" s="3"/>
      <c r="I80" s="3"/>
      <c r="J80" s="3"/>
    </row>
    <row r="81" spans="1:10" x14ac:dyDescent="0.2">
      <c r="A81" s="212"/>
      <c r="B81" s="213"/>
      <c r="C81" s="213"/>
      <c r="D81" s="214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">
      <c r="A89" s="3"/>
      <c r="B89" s="3"/>
      <c r="C89" s="3"/>
      <c r="D89" s="3"/>
      <c r="E89" s="3"/>
      <c r="F89" s="3"/>
      <c r="G89" s="3"/>
      <c r="H89" s="3"/>
      <c r="I89" s="132"/>
      <c r="J89" s="3"/>
    </row>
    <row r="90" spans="1:1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</sheetData>
  <pageMargins left="0.25" right="0.25" top="0.5" bottom="0.5" header="0.5" footer="0.5"/>
  <pageSetup scale="6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265"/>
  <sheetViews>
    <sheetView zoomScale="70" workbookViewId="0"/>
  </sheetViews>
  <sheetFormatPr defaultRowHeight="12.75" x14ac:dyDescent="0.2"/>
  <cols>
    <col min="1" max="1" width="3" customWidth="1"/>
    <col min="2" max="2" width="6.140625" customWidth="1"/>
    <col min="3" max="3" width="24.42578125" customWidth="1"/>
    <col min="4" max="4" width="7.42578125" customWidth="1"/>
    <col min="5" max="5" width="18.85546875" customWidth="1"/>
    <col min="6" max="6" width="13.7109375" customWidth="1"/>
    <col min="7" max="7" width="2" customWidth="1"/>
    <col min="8" max="8" width="13.7109375" customWidth="1"/>
    <col min="9" max="9" width="2" customWidth="1"/>
    <col min="10" max="10" width="13.7109375" customWidth="1"/>
    <col min="11" max="11" width="2" customWidth="1"/>
    <col min="12" max="12" width="13.7109375" customWidth="1"/>
    <col min="13" max="13" width="2" customWidth="1"/>
    <col min="14" max="14" width="15.140625" customWidth="1"/>
    <col min="15" max="15" width="2" customWidth="1"/>
    <col min="16" max="16" width="16.28515625" customWidth="1"/>
    <col min="18" max="18" width="18.5703125" customWidth="1"/>
  </cols>
  <sheetData>
    <row r="1" spans="1:16" ht="18" x14ac:dyDescent="0.25">
      <c r="A1" s="89" t="s">
        <v>95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215"/>
      <c r="O1" s="98"/>
    </row>
    <row r="2" spans="1:16" ht="18" x14ac:dyDescent="0.25">
      <c r="A2" s="234" t="s">
        <v>152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235"/>
      <c r="O2" s="98"/>
    </row>
    <row r="3" spans="1:16" ht="15.75" thickBot="1" x14ac:dyDescent="0.25">
      <c r="A3" s="81" t="s">
        <v>88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216"/>
      <c r="O3" s="98"/>
    </row>
    <row r="4" spans="1:16" ht="9" customHeight="1" x14ac:dyDescent="0.2">
      <c r="A4" s="273"/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334"/>
      <c r="O4" s="98"/>
    </row>
    <row r="5" spans="1:16" x14ac:dyDescent="0.2">
      <c r="A5" s="47"/>
      <c r="B5" s="19"/>
      <c r="C5" s="19"/>
      <c r="D5" s="19"/>
      <c r="E5" s="19"/>
      <c r="F5" s="94">
        <v>2001</v>
      </c>
      <c r="G5" s="94"/>
      <c r="H5" s="94">
        <f>F5+1</f>
        <v>2002</v>
      </c>
      <c r="I5" s="94"/>
      <c r="J5" s="94">
        <f>H5+1</f>
        <v>2003</v>
      </c>
      <c r="K5" s="94"/>
      <c r="L5" s="94">
        <f>J5+1</f>
        <v>2004</v>
      </c>
      <c r="M5" s="94"/>
      <c r="N5" s="95">
        <f>L5+1</f>
        <v>2005</v>
      </c>
      <c r="O5" s="98"/>
    </row>
    <row r="6" spans="1:16" ht="15.75" x14ac:dyDescent="0.25">
      <c r="A6" s="297" t="s">
        <v>191</v>
      </c>
      <c r="B6" s="74"/>
      <c r="C6" s="74"/>
      <c r="D6" s="74"/>
      <c r="E6" s="233" t="s">
        <v>150</v>
      </c>
      <c r="F6" s="101"/>
      <c r="G6" s="101"/>
      <c r="H6" s="101"/>
      <c r="I6" s="101"/>
      <c r="J6" s="101"/>
      <c r="K6" s="101"/>
      <c r="L6" s="101"/>
      <c r="M6" s="101"/>
      <c r="N6" s="102"/>
      <c r="O6" s="98"/>
    </row>
    <row r="7" spans="1:16" x14ac:dyDescent="0.2">
      <c r="A7" s="73"/>
      <c r="B7" s="112" t="s">
        <v>87</v>
      </c>
      <c r="C7" s="112"/>
      <c r="D7" s="74"/>
      <c r="E7" s="163" t="s">
        <v>151</v>
      </c>
      <c r="F7" s="101"/>
      <c r="G7" s="101"/>
      <c r="H7" s="101"/>
      <c r="I7" s="101"/>
      <c r="J7" s="101"/>
      <c r="K7" s="101"/>
      <c r="L7" s="101"/>
      <c r="M7" s="101"/>
      <c r="N7" s="102"/>
      <c r="O7" s="101"/>
    </row>
    <row r="8" spans="1:16" x14ac:dyDescent="0.2">
      <c r="A8" s="73"/>
      <c r="B8" s="74" t="s">
        <v>106</v>
      </c>
      <c r="C8" s="74"/>
      <c r="D8" s="74"/>
      <c r="E8" s="162">
        <v>0.05</v>
      </c>
      <c r="F8" s="134">
        <f>'Market Size'!C10</f>
        <v>10720.8</v>
      </c>
      <c r="G8" s="101"/>
      <c r="H8" s="141">
        <f>F8*(1+$E8)</f>
        <v>11256.84</v>
      </c>
      <c r="I8" s="142"/>
      <c r="J8" s="141">
        <f>H8*(1+$E8)</f>
        <v>11819.682000000001</v>
      </c>
      <c r="K8" s="142"/>
      <c r="L8" s="141">
        <f>J8*(1+$E8)</f>
        <v>12410.6661</v>
      </c>
      <c r="M8" s="142"/>
      <c r="N8" s="217">
        <f>L8*(1+$E8)</f>
        <v>13031.199405000001</v>
      </c>
      <c r="O8" s="142"/>
    </row>
    <row r="9" spans="1:16" x14ac:dyDescent="0.2">
      <c r="A9" s="73"/>
      <c r="B9" s="139" t="s">
        <v>104</v>
      </c>
      <c r="C9" s="139"/>
      <c r="D9" s="74"/>
      <c r="E9" s="163"/>
      <c r="F9" s="143">
        <v>0.05</v>
      </c>
      <c r="G9" s="144"/>
      <c r="H9" s="143">
        <v>0.1</v>
      </c>
      <c r="I9" s="144"/>
      <c r="J9" s="143">
        <v>0.12</v>
      </c>
      <c r="K9" s="144"/>
      <c r="L9" s="143">
        <v>0.2</v>
      </c>
      <c r="M9" s="144"/>
      <c r="N9" s="218">
        <v>0.25</v>
      </c>
      <c r="O9" s="144"/>
    </row>
    <row r="10" spans="1:16" x14ac:dyDescent="0.2">
      <c r="A10" s="73"/>
      <c r="B10" s="74" t="s">
        <v>97</v>
      </c>
      <c r="C10" s="74"/>
      <c r="D10" s="74"/>
      <c r="E10" s="164"/>
      <c r="F10" s="100">
        <f>F8*F9</f>
        <v>536.04</v>
      </c>
      <c r="G10" s="100"/>
      <c r="H10" s="100">
        <f>H8*H9</f>
        <v>1125.684</v>
      </c>
      <c r="I10" s="100"/>
      <c r="J10" s="100">
        <f>J8*J9</f>
        <v>1418.36184</v>
      </c>
      <c r="K10" s="100"/>
      <c r="L10" s="100">
        <f>L8*L9</f>
        <v>2482.1332200000002</v>
      </c>
      <c r="M10" s="100"/>
      <c r="N10" s="111">
        <f>N8*N9</f>
        <v>3257.7998512500003</v>
      </c>
      <c r="O10" s="100"/>
    </row>
    <row r="11" spans="1:16" s="204" customFormat="1" ht="12" x14ac:dyDescent="0.2">
      <c r="A11" s="200"/>
      <c r="B11" s="201"/>
      <c r="C11" s="201" t="s">
        <v>144</v>
      </c>
      <c r="D11" s="201"/>
      <c r="E11" s="197"/>
      <c r="F11" s="201"/>
      <c r="G11" s="202"/>
      <c r="H11" s="203">
        <f>H10/F10-1</f>
        <v>1.1000000000000001</v>
      </c>
      <c r="I11" s="202"/>
      <c r="J11" s="203">
        <f>J10/H10-1</f>
        <v>0.26</v>
      </c>
      <c r="K11" s="202"/>
      <c r="L11" s="203">
        <f>L10/J10-1</f>
        <v>0.75</v>
      </c>
      <c r="M11" s="202"/>
      <c r="N11" s="219">
        <f>N10/L10-1</f>
        <v>0.3125</v>
      </c>
      <c r="O11" s="202"/>
    </row>
    <row r="12" spans="1:16" ht="15" x14ac:dyDescent="0.35">
      <c r="A12" s="73"/>
      <c r="B12" s="74" t="s">
        <v>96</v>
      </c>
      <c r="C12" s="74"/>
      <c r="D12" s="74"/>
      <c r="E12" s="162">
        <v>-0.1</v>
      </c>
      <c r="F12" s="138">
        <v>5000</v>
      </c>
      <c r="G12" s="100"/>
      <c r="H12" s="133">
        <f>F12*(1+$E12)</f>
        <v>4500</v>
      </c>
      <c r="I12" s="100"/>
      <c r="J12" s="133">
        <f>H12*(1+$E12)</f>
        <v>4050</v>
      </c>
      <c r="K12" s="100"/>
      <c r="L12" s="133">
        <f>J12*(1+$E12)</f>
        <v>3645</v>
      </c>
      <c r="M12" s="100"/>
      <c r="N12" s="220">
        <f>L12*(1+$E12)</f>
        <v>3280.5</v>
      </c>
      <c r="O12" s="100"/>
    </row>
    <row r="13" spans="1:16" x14ac:dyDescent="0.2">
      <c r="A13" s="73"/>
      <c r="B13" s="74" t="s">
        <v>124</v>
      </c>
      <c r="C13" s="74"/>
      <c r="D13" s="74"/>
      <c r="E13" s="164"/>
      <c r="F13" s="136">
        <f>F10*F12/1000000</f>
        <v>2.6802000000000001</v>
      </c>
      <c r="G13" s="98"/>
      <c r="H13" s="136">
        <f>H10*H12/1000000</f>
        <v>5.0655780000000004</v>
      </c>
      <c r="I13" s="98"/>
      <c r="J13" s="136">
        <f>J10*J12/1000000</f>
        <v>5.7443654520000003</v>
      </c>
      <c r="K13" s="98"/>
      <c r="L13" s="136">
        <f>L10*L12/1000000</f>
        <v>9.0473755869000012</v>
      </c>
      <c r="M13" s="98"/>
      <c r="N13" s="221">
        <f>N10*N12/1000000</f>
        <v>10.687212412025627</v>
      </c>
      <c r="O13" s="98"/>
    </row>
    <row r="14" spans="1:16" s="204" customFormat="1" x14ac:dyDescent="0.2">
      <c r="A14" s="200"/>
      <c r="B14" s="201"/>
      <c r="C14" s="201" t="s">
        <v>144</v>
      </c>
      <c r="D14" s="201"/>
      <c r="E14" s="197"/>
      <c r="F14" s="201"/>
      <c r="G14" s="202"/>
      <c r="H14" s="203">
        <f>H13/F13-1</f>
        <v>0.89000000000000012</v>
      </c>
      <c r="I14" s="202"/>
      <c r="J14" s="203">
        <f>J13/H13-1</f>
        <v>0.1339999999999999</v>
      </c>
      <c r="K14" s="202"/>
      <c r="L14" s="203">
        <f>L13/J13-1</f>
        <v>0.57500000000000018</v>
      </c>
      <c r="M14" s="202"/>
      <c r="N14" s="219">
        <f>N13/L13-1</f>
        <v>0.18125000000000013</v>
      </c>
      <c r="O14" s="202"/>
      <c r="P14"/>
    </row>
    <row r="15" spans="1:16" ht="18" customHeight="1" x14ac:dyDescent="0.2">
      <c r="A15" s="73"/>
      <c r="B15" s="5"/>
      <c r="C15" s="5"/>
      <c r="D15" s="5"/>
      <c r="E15" s="165"/>
      <c r="F15" s="21"/>
      <c r="G15" s="98"/>
      <c r="H15" s="98"/>
      <c r="I15" s="98"/>
      <c r="J15" s="98"/>
      <c r="K15" s="98"/>
      <c r="L15" s="98"/>
      <c r="M15" s="98"/>
      <c r="N15" s="99"/>
      <c r="O15" s="98"/>
    </row>
    <row r="16" spans="1:16" x14ac:dyDescent="0.2">
      <c r="A16" s="73"/>
      <c r="B16" s="74" t="s">
        <v>105</v>
      </c>
      <c r="C16" s="74"/>
      <c r="D16" s="74"/>
      <c r="E16" s="162">
        <v>0.1</v>
      </c>
      <c r="F16" s="134">
        <f>'Market Size'!C15</f>
        <v>6000</v>
      </c>
      <c r="G16" s="101"/>
      <c r="H16" s="141">
        <f>F16*(1+$E16)</f>
        <v>6600.0000000000009</v>
      </c>
      <c r="I16" s="142"/>
      <c r="J16" s="141">
        <f>H16*(1+$E16)</f>
        <v>7260.0000000000018</v>
      </c>
      <c r="K16" s="142"/>
      <c r="L16" s="141">
        <f>J16*(1+$E16)</f>
        <v>7986.0000000000027</v>
      </c>
      <c r="M16" s="142"/>
      <c r="N16" s="217">
        <f>L16*(1+$E16)</f>
        <v>8784.600000000004</v>
      </c>
      <c r="O16" s="142"/>
    </row>
    <row r="17" spans="1:15" x14ac:dyDescent="0.2">
      <c r="A17" s="73"/>
      <c r="B17" s="74" t="s">
        <v>104</v>
      </c>
      <c r="C17" s="74"/>
      <c r="D17" s="74"/>
      <c r="E17" s="163"/>
      <c r="F17" s="143">
        <v>0.05</v>
      </c>
      <c r="G17" s="144"/>
      <c r="H17" s="143">
        <v>7.0000000000000007E-2</v>
      </c>
      <c r="I17" s="144"/>
      <c r="J17" s="143">
        <v>0.09</v>
      </c>
      <c r="K17" s="144"/>
      <c r="L17" s="143">
        <v>0.12</v>
      </c>
      <c r="M17" s="144"/>
      <c r="N17" s="218">
        <v>0.15</v>
      </c>
      <c r="O17" s="144"/>
    </row>
    <row r="18" spans="1:15" x14ac:dyDescent="0.2">
      <c r="A18" s="73"/>
      <c r="B18" s="74" t="s">
        <v>98</v>
      </c>
      <c r="C18" s="74"/>
      <c r="D18" s="5"/>
      <c r="E18" s="165"/>
      <c r="F18" s="100">
        <f>F16*F17</f>
        <v>300</v>
      </c>
      <c r="G18" s="100"/>
      <c r="H18" s="100">
        <f>H16*H17</f>
        <v>462.00000000000011</v>
      </c>
      <c r="I18" s="100"/>
      <c r="J18" s="100">
        <f>J16*J17</f>
        <v>653.40000000000009</v>
      </c>
      <c r="K18" s="100"/>
      <c r="L18" s="100">
        <f>L16*L17</f>
        <v>958.32000000000028</v>
      </c>
      <c r="M18" s="100"/>
      <c r="N18" s="111">
        <f>N16*N17</f>
        <v>1317.6900000000005</v>
      </c>
      <c r="O18" s="100"/>
    </row>
    <row r="19" spans="1:15" s="204" customFormat="1" ht="12" x14ac:dyDescent="0.2">
      <c r="A19" s="200"/>
      <c r="B19" s="201"/>
      <c r="C19" s="201" t="s">
        <v>144</v>
      </c>
      <c r="D19" s="201"/>
      <c r="E19" s="197"/>
      <c r="F19" s="201"/>
      <c r="G19" s="202"/>
      <c r="H19" s="203">
        <f>H18/F18-1</f>
        <v>0.54000000000000048</v>
      </c>
      <c r="I19" s="202"/>
      <c r="J19" s="203">
        <f>J18/H18-1</f>
        <v>0.41428571428571415</v>
      </c>
      <c r="K19" s="202"/>
      <c r="L19" s="203">
        <f>L18/J18-1</f>
        <v>0.46666666666666679</v>
      </c>
      <c r="M19" s="202"/>
      <c r="N19" s="219">
        <f>N18/L18-1</f>
        <v>0.37500000000000022</v>
      </c>
      <c r="O19" s="202"/>
    </row>
    <row r="20" spans="1:15" ht="15" x14ac:dyDescent="0.35">
      <c r="A20" s="73"/>
      <c r="B20" s="74" t="s">
        <v>96</v>
      </c>
      <c r="C20" s="74"/>
      <c r="D20" s="5"/>
      <c r="E20" s="162">
        <v>-0.1</v>
      </c>
      <c r="F20" s="138">
        <v>3000</v>
      </c>
      <c r="G20" s="100"/>
      <c r="H20" s="133">
        <f>F20*(1+$E20)</f>
        <v>2700</v>
      </c>
      <c r="I20" s="100"/>
      <c r="J20" s="133">
        <f>H20*(1+$E20)</f>
        <v>2430</v>
      </c>
      <c r="K20" s="100"/>
      <c r="L20" s="133">
        <f>J20*(1+$E20)</f>
        <v>2187</v>
      </c>
      <c r="M20" s="100"/>
      <c r="N20" s="220">
        <f>L20*(1+$E20)</f>
        <v>1968.3</v>
      </c>
      <c r="O20" s="100"/>
    </row>
    <row r="21" spans="1:15" x14ac:dyDescent="0.2">
      <c r="A21" s="73"/>
      <c r="B21" s="74" t="s">
        <v>125</v>
      </c>
      <c r="C21" s="74"/>
      <c r="D21" s="5"/>
      <c r="E21" s="165"/>
      <c r="F21" s="136">
        <f>F18*F20/1000000</f>
        <v>0.9</v>
      </c>
      <c r="G21" s="98"/>
      <c r="H21" s="136">
        <f>H18*H20/1000000</f>
        <v>1.2474000000000003</v>
      </c>
      <c r="I21" s="98"/>
      <c r="J21" s="136">
        <f>J18*J20/1000000</f>
        <v>1.5877620000000003</v>
      </c>
      <c r="K21" s="98"/>
      <c r="L21" s="136">
        <f>L18*L20/1000000</f>
        <v>2.0958458400000004</v>
      </c>
      <c r="M21" s="98"/>
      <c r="N21" s="221">
        <f>N18*N20/1000000</f>
        <v>2.5936092270000008</v>
      </c>
      <c r="O21" s="98"/>
    </row>
    <row r="22" spans="1:15" s="204" customFormat="1" ht="12" x14ac:dyDescent="0.2">
      <c r="A22" s="200"/>
      <c r="B22" s="201"/>
      <c r="C22" s="201" t="s">
        <v>144</v>
      </c>
      <c r="D22" s="201"/>
      <c r="E22" s="197"/>
      <c r="F22" s="201"/>
      <c r="G22" s="202"/>
      <c r="H22" s="203">
        <f>H21/F21-1</f>
        <v>0.38600000000000034</v>
      </c>
      <c r="I22" s="202"/>
      <c r="J22" s="203">
        <f>J21/H21-1</f>
        <v>0.27285714285714291</v>
      </c>
      <c r="K22" s="202"/>
      <c r="L22" s="203">
        <f>L21/J21-1</f>
        <v>0.32000000000000006</v>
      </c>
      <c r="M22" s="202"/>
      <c r="N22" s="219">
        <f>N21/L21-1</f>
        <v>0.23750000000000027</v>
      </c>
      <c r="O22" s="202"/>
    </row>
    <row r="23" spans="1:15" ht="18" customHeight="1" x14ac:dyDescent="0.2">
      <c r="A23" s="73"/>
      <c r="B23" s="5"/>
      <c r="C23" s="5"/>
      <c r="D23" s="5"/>
      <c r="E23" s="165"/>
      <c r="F23" s="21"/>
      <c r="G23" s="98"/>
      <c r="H23" s="98"/>
      <c r="I23" s="98"/>
      <c r="J23" s="98"/>
      <c r="K23" s="98"/>
      <c r="L23" s="98"/>
      <c r="M23" s="98"/>
      <c r="N23" s="99"/>
      <c r="O23" s="98"/>
    </row>
    <row r="24" spans="1:15" x14ac:dyDescent="0.2">
      <c r="A24" s="73"/>
      <c r="B24" s="74" t="s">
        <v>146</v>
      </c>
      <c r="C24" s="74"/>
      <c r="D24" s="74"/>
      <c r="E24" s="162">
        <v>0.4</v>
      </c>
      <c r="F24" s="134">
        <f>'Market Size'!C20</f>
        <v>11155.599999999999</v>
      </c>
      <c r="G24" s="101"/>
      <c r="H24" s="141">
        <f>F24*(1+$E24)</f>
        <v>15617.839999999997</v>
      </c>
      <c r="I24" s="142"/>
      <c r="J24" s="141">
        <f>H24*(1+$E24)</f>
        <v>21864.975999999995</v>
      </c>
      <c r="K24" s="142"/>
      <c r="L24" s="141">
        <f>J24*(1+$E24)</f>
        <v>30610.96639999999</v>
      </c>
      <c r="M24" s="142"/>
      <c r="N24" s="217">
        <f>L24*(1+$E24)</f>
        <v>42855.352959999982</v>
      </c>
      <c r="O24" s="142"/>
    </row>
    <row r="25" spans="1:15" x14ac:dyDescent="0.2">
      <c r="A25" s="73"/>
      <c r="B25" s="74" t="s">
        <v>104</v>
      </c>
      <c r="C25" s="74"/>
      <c r="D25" s="74"/>
      <c r="E25" s="163"/>
      <c r="F25" s="143">
        <v>0.02</v>
      </c>
      <c r="G25" s="144"/>
      <c r="H25" s="143">
        <v>0.03</v>
      </c>
      <c r="I25" s="144"/>
      <c r="J25" s="143">
        <v>0.05</v>
      </c>
      <c r="K25" s="144"/>
      <c r="L25" s="143">
        <v>0.08</v>
      </c>
      <c r="M25" s="144"/>
      <c r="N25" s="218">
        <v>0.1</v>
      </c>
      <c r="O25" s="144"/>
    </row>
    <row r="26" spans="1:15" x14ac:dyDescent="0.2">
      <c r="A26" s="73"/>
      <c r="B26" s="74" t="s">
        <v>147</v>
      </c>
      <c r="C26" s="74"/>
      <c r="D26" s="5"/>
      <c r="E26" s="165"/>
      <c r="F26" s="100">
        <f>F24*F25</f>
        <v>223.11199999999997</v>
      </c>
      <c r="G26" s="100"/>
      <c r="H26" s="100">
        <f>H24*H25</f>
        <v>468.53519999999986</v>
      </c>
      <c r="I26" s="100"/>
      <c r="J26" s="100">
        <f>J24*J25</f>
        <v>1093.2487999999998</v>
      </c>
      <c r="K26" s="100"/>
      <c r="L26" s="100">
        <f>L24*L25</f>
        <v>2448.8773119999992</v>
      </c>
      <c r="M26" s="100"/>
      <c r="N26" s="111">
        <f>N24*N25</f>
        <v>4285.5352959999982</v>
      </c>
      <c r="O26" s="100"/>
    </row>
    <row r="27" spans="1:15" s="204" customFormat="1" ht="12" x14ac:dyDescent="0.2">
      <c r="A27" s="200"/>
      <c r="B27" s="201"/>
      <c r="C27" s="201" t="s">
        <v>144</v>
      </c>
      <c r="D27" s="201"/>
      <c r="E27" s="197"/>
      <c r="F27" s="201"/>
      <c r="G27" s="202"/>
      <c r="H27" s="203">
        <f>H26/F26-1</f>
        <v>1.0999999999999996</v>
      </c>
      <c r="I27" s="202"/>
      <c r="J27" s="203">
        <f>J26/H26-1</f>
        <v>1.3333333333333335</v>
      </c>
      <c r="K27" s="202"/>
      <c r="L27" s="203">
        <f>L26/J26-1</f>
        <v>1.2399999999999998</v>
      </c>
      <c r="M27" s="202"/>
      <c r="N27" s="219">
        <f>N26/L26-1</f>
        <v>0.74999999999999978</v>
      </c>
      <c r="O27" s="202"/>
    </row>
    <row r="28" spans="1:15" ht="15" x14ac:dyDescent="0.35">
      <c r="A28" s="73"/>
      <c r="B28" s="74" t="s">
        <v>148</v>
      </c>
      <c r="C28" s="74"/>
      <c r="D28" s="5"/>
      <c r="E28" s="162">
        <v>-0.15</v>
      </c>
      <c r="F28" s="138">
        <v>1500</v>
      </c>
      <c r="G28" s="100"/>
      <c r="H28" s="133">
        <f>F28*(1+$E28)</f>
        <v>1275</v>
      </c>
      <c r="I28" s="100"/>
      <c r="J28" s="133">
        <f>H28*(1+$E28)</f>
        <v>1083.75</v>
      </c>
      <c r="K28" s="100"/>
      <c r="L28" s="133">
        <f>J28*(1+$E28)</f>
        <v>921.1875</v>
      </c>
      <c r="M28" s="100"/>
      <c r="N28" s="220">
        <f>L28*(1+$E28)</f>
        <v>783.00937499999998</v>
      </c>
      <c r="O28" s="100"/>
    </row>
    <row r="29" spans="1:15" x14ac:dyDescent="0.2">
      <c r="A29" s="73"/>
      <c r="B29" s="74" t="s">
        <v>149</v>
      </c>
      <c r="C29" s="74"/>
      <c r="D29" s="5"/>
      <c r="E29" s="165"/>
      <c r="F29" s="136">
        <f>F26*F28/1000000</f>
        <v>0.33466799999999997</v>
      </c>
      <c r="G29" s="98"/>
      <c r="H29" s="136">
        <f>H26*H28/1000000</f>
        <v>0.59738237999999977</v>
      </c>
      <c r="I29" s="98"/>
      <c r="J29" s="136">
        <f>J26*J28/1000000</f>
        <v>1.1848083869999999</v>
      </c>
      <c r="K29" s="98"/>
      <c r="L29" s="136">
        <f>L26*L28/1000000</f>
        <v>2.2558751688479992</v>
      </c>
      <c r="M29" s="98"/>
      <c r="N29" s="221">
        <f>N26*N28/1000000</f>
        <v>3.3556143136613983</v>
      </c>
      <c r="O29" s="98"/>
    </row>
    <row r="30" spans="1:15" s="204" customFormat="1" ht="12" x14ac:dyDescent="0.2">
      <c r="A30" s="200"/>
      <c r="B30" s="201"/>
      <c r="C30" s="201" t="s">
        <v>144</v>
      </c>
      <c r="D30" s="201"/>
      <c r="E30" s="197"/>
      <c r="F30" s="201"/>
      <c r="G30" s="202"/>
      <c r="H30" s="203">
        <f>H29/F29-1</f>
        <v>0.78499999999999948</v>
      </c>
      <c r="I30" s="202"/>
      <c r="J30" s="203">
        <f>J29/H29-1</f>
        <v>0.98333333333333384</v>
      </c>
      <c r="K30" s="202"/>
      <c r="L30" s="203">
        <f>L29/J29-1</f>
        <v>0.90399999999999947</v>
      </c>
      <c r="M30" s="202"/>
      <c r="N30" s="219">
        <f>N29/L29-1</f>
        <v>0.48749999999999982</v>
      </c>
      <c r="O30" s="202"/>
    </row>
    <row r="31" spans="1:15" ht="18" customHeight="1" x14ac:dyDescent="0.2">
      <c r="A31" s="73"/>
      <c r="B31" s="5"/>
      <c r="C31" s="5"/>
      <c r="D31" s="5"/>
      <c r="E31" s="165"/>
      <c r="F31" s="21"/>
      <c r="G31" s="98"/>
      <c r="H31" s="98"/>
      <c r="I31" s="98"/>
      <c r="J31" s="98"/>
      <c r="K31" s="98"/>
      <c r="L31" s="98"/>
      <c r="M31" s="98"/>
      <c r="N31" s="99"/>
      <c r="O31" s="98"/>
    </row>
    <row r="32" spans="1:15" x14ac:dyDescent="0.2">
      <c r="A32" s="73"/>
      <c r="B32" s="74" t="s">
        <v>145</v>
      </c>
      <c r="C32" s="74"/>
      <c r="D32" s="74"/>
      <c r="E32" s="162">
        <v>0.1</v>
      </c>
      <c r="F32" s="100">
        <f>'Market Size'!C25</f>
        <v>6823</v>
      </c>
      <c r="G32" s="101"/>
      <c r="H32" s="141">
        <f>F32*(1+$E32)</f>
        <v>7505.3</v>
      </c>
      <c r="I32" s="142"/>
      <c r="J32" s="141">
        <f>H32*(1+$E32)</f>
        <v>8255.8300000000017</v>
      </c>
      <c r="K32" s="142"/>
      <c r="L32" s="141">
        <f>J32*(1+$E32)</f>
        <v>9081.4130000000023</v>
      </c>
      <c r="M32" s="142"/>
      <c r="N32" s="217">
        <f>L32*(1+$E32)</f>
        <v>9989.5543000000034</v>
      </c>
      <c r="O32" s="142"/>
    </row>
    <row r="33" spans="1:15" x14ac:dyDescent="0.2">
      <c r="A33" s="73"/>
      <c r="B33" s="74" t="s">
        <v>104</v>
      </c>
      <c r="C33" s="74"/>
      <c r="D33" s="74"/>
      <c r="E33" s="163"/>
      <c r="F33" s="143">
        <v>0.03</v>
      </c>
      <c r="G33" s="144"/>
      <c r="H33" s="143">
        <v>0.05</v>
      </c>
      <c r="I33" s="144"/>
      <c r="J33" s="143">
        <v>7.0000000000000007E-2</v>
      </c>
      <c r="K33" s="144"/>
      <c r="L33" s="143">
        <v>0.09</v>
      </c>
      <c r="M33" s="143"/>
      <c r="N33" s="218">
        <v>0.11</v>
      </c>
      <c r="O33" s="143"/>
    </row>
    <row r="34" spans="1:15" x14ac:dyDescent="0.2">
      <c r="A34" s="73"/>
      <c r="B34" s="74" t="s">
        <v>101</v>
      </c>
      <c r="C34" s="74"/>
      <c r="D34" s="5"/>
      <c r="E34" s="165"/>
      <c r="F34" s="100">
        <f>F32*F33</f>
        <v>204.69</v>
      </c>
      <c r="G34" s="100"/>
      <c r="H34" s="100">
        <f>H32*H33</f>
        <v>375.26500000000004</v>
      </c>
      <c r="I34" s="100"/>
      <c r="J34" s="100">
        <f>J32*J33</f>
        <v>577.90810000000022</v>
      </c>
      <c r="K34" s="100"/>
      <c r="L34" s="100">
        <f>L32*L33</f>
        <v>817.32717000000014</v>
      </c>
      <c r="M34" s="100"/>
      <c r="N34" s="111">
        <f>N32*N33</f>
        <v>1098.8509730000003</v>
      </c>
      <c r="O34" s="100"/>
    </row>
    <row r="35" spans="1:15" s="204" customFormat="1" ht="12" x14ac:dyDescent="0.2">
      <c r="A35" s="200"/>
      <c r="B35" s="201"/>
      <c r="C35" s="201" t="s">
        <v>144</v>
      </c>
      <c r="D35" s="201"/>
      <c r="E35" s="197"/>
      <c r="F35" s="201"/>
      <c r="G35" s="202"/>
      <c r="H35" s="203">
        <f>H34/F34-1</f>
        <v>0.83333333333333348</v>
      </c>
      <c r="I35" s="202"/>
      <c r="J35" s="203">
        <f>J34/H34-1</f>
        <v>0.54000000000000048</v>
      </c>
      <c r="K35" s="202"/>
      <c r="L35" s="203">
        <f>L34/J34-1</f>
        <v>0.41428571428571392</v>
      </c>
      <c r="M35" s="202"/>
      <c r="N35" s="219">
        <f>N34/L34-1</f>
        <v>0.34444444444444455</v>
      </c>
      <c r="O35" s="202"/>
    </row>
    <row r="36" spans="1:15" ht="15" x14ac:dyDescent="0.35">
      <c r="A36" s="73"/>
      <c r="B36" s="74" t="s">
        <v>102</v>
      </c>
      <c r="C36" s="74"/>
      <c r="D36" s="5"/>
      <c r="E36" s="162">
        <v>-0.15</v>
      </c>
      <c r="F36" s="138">
        <v>20000</v>
      </c>
      <c r="G36" s="100"/>
      <c r="H36" s="133">
        <f>F36*(1+$E36)</f>
        <v>17000</v>
      </c>
      <c r="I36" s="100"/>
      <c r="J36" s="133">
        <f>H36*(1+$E36)</f>
        <v>14450</v>
      </c>
      <c r="K36" s="100"/>
      <c r="L36" s="133">
        <f>J36*(1+$E36)</f>
        <v>12282.5</v>
      </c>
      <c r="M36" s="100"/>
      <c r="N36" s="220">
        <f>L36*(1+$E36)</f>
        <v>10440.125</v>
      </c>
      <c r="O36" s="100"/>
    </row>
    <row r="37" spans="1:15" x14ac:dyDescent="0.2">
      <c r="A37" s="73"/>
      <c r="B37" s="74" t="s">
        <v>126</v>
      </c>
      <c r="C37" s="74"/>
      <c r="D37" s="5"/>
      <c r="E37" s="165"/>
      <c r="F37" s="136">
        <f>F34*F36/1000000</f>
        <v>4.0937999999999999</v>
      </c>
      <c r="G37" s="98"/>
      <c r="H37" s="136">
        <f>H34*H36/1000000</f>
        <v>6.3795050000000009</v>
      </c>
      <c r="I37" s="98"/>
      <c r="J37" s="136">
        <f>J34*J36/1000000</f>
        <v>8.3507720450000029</v>
      </c>
      <c r="K37" s="98"/>
      <c r="L37" s="136">
        <f>L34*L36/1000000</f>
        <v>10.038820965525002</v>
      </c>
      <c r="M37" s="136">
        <f>M34*M36/1000000</f>
        <v>0</v>
      </c>
      <c r="N37" s="221">
        <f>N34*N36/1000000</f>
        <v>11.472141514491629</v>
      </c>
      <c r="O37" s="136">
        <f>O34*O36/1000000</f>
        <v>0</v>
      </c>
    </row>
    <row r="38" spans="1:15" s="204" customFormat="1" ht="12" x14ac:dyDescent="0.2">
      <c r="A38" s="200"/>
      <c r="B38" s="201"/>
      <c r="C38" s="201" t="s">
        <v>144</v>
      </c>
      <c r="D38" s="201"/>
      <c r="E38" s="197"/>
      <c r="F38" s="201"/>
      <c r="G38" s="202"/>
      <c r="H38" s="203">
        <f>H37/F37-1</f>
        <v>0.55833333333333357</v>
      </c>
      <c r="I38" s="202"/>
      <c r="J38" s="203">
        <f>J37/H37-1</f>
        <v>0.30900000000000039</v>
      </c>
      <c r="K38" s="202"/>
      <c r="L38" s="203">
        <f>L37/J37-1</f>
        <v>0.20214285714285696</v>
      </c>
      <c r="M38" s="202"/>
      <c r="N38" s="219">
        <f>N37/L37-1</f>
        <v>0.14277777777777789</v>
      </c>
      <c r="O38" s="202"/>
    </row>
    <row r="39" spans="1:15" ht="18" customHeight="1" x14ac:dyDescent="0.2">
      <c r="A39" s="73"/>
      <c r="B39" s="5"/>
      <c r="C39" s="5"/>
      <c r="D39" s="5"/>
      <c r="E39" s="165"/>
      <c r="F39" s="21"/>
      <c r="G39" s="98"/>
      <c r="H39" s="98"/>
      <c r="I39" s="98"/>
      <c r="J39" s="98"/>
      <c r="K39" s="98"/>
      <c r="L39" s="98"/>
      <c r="M39" s="98"/>
      <c r="N39" s="99"/>
      <c r="O39" s="98"/>
    </row>
    <row r="40" spans="1:15" x14ac:dyDescent="0.2">
      <c r="A40" s="73"/>
      <c r="B40" s="74" t="s">
        <v>111</v>
      </c>
      <c r="C40" s="74"/>
      <c r="D40" s="74"/>
      <c r="E40" s="162">
        <v>0.4</v>
      </c>
      <c r="F40" s="100">
        <f>'Market Size'!C30</f>
        <v>2067</v>
      </c>
      <c r="G40" s="101"/>
      <c r="H40" s="141">
        <f>F40*(1+$E40)</f>
        <v>2893.7999999999997</v>
      </c>
      <c r="I40" s="142"/>
      <c r="J40" s="141">
        <f>H40*(1+$E40)</f>
        <v>4051.3199999999993</v>
      </c>
      <c r="K40" s="142"/>
      <c r="L40" s="141">
        <f>J40*(1+$E40)</f>
        <v>5671.847999999999</v>
      </c>
      <c r="M40" s="142"/>
      <c r="N40" s="217">
        <f>L40*(1+$E40)</f>
        <v>7940.5871999999981</v>
      </c>
      <c r="O40" s="142"/>
    </row>
    <row r="41" spans="1:15" x14ac:dyDescent="0.2">
      <c r="A41" s="73"/>
      <c r="B41" s="139" t="s">
        <v>104</v>
      </c>
      <c r="C41" s="139"/>
      <c r="D41" s="74"/>
      <c r="E41" s="163"/>
      <c r="F41" s="143">
        <v>0.04</v>
      </c>
      <c r="G41" s="144"/>
      <c r="H41" s="143">
        <v>0.06</v>
      </c>
      <c r="I41" s="144"/>
      <c r="J41" s="143">
        <v>0.08</v>
      </c>
      <c r="K41" s="144"/>
      <c r="L41" s="143">
        <v>0.1</v>
      </c>
      <c r="M41" s="144"/>
      <c r="N41" s="218">
        <v>0.12</v>
      </c>
      <c r="O41" s="144"/>
    </row>
    <row r="42" spans="1:15" x14ac:dyDescent="0.2">
      <c r="A42" s="73"/>
      <c r="B42" s="74" t="s">
        <v>99</v>
      </c>
      <c r="C42" s="74"/>
      <c r="D42" s="5"/>
      <c r="E42" s="165"/>
      <c r="F42" s="100">
        <f>F41*F40</f>
        <v>82.68</v>
      </c>
      <c r="G42" s="134"/>
      <c r="H42" s="100">
        <f>H41*H40</f>
        <v>173.62799999999999</v>
      </c>
      <c r="I42" s="134"/>
      <c r="J42" s="100">
        <f>J41*J40</f>
        <v>324.10559999999992</v>
      </c>
      <c r="K42" s="134"/>
      <c r="L42" s="100">
        <f>L41*L40</f>
        <v>567.18479999999988</v>
      </c>
      <c r="M42" s="134"/>
      <c r="N42" s="111">
        <f>N41*N40</f>
        <v>952.87046399999974</v>
      </c>
      <c r="O42" s="134"/>
    </row>
    <row r="43" spans="1:15" s="204" customFormat="1" ht="12" x14ac:dyDescent="0.2">
      <c r="A43" s="200"/>
      <c r="B43" s="201"/>
      <c r="C43" s="201" t="s">
        <v>144</v>
      </c>
      <c r="D43" s="201"/>
      <c r="E43" s="197"/>
      <c r="F43" s="201"/>
      <c r="G43" s="202"/>
      <c r="H43" s="203">
        <f>H42/F42-1</f>
        <v>1.0999999999999996</v>
      </c>
      <c r="I43" s="202"/>
      <c r="J43" s="203">
        <f>J42/H42-1</f>
        <v>0.86666666666666647</v>
      </c>
      <c r="K43" s="202"/>
      <c r="L43" s="203">
        <f>L42/J42-1</f>
        <v>0.75</v>
      </c>
      <c r="M43" s="202"/>
      <c r="N43" s="219">
        <f>N42/L42-1</f>
        <v>0.67999999999999994</v>
      </c>
      <c r="O43" s="202"/>
    </row>
    <row r="44" spans="1:15" ht="15" x14ac:dyDescent="0.35">
      <c r="A44" s="73"/>
      <c r="B44" s="74" t="s">
        <v>100</v>
      </c>
      <c r="C44" s="74"/>
      <c r="D44" s="5"/>
      <c r="E44" s="162">
        <v>-0.15</v>
      </c>
      <c r="F44" s="138">
        <v>12500</v>
      </c>
      <c r="G44" s="100"/>
      <c r="H44" s="133">
        <f>F44*(1+$E44)</f>
        <v>10625</v>
      </c>
      <c r="I44" s="100"/>
      <c r="J44" s="133">
        <f>H44*(1+$E44)</f>
        <v>9031.25</v>
      </c>
      <c r="K44" s="100"/>
      <c r="L44" s="133">
        <f>J44*(1+$E44)</f>
        <v>7676.5625</v>
      </c>
      <c r="M44" s="100"/>
      <c r="N44" s="220">
        <f>L44*(1+$E44)</f>
        <v>6525.078125</v>
      </c>
      <c r="O44" s="100"/>
    </row>
    <row r="45" spans="1:15" x14ac:dyDescent="0.2">
      <c r="A45" s="73"/>
      <c r="B45" s="74" t="s">
        <v>127</v>
      </c>
      <c r="C45" s="74"/>
      <c r="D45" s="5"/>
      <c r="E45" s="165"/>
      <c r="F45" s="136">
        <f>F42*F44/1000000</f>
        <v>1.0335000000000001</v>
      </c>
      <c r="G45" s="98"/>
      <c r="H45" s="136">
        <f>H42*H44/1000000</f>
        <v>1.8447974999999999</v>
      </c>
      <c r="I45" s="98"/>
      <c r="J45" s="136">
        <f>J42*J44/1000000</f>
        <v>2.9270786999999991</v>
      </c>
      <c r="K45" s="98"/>
      <c r="L45" s="136">
        <f>L42*L44/1000000</f>
        <v>4.3540295662499995</v>
      </c>
      <c r="M45" s="98"/>
      <c r="N45" s="221">
        <f>N42*N44/1000000</f>
        <v>6.2175542206049981</v>
      </c>
      <c r="O45" s="98"/>
    </row>
    <row r="46" spans="1:15" s="204" customFormat="1" ht="12" x14ac:dyDescent="0.2">
      <c r="A46" s="200"/>
      <c r="B46" s="201"/>
      <c r="C46" s="201" t="s">
        <v>144</v>
      </c>
      <c r="D46" s="201"/>
      <c r="E46" s="197"/>
      <c r="F46" s="201"/>
      <c r="G46" s="202"/>
      <c r="H46" s="203">
        <f>H45/F45-1</f>
        <v>0.7849999999999997</v>
      </c>
      <c r="I46" s="202"/>
      <c r="J46" s="203">
        <f>J45/H45-1</f>
        <v>0.58666666666666623</v>
      </c>
      <c r="K46" s="202"/>
      <c r="L46" s="203">
        <f>L45/J45-1</f>
        <v>0.48750000000000027</v>
      </c>
      <c r="M46" s="202"/>
      <c r="N46" s="219">
        <f>N45/L45-1</f>
        <v>0.42799999999999971</v>
      </c>
      <c r="O46" s="202"/>
    </row>
    <row r="47" spans="1:15" ht="18" customHeight="1" x14ac:dyDescent="0.2">
      <c r="A47" s="73"/>
      <c r="B47" s="5"/>
      <c r="C47" s="5"/>
      <c r="D47" s="5"/>
      <c r="E47" s="165"/>
      <c r="F47" s="21"/>
      <c r="G47" s="98"/>
      <c r="H47" s="98"/>
      <c r="I47" s="98"/>
      <c r="J47" s="98"/>
      <c r="K47" s="98"/>
      <c r="L47" s="98"/>
      <c r="M47" s="98"/>
      <c r="N47" s="99"/>
      <c r="O47" s="98"/>
    </row>
    <row r="48" spans="1:15" x14ac:dyDescent="0.2">
      <c r="A48" s="73"/>
      <c r="B48" s="74" t="s">
        <v>141</v>
      </c>
      <c r="C48" s="74"/>
      <c r="D48" s="74"/>
      <c r="E48" s="162">
        <v>0.4</v>
      </c>
      <c r="F48" s="100">
        <f>'Market Size'!C35</f>
        <v>5056</v>
      </c>
      <c r="G48" s="101"/>
      <c r="H48" s="141">
        <f>F48*(1+$E48)</f>
        <v>7078.4</v>
      </c>
      <c r="I48" s="142"/>
      <c r="J48" s="141">
        <f>H48*(1+$E48)</f>
        <v>9909.7599999999984</v>
      </c>
      <c r="K48" s="142"/>
      <c r="L48" s="141">
        <f>J48*(1+$E48)</f>
        <v>13873.663999999997</v>
      </c>
      <c r="M48" s="142"/>
      <c r="N48" s="217">
        <f>L48*(1+$E48)</f>
        <v>19423.129599999993</v>
      </c>
      <c r="O48" s="142"/>
    </row>
    <row r="49" spans="1:16" x14ac:dyDescent="0.2">
      <c r="A49" s="73"/>
      <c r="B49" s="139" t="s">
        <v>104</v>
      </c>
      <c r="C49" s="139"/>
      <c r="D49" s="74"/>
      <c r="E49" s="163"/>
      <c r="F49" s="143">
        <v>0.01</v>
      </c>
      <c r="G49" s="144"/>
      <c r="H49" s="143">
        <v>0.03</v>
      </c>
      <c r="I49" s="144"/>
      <c r="J49" s="143">
        <v>0.06</v>
      </c>
      <c r="K49" s="144"/>
      <c r="L49" s="143">
        <v>0.08</v>
      </c>
      <c r="M49" s="144"/>
      <c r="N49" s="218">
        <v>0.1</v>
      </c>
      <c r="O49" s="144"/>
    </row>
    <row r="50" spans="1:16" x14ac:dyDescent="0.2">
      <c r="A50" s="73"/>
      <c r="B50" s="74" t="s">
        <v>99</v>
      </c>
      <c r="C50" s="74"/>
      <c r="D50" s="5"/>
      <c r="E50" s="165"/>
      <c r="F50" s="100">
        <f>F49*F48</f>
        <v>50.56</v>
      </c>
      <c r="G50" s="134"/>
      <c r="H50" s="100">
        <f>H49*H48</f>
        <v>212.35199999999998</v>
      </c>
      <c r="I50" s="134"/>
      <c r="J50" s="100">
        <f>J49*J48</f>
        <v>594.58559999999989</v>
      </c>
      <c r="K50" s="134"/>
      <c r="L50" s="100">
        <f>L49*L48</f>
        <v>1109.8931199999997</v>
      </c>
      <c r="M50" s="134"/>
      <c r="N50" s="111">
        <f>N49*N48</f>
        <v>1942.3129599999993</v>
      </c>
      <c r="O50" s="134"/>
    </row>
    <row r="51" spans="1:16" s="204" customFormat="1" ht="12" x14ac:dyDescent="0.2">
      <c r="A51" s="200"/>
      <c r="B51" s="201"/>
      <c r="C51" s="201" t="s">
        <v>144</v>
      </c>
      <c r="D51" s="201"/>
      <c r="E51" s="197"/>
      <c r="F51" s="201"/>
      <c r="G51" s="202"/>
      <c r="H51" s="203">
        <f>H50/F50-1</f>
        <v>3.1999999999999993</v>
      </c>
      <c r="I51" s="202"/>
      <c r="J51" s="203">
        <f>J50/H50-1</f>
        <v>1.7999999999999998</v>
      </c>
      <c r="K51" s="202"/>
      <c r="L51" s="203">
        <f>L50/J50-1</f>
        <v>0.86666666666666647</v>
      </c>
      <c r="M51" s="202"/>
      <c r="N51" s="219">
        <f>N50/L50-1</f>
        <v>0.74999999999999978</v>
      </c>
      <c r="O51" s="202"/>
    </row>
    <row r="52" spans="1:16" ht="15" x14ac:dyDescent="0.35">
      <c r="A52" s="73"/>
      <c r="B52" s="74" t="s">
        <v>100</v>
      </c>
      <c r="C52" s="74"/>
      <c r="D52" s="5"/>
      <c r="E52" s="162">
        <v>-0.15</v>
      </c>
      <c r="F52" s="138">
        <v>12500</v>
      </c>
      <c r="G52" s="100"/>
      <c r="H52" s="133">
        <f>F52*(1+$E52)</f>
        <v>10625</v>
      </c>
      <c r="I52" s="100"/>
      <c r="J52" s="133">
        <f>H52*(1+$E52)</f>
        <v>9031.25</v>
      </c>
      <c r="K52" s="100"/>
      <c r="L52" s="133">
        <f>J52*(1+$E52)</f>
        <v>7676.5625</v>
      </c>
      <c r="M52" s="100"/>
      <c r="N52" s="220">
        <f>L52*(1+$E52)</f>
        <v>6525.078125</v>
      </c>
      <c r="O52" s="100"/>
    </row>
    <row r="53" spans="1:16" x14ac:dyDescent="0.2">
      <c r="A53" s="73"/>
      <c r="B53" s="74" t="s">
        <v>142</v>
      </c>
      <c r="C53" s="74"/>
      <c r="D53" s="5"/>
      <c r="E53" s="165"/>
      <c r="F53" s="136">
        <f>F50*F52/1000000</f>
        <v>0.63200000000000001</v>
      </c>
      <c r="G53" s="98"/>
      <c r="H53" s="136">
        <f>H50*H52/1000000</f>
        <v>2.2562399999999996</v>
      </c>
      <c r="I53" s="98"/>
      <c r="J53" s="136">
        <f>J50*J52/1000000</f>
        <v>5.3698511999999994</v>
      </c>
      <c r="K53" s="98"/>
      <c r="L53" s="136">
        <f>L50*L52/1000000</f>
        <v>8.5201639039999968</v>
      </c>
      <c r="M53" s="98"/>
      <c r="N53" s="221">
        <f>N50*N52/1000000</f>
        <v>12.673743807199996</v>
      </c>
      <c r="O53" s="98"/>
    </row>
    <row r="54" spans="1:16" s="204" customFormat="1" ht="12" x14ac:dyDescent="0.2">
      <c r="A54" s="200"/>
      <c r="B54" s="201"/>
      <c r="C54" s="201" t="s">
        <v>144</v>
      </c>
      <c r="D54" s="201"/>
      <c r="E54" s="197"/>
      <c r="F54" s="201"/>
      <c r="G54" s="202"/>
      <c r="H54" s="203">
        <f>H53/F53-1</f>
        <v>2.5699999999999994</v>
      </c>
      <c r="I54" s="202"/>
      <c r="J54" s="203">
        <f>J53/H53-1</f>
        <v>1.3800000000000003</v>
      </c>
      <c r="K54" s="202"/>
      <c r="L54" s="203">
        <f>L53/J53-1</f>
        <v>0.58666666666666623</v>
      </c>
      <c r="M54" s="202"/>
      <c r="N54" s="219">
        <f>N53/L53-1</f>
        <v>0.48750000000000004</v>
      </c>
      <c r="O54" s="202"/>
    </row>
    <row r="55" spans="1:16" x14ac:dyDescent="0.2">
      <c r="A55" s="73"/>
      <c r="B55" s="5"/>
      <c r="C55" s="5"/>
      <c r="D55" s="5"/>
      <c r="E55" s="165"/>
      <c r="F55" s="21"/>
      <c r="G55" s="98"/>
      <c r="H55" s="98"/>
      <c r="I55" s="98"/>
      <c r="J55" s="98"/>
      <c r="K55" s="98"/>
      <c r="L55" s="98"/>
      <c r="M55" s="98"/>
      <c r="N55" s="99"/>
      <c r="O55" s="98"/>
    </row>
    <row r="56" spans="1:16" s="1" customFormat="1" x14ac:dyDescent="0.2">
      <c r="A56" s="135"/>
      <c r="B56" s="10" t="s">
        <v>103</v>
      </c>
      <c r="C56" s="10"/>
      <c r="D56" s="10"/>
      <c r="E56" s="166"/>
      <c r="F56" s="137">
        <f>F13+F21+F29+F37+F45+F53</f>
        <v>9.6741679999999999</v>
      </c>
      <c r="G56" s="92"/>
      <c r="H56" s="137">
        <f>H13+H21+H29+H37+H45+H53</f>
        <v>17.390902880000002</v>
      </c>
      <c r="I56" s="92"/>
      <c r="J56" s="137">
        <f>J13+J21+J29+J37+J45+J53</f>
        <v>25.164637784000004</v>
      </c>
      <c r="K56" s="92"/>
      <c r="L56" s="137">
        <f>L13+L21+L29+L37+L45+L53</f>
        <v>36.312111031523003</v>
      </c>
      <c r="M56" s="92"/>
      <c r="N56" s="160">
        <f>N13+N21+N29+N37+N45+N53</f>
        <v>46.999875494983648</v>
      </c>
      <c r="O56" s="92"/>
      <c r="P56" s="358">
        <f>'Income Statement and Valuation'!J52</f>
        <v>104.584429976957</v>
      </c>
    </row>
    <row r="57" spans="1:16" s="204" customFormat="1" ht="17.25" customHeight="1" thickBot="1" x14ac:dyDescent="0.25">
      <c r="A57" s="352"/>
      <c r="B57" s="353"/>
      <c r="C57" s="353" t="s">
        <v>144</v>
      </c>
      <c r="D57" s="353"/>
      <c r="E57" s="354"/>
      <c r="F57" s="353"/>
      <c r="G57" s="355"/>
      <c r="H57" s="356">
        <f>H56/F56-1</f>
        <v>0.79766393140991587</v>
      </c>
      <c r="I57" s="355"/>
      <c r="J57" s="356">
        <f>J56/H56-1</f>
        <v>0.44700007570854772</v>
      </c>
      <c r="K57" s="355"/>
      <c r="L57" s="356">
        <f>L56/J56-1</f>
        <v>0.44298166908687642</v>
      </c>
      <c r="M57" s="355"/>
      <c r="N57" s="357">
        <f>N56/L56-1</f>
        <v>0.29433057346025571</v>
      </c>
      <c r="O57" s="202"/>
    </row>
    <row r="58" spans="1:16" ht="15.75" x14ac:dyDescent="0.25">
      <c r="A58" s="298" t="s">
        <v>192</v>
      </c>
      <c r="B58" s="263"/>
      <c r="C58" s="263"/>
      <c r="D58" s="263"/>
      <c r="E58" s="299"/>
      <c r="F58" s="300"/>
      <c r="G58" s="301"/>
      <c r="H58" s="301"/>
      <c r="I58" s="301"/>
      <c r="J58" s="301"/>
      <c r="K58" s="301"/>
      <c r="L58" s="301"/>
      <c r="M58" s="301"/>
      <c r="N58" s="302"/>
      <c r="O58" s="98"/>
    </row>
    <row r="59" spans="1:16" x14ac:dyDescent="0.2">
      <c r="A59" s="73"/>
      <c r="C59" s="112"/>
      <c r="D59" s="74"/>
      <c r="E59" s="164"/>
      <c r="F59" s="168"/>
      <c r="G59" s="92"/>
      <c r="H59" s="92"/>
      <c r="I59" s="92"/>
      <c r="J59" s="92"/>
      <c r="K59" s="92"/>
      <c r="L59" s="92"/>
      <c r="M59" s="92"/>
      <c r="N59" s="93"/>
      <c r="O59" s="92"/>
    </row>
    <row r="60" spans="1:16" x14ac:dyDescent="0.2">
      <c r="A60" s="73"/>
      <c r="B60" s="112" t="s">
        <v>193</v>
      </c>
      <c r="C60" s="112"/>
      <c r="D60" s="74"/>
      <c r="E60" s="164"/>
      <c r="F60" s="168"/>
      <c r="G60" s="92"/>
      <c r="H60" s="92"/>
      <c r="I60" s="92"/>
      <c r="J60" s="92"/>
      <c r="K60" s="92"/>
      <c r="L60" s="92"/>
      <c r="M60" s="92"/>
      <c r="N60" s="93"/>
      <c r="O60" s="92"/>
    </row>
    <row r="61" spans="1:16" s="180" customFormat="1" ht="12" x14ac:dyDescent="0.2">
      <c r="A61" s="176"/>
      <c r="B61" s="170"/>
      <c r="C61" s="170" t="s">
        <v>116</v>
      </c>
      <c r="D61" s="177"/>
      <c r="E61" s="178"/>
      <c r="F61" s="179">
        <v>8</v>
      </c>
      <c r="G61" s="179"/>
      <c r="H61" s="179">
        <v>15</v>
      </c>
      <c r="I61" s="179"/>
      <c r="J61" s="179">
        <v>20</v>
      </c>
      <c r="K61" s="179"/>
      <c r="L61" s="179">
        <v>25</v>
      </c>
      <c r="M61" s="179"/>
      <c r="N61" s="224">
        <v>30</v>
      </c>
      <c r="O61" s="179"/>
    </row>
    <row r="62" spans="1:16" s="180" customFormat="1" ht="14.25" x14ac:dyDescent="0.35">
      <c r="A62" s="176"/>
      <c r="B62" s="170"/>
      <c r="C62" s="170" t="s">
        <v>158</v>
      </c>
      <c r="D62" s="177"/>
      <c r="E62" s="181">
        <v>0.1</v>
      </c>
      <c r="F62" s="182">
        <v>0.17499999999999999</v>
      </c>
      <c r="G62" s="183"/>
      <c r="H62" s="184">
        <f>F62*(1+$E62)</f>
        <v>0.1925</v>
      </c>
      <c r="I62" s="183"/>
      <c r="J62" s="184">
        <f>H62*(1+$E62)</f>
        <v>0.21175000000000002</v>
      </c>
      <c r="K62" s="183"/>
      <c r="L62" s="184">
        <f>J62*(1+$E62)</f>
        <v>0.23292500000000005</v>
      </c>
      <c r="M62" s="183"/>
      <c r="N62" s="225">
        <f>L62*(1+$E62)</f>
        <v>0.2562175000000001</v>
      </c>
      <c r="O62" s="183"/>
    </row>
    <row r="63" spans="1:16" s="175" customFormat="1" ht="12" x14ac:dyDescent="0.2">
      <c r="A63" s="169"/>
      <c r="B63" s="303"/>
      <c r="C63" s="170" t="s">
        <v>159</v>
      </c>
      <c r="D63" s="171"/>
      <c r="E63" s="172"/>
      <c r="F63" s="173">
        <f>-F61*F62</f>
        <v>-1.4</v>
      </c>
      <c r="G63" s="174"/>
      <c r="H63" s="173">
        <f>-H61*H62</f>
        <v>-2.8875000000000002</v>
      </c>
      <c r="I63" s="174"/>
      <c r="J63" s="173">
        <f>-J61*J62</f>
        <v>-4.2350000000000003</v>
      </c>
      <c r="K63" s="174"/>
      <c r="L63" s="173">
        <f>-L61*L62</f>
        <v>-5.823125000000001</v>
      </c>
      <c r="M63" s="174"/>
      <c r="N63" s="222">
        <f>-N61*N62</f>
        <v>-7.6865250000000032</v>
      </c>
      <c r="O63" s="174"/>
    </row>
    <row r="64" spans="1:16" s="175" customFormat="1" x14ac:dyDescent="0.2">
      <c r="A64" s="169"/>
      <c r="B64" s="303"/>
      <c r="C64" s="177" t="s">
        <v>130</v>
      </c>
      <c r="D64" s="171"/>
      <c r="E64" s="181">
        <v>0.1</v>
      </c>
      <c r="F64" s="198">
        <f>-0.2*F61</f>
        <v>-1.6</v>
      </c>
      <c r="G64" s="174"/>
      <c r="H64" s="198">
        <f>0.2*-H61</f>
        <v>-3</v>
      </c>
      <c r="I64" s="174"/>
      <c r="J64" s="96">
        <f>H64*(1+$E64)</f>
        <v>-3.3000000000000003</v>
      </c>
      <c r="K64" s="174"/>
      <c r="L64" s="96">
        <f>J64*(1+$E64)</f>
        <v>-3.6300000000000008</v>
      </c>
      <c r="M64" s="174"/>
      <c r="N64" s="97">
        <f>L64*(1+$E64)</f>
        <v>-3.9930000000000012</v>
      </c>
      <c r="O64" s="174"/>
    </row>
    <row r="65" spans="1:28" s="175" customFormat="1" x14ac:dyDescent="0.2">
      <c r="A65" s="169"/>
      <c r="B65" s="303"/>
      <c r="C65" s="177" t="s">
        <v>131</v>
      </c>
      <c r="D65" s="171"/>
      <c r="E65" s="181">
        <v>0.25</v>
      </c>
      <c r="F65" s="198">
        <v>-0.3</v>
      </c>
      <c r="G65" s="174"/>
      <c r="H65" s="198">
        <v>-0.8</v>
      </c>
      <c r="I65" s="174"/>
      <c r="J65" s="96">
        <f t="shared" ref="J65:N67" si="0">H65*(1+$E65)</f>
        <v>-1</v>
      </c>
      <c r="K65" s="174"/>
      <c r="L65" s="96">
        <f t="shared" si="0"/>
        <v>-1.25</v>
      </c>
      <c r="M65" s="174"/>
      <c r="N65" s="97">
        <f t="shared" si="0"/>
        <v>-1.5625</v>
      </c>
      <c r="O65" s="174"/>
    </row>
    <row r="66" spans="1:28" s="175" customFormat="1" x14ac:dyDescent="0.2">
      <c r="A66" s="169"/>
      <c r="B66" s="303"/>
      <c r="C66" s="177" t="s">
        <v>132</v>
      </c>
      <c r="D66" s="171"/>
      <c r="E66" s="181">
        <v>0.1</v>
      </c>
      <c r="F66" s="198">
        <v>-0.2</v>
      </c>
      <c r="G66" s="174"/>
      <c r="H66" s="198">
        <v>-0.5</v>
      </c>
      <c r="I66" s="174"/>
      <c r="J66" s="96">
        <f t="shared" si="0"/>
        <v>-0.55000000000000004</v>
      </c>
      <c r="K66" s="174"/>
      <c r="L66" s="96">
        <f t="shared" si="0"/>
        <v>-0.60500000000000009</v>
      </c>
      <c r="M66" s="174"/>
      <c r="N66" s="97">
        <f t="shared" si="0"/>
        <v>-0.6655000000000002</v>
      </c>
      <c r="O66" s="174"/>
    </row>
    <row r="67" spans="1:28" s="175" customFormat="1" ht="15" x14ac:dyDescent="0.35">
      <c r="A67" s="169"/>
      <c r="B67" s="303"/>
      <c r="C67" s="177" t="s">
        <v>133</v>
      </c>
      <c r="D67" s="171"/>
      <c r="E67" s="181">
        <v>0.25</v>
      </c>
      <c r="F67" s="199">
        <v>-1</v>
      </c>
      <c r="G67" s="236"/>
      <c r="H67" s="199">
        <v>-1.2</v>
      </c>
      <c r="I67" s="236"/>
      <c r="J67" s="105">
        <f t="shared" si="0"/>
        <v>-1.5</v>
      </c>
      <c r="K67" s="236"/>
      <c r="L67" s="105">
        <f t="shared" si="0"/>
        <v>-1.875</v>
      </c>
      <c r="M67" s="236"/>
      <c r="N67" s="223">
        <f t="shared" si="0"/>
        <v>-2.34375</v>
      </c>
      <c r="O67" s="236"/>
    </row>
    <row r="68" spans="1:28" x14ac:dyDescent="0.2">
      <c r="A68" s="9"/>
      <c r="B68" s="5" t="s">
        <v>118</v>
      </c>
      <c r="C68" s="5"/>
      <c r="D68" s="5"/>
      <c r="E68" s="162"/>
      <c r="F68" s="96">
        <f>SUM(F64:F67)+F63</f>
        <v>-4.5</v>
      </c>
      <c r="G68" s="96"/>
      <c r="H68" s="96">
        <f>SUM(H64:H67)+H63</f>
        <v>-8.3874999999999993</v>
      </c>
      <c r="I68" s="96"/>
      <c r="J68" s="96">
        <f>SUM(J64:J67)+J63</f>
        <v>-10.585000000000001</v>
      </c>
      <c r="K68" s="96"/>
      <c r="L68" s="96">
        <f>SUM(L64:L67)+L63</f>
        <v>-13.183125000000002</v>
      </c>
      <c r="M68" s="96"/>
      <c r="N68" s="97">
        <f>SUM(N64:N67)+N63</f>
        <v>-16.251275000000007</v>
      </c>
      <c r="O68" s="96"/>
    </row>
    <row r="69" spans="1:28" x14ac:dyDescent="0.2">
      <c r="A69" s="9"/>
      <c r="B69" s="5" t="s">
        <v>224</v>
      </c>
      <c r="C69" s="5"/>
      <c r="D69" s="5"/>
      <c r="E69" s="162">
        <v>0.25</v>
      </c>
      <c r="F69" s="156">
        <v>-0.75</v>
      </c>
      <c r="G69" s="96"/>
      <c r="H69" s="156">
        <v>-0.8</v>
      </c>
      <c r="I69" s="96"/>
      <c r="J69" s="96">
        <f>H69*(1+$E69)</f>
        <v>-1</v>
      </c>
      <c r="K69" s="96"/>
      <c r="L69" s="96">
        <f>J69*(1+$E69)</f>
        <v>-1.25</v>
      </c>
      <c r="M69" s="96"/>
      <c r="N69" s="97">
        <f>L69*(1+$E69)</f>
        <v>-1.5625</v>
      </c>
      <c r="O69" s="96"/>
    </row>
    <row r="70" spans="1:28" x14ac:dyDescent="0.2">
      <c r="A70" s="9"/>
      <c r="B70" s="5" t="s">
        <v>112</v>
      </c>
      <c r="C70" s="5"/>
      <c r="D70" s="5"/>
      <c r="E70" s="162">
        <v>0.2</v>
      </c>
      <c r="F70" s="156">
        <v>0</v>
      </c>
      <c r="G70" s="103"/>
      <c r="H70" s="194">
        <v>-0.25</v>
      </c>
      <c r="I70" s="103"/>
      <c r="J70" s="195">
        <f>H70*(1+$E70)</f>
        <v>-0.3</v>
      </c>
      <c r="K70" s="196"/>
      <c r="L70" s="195">
        <f>J70*(1+$E70)</f>
        <v>-0.36</v>
      </c>
      <c r="M70" s="196"/>
      <c r="N70" s="226">
        <f>L70*(1+$E70)</f>
        <v>-0.432</v>
      </c>
      <c r="O70" s="196"/>
    </row>
    <row r="71" spans="1:28" ht="5.25" customHeight="1" x14ac:dyDescent="0.2">
      <c r="A71" s="9"/>
      <c r="B71" s="5"/>
      <c r="C71" s="5"/>
      <c r="D71" s="5"/>
      <c r="E71" s="162"/>
      <c r="F71" s="156"/>
      <c r="G71" s="103"/>
      <c r="H71" s="194"/>
      <c r="I71" s="103"/>
      <c r="J71" s="195"/>
      <c r="K71" s="196"/>
      <c r="L71" s="195"/>
      <c r="M71" s="196"/>
      <c r="N71" s="226"/>
      <c r="O71" s="196"/>
    </row>
    <row r="72" spans="1:28" s="180" customFormat="1" ht="12" x14ac:dyDescent="0.2">
      <c r="A72" s="176"/>
      <c r="B72" s="170"/>
      <c r="C72" s="170" t="s">
        <v>119</v>
      </c>
      <c r="D72" s="177"/>
      <c r="E72" s="178"/>
      <c r="F72" s="179">
        <v>12</v>
      </c>
      <c r="G72" s="179"/>
      <c r="H72" s="179">
        <v>15</v>
      </c>
      <c r="I72" s="179"/>
      <c r="J72" s="179">
        <v>15</v>
      </c>
      <c r="K72" s="179"/>
      <c r="L72" s="179">
        <v>15</v>
      </c>
      <c r="M72" s="179"/>
      <c r="N72" s="224">
        <v>15</v>
      </c>
      <c r="O72" s="179"/>
    </row>
    <row r="73" spans="1:28" s="180" customFormat="1" ht="14.25" x14ac:dyDescent="0.35">
      <c r="A73" s="176"/>
      <c r="B73" s="170"/>
      <c r="C73" s="170" t="s">
        <v>117</v>
      </c>
      <c r="D73" s="177"/>
      <c r="E73" s="181">
        <v>0.1</v>
      </c>
      <c r="F73" s="182">
        <v>0.2</v>
      </c>
      <c r="G73" s="183"/>
      <c r="H73" s="184">
        <f>F73*(1+$E73)</f>
        <v>0.22000000000000003</v>
      </c>
      <c r="I73" s="183"/>
      <c r="J73" s="184">
        <f>H73*(1+$E73)</f>
        <v>0.24200000000000005</v>
      </c>
      <c r="K73" s="183"/>
      <c r="L73" s="184">
        <f>J73*(1+$E73)</f>
        <v>0.26620000000000005</v>
      </c>
      <c r="M73" s="183"/>
      <c r="N73" s="225">
        <f>L73*(1+$E73)</f>
        <v>0.29282000000000008</v>
      </c>
      <c r="O73" s="183"/>
    </row>
    <row r="74" spans="1:28" ht="15.75" x14ac:dyDescent="0.25">
      <c r="A74" s="9"/>
      <c r="B74" s="5" t="s">
        <v>120</v>
      </c>
      <c r="C74" s="5"/>
      <c r="D74" s="5"/>
      <c r="E74" s="162"/>
      <c r="F74" s="96">
        <f>-F72*F73</f>
        <v>-2.4000000000000004</v>
      </c>
      <c r="G74" s="96"/>
      <c r="H74" s="96">
        <f>-H72*H73</f>
        <v>-3.3000000000000003</v>
      </c>
      <c r="I74" s="96"/>
      <c r="J74" s="96">
        <f>-J72*J73</f>
        <v>-3.6300000000000008</v>
      </c>
      <c r="K74" s="96"/>
      <c r="L74" s="96">
        <f>-L72*L73</f>
        <v>-3.9930000000000008</v>
      </c>
      <c r="M74" s="96"/>
      <c r="N74" s="97">
        <f>-N72*N73</f>
        <v>-4.3923000000000014</v>
      </c>
      <c r="O74" s="96"/>
      <c r="AB74" s="90"/>
    </row>
    <row r="75" spans="1:28" s="180" customFormat="1" ht="12" x14ac:dyDescent="0.2">
      <c r="A75" s="176"/>
      <c r="B75" s="170"/>
      <c r="C75" s="170" t="s">
        <v>222</v>
      </c>
      <c r="D75" s="170"/>
      <c r="E75" s="181"/>
      <c r="F75" s="179">
        <v>9</v>
      </c>
      <c r="G75" s="179"/>
      <c r="H75" s="179">
        <v>12</v>
      </c>
      <c r="I75" s="179"/>
      <c r="J75" s="179">
        <v>15</v>
      </c>
      <c r="K75" s="179"/>
      <c r="L75" s="179">
        <v>17</v>
      </c>
      <c r="M75" s="179"/>
      <c r="N75" s="224">
        <v>20</v>
      </c>
      <c r="O75" s="186"/>
      <c r="AB75" s="187"/>
    </row>
    <row r="76" spans="1:28" ht="15.75" x14ac:dyDescent="0.25">
      <c r="A76" s="9"/>
      <c r="B76" s="5" t="s">
        <v>225</v>
      </c>
      <c r="C76" s="5"/>
      <c r="D76" s="5"/>
      <c r="E76" s="181">
        <v>0.15</v>
      </c>
      <c r="F76" s="156">
        <v>-1</v>
      </c>
      <c r="G76" s="96"/>
      <c r="H76" s="156">
        <v>-1.25</v>
      </c>
      <c r="I76" s="96"/>
      <c r="J76" s="96">
        <f>H76*(1+$E76)</f>
        <v>-1.4375</v>
      </c>
      <c r="K76" s="96"/>
      <c r="L76" s="96">
        <f>J76*(1+$E76)</f>
        <v>-1.653125</v>
      </c>
      <c r="M76" s="96"/>
      <c r="N76" s="97">
        <f>L76*(1+$E76)</f>
        <v>-1.9010937499999998</v>
      </c>
      <c r="O76" s="96"/>
      <c r="AB76" s="90"/>
    </row>
    <row r="77" spans="1:28" ht="5.25" customHeight="1" x14ac:dyDescent="0.2">
      <c r="A77" s="9"/>
      <c r="B77" s="5"/>
      <c r="C77" s="5"/>
      <c r="D77" s="5"/>
      <c r="E77" s="162"/>
      <c r="F77" s="156"/>
      <c r="G77" s="103"/>
      <c r="H77" s="194"/>
      <c r="I77" s="103"/>
      <c r="J77" s="195"/>
      <c r="K77" s="196"/>
      <c r="L77" s="195"/>
      <c r="M77" s="196"/>
      <c r="N77" s="226"/>
      <c r="O77" s="196"/>
    </row>
    <row r="78" spans="1:28" x14ac:dyDescent="0.2">
      <c r="A78" s="9"/>
      <c r="B78" s="5"/>
      <c r="C78" s="170" t="s">
        <v>221</v>
      </c>
      <c r="D78" s="5"/>
      <c r="E78" s="162"/>
      <c r="F78" s="179">
        <v>4</v>
      </c>
      <c r="G78" s="179"/>
      <c r="H78" s="179">
        <v>4</v>
      </c>
      <c r="I78" s="179"/>
      <c r="J78" s="179">
        <v>4</v>
      </c>
      <c r="K78" s="179"/>
      <c r="L78" s="179">
        <v>4</v>
      </c>
      <c r="M78" s="179"/>
      <c r="N78" s="224">
        <v>4</v>
      </c>
      <c r="O78" s="196"/>
    </row>
    <row r="79" spans="1:28" s="180" customFormat="1" ht="12" x14ac:dyDescent="0.2">
      <c r="A79" s="176"/>
      <c r="B79" s="170"/>
      <c r="C79" s="170" t="s">
        <v>190</v>
      </c>
      <c r="D79" s="170"/>
      <c r="E79" s="181">
        <v>0.1</v>
      </c>
      <c r="F79" s="185">
        <f>-(0.25+0.4+0.3+0.25)</f>
        <v>-1.2</v>
      </c>
      <c r="G79" s="186"/>
      <c r="H79" s="186">
        <f>F79*(1+$E79)</f>
        <v>-1.32</v>
      </c>
      <c r="I79" s="186"/>
      <c r="J79" s="186">
        <f>H79*(1+$E79)</f>
        <v>-1.4520000000000002</v>
      </c>
      <c r="K79" s="186"/>
      <c r="L79" s="186">
        <f>J79*(1+$E79)</f>
        <v>-1.5972000000000004</v>
      </c>
      <c r="M79" s="186"/>
      <c r="N79" s="227">
        <f>L79*(1+$E79)</f>
        <v>-1.7569200000000005</v>
      </c>
      <c r="O79" s="186"/>
      <c r="AB79" s="187"/>
    </row>
    <row r="80" spans="1:28" s="180" customFormat="1" ht="12" x14ac:dyDescent="0.2">
      <c r="A80" s="176"/>
      <c r="B80" s="170"/>
      <c r="C80" s="170" t="s">
        <v>121</v>
      </c>
      <c r="D80" s="170"/>
      <c r="E80" s="181">
        <v>0.1</v>
      </c>
      <c r="F80" s="185">
        <v>-0.5</v>
      </c>
      <c r="G80" s="186"/>
      <c r="H80" s="185">
        <v>-0.5</v>
      </c>
      <c r="I80" s="186"/>
      <c r="J80" s="186">
        <f>H80*(1+$E80)</f>
        <v>-0.55000000000000004</v>
      </c>
      <c r="K80" s="186"/>
      <c r="L80" s="186">
        <f>J80*(1+$E80)</f>
        <v>-0.60500000000000009</v>
      </c>
      <c r="M80" s="186"/>
      <c r="N80" s="227">
        <f>L80*(1+$E80)</f>
        <v>-0.6655000000000002</v>
      </c>
      <c r="O80" s="186"/>
      <c r="AB80" s="187"/>
    </row>
    <row r="81" spans="1:49" s="180" customFormat="1" ht="12" x14ac:dyDescent="0.2">
      <c r="A81" s="176"/>
      <c r="B81" s="170"/>
      <c r="C81" s="170" t="s">
        <v>223</v>
      </c>
      <c r="D81" s="170"/>
      <c r="E81" s="181"/>
      <c r="F81" s="179">
        <v>2</v>
      </c>
      <c r="G81" s="179"/>
      <c r="H81" s="179">
        <v>2</v>
      </c>
      <c r="I81" s="179"/>
      <c r="J81" s="179">
        <v>3</v>
      </c>
      <c r="K81" s="179"/>
      <c r="L81" s="179">
        <v>3</v>
      </c>
      <c r="M81" s="179"/>
      <c r="N81" s="224">
        <v>3</v>
      </c>
      <c r="O81" s="186"/>
      <c r="AB81" s="187"/>
    </row>
    <row r="82" spans="1:49" s="180" customFormat="1" ht="14.25" x14ac:dyDescent="0.35">
      <c r="A82" s="176"/>
      <c r="B82" s="170"/>
      <c r="C82" s="170" t="s">
        <v>218</v>
      </c>
      <c r="D82" s="170"/>
      <c r="E82" s="181">
        <v>0.1</v>
      </c>
      <c r="F82" s="199">
        <v>-0.5</v>
      </c>
      <c r="G82" s="237"/>
      <c r="H82" s="237">
        <f>F82*(1+$E82)</f>
        <v>-0.55000000000000004</v>
      </c>
      <c r="I82" s="237"/>
      <c r="J82" s="237">
        <f>H82*(1+$E82)</f>
        <v>-0.60500000000000009</v>
      </c>
      <c r="K82" s="237"/>
      <c r="L82" s="237">
        <f>J82*(1+$E82)</f>
        <v>-0.6655000000000002</v>
      </c>
      <c r="M82" s="237"/>
      <c r="N82" s="238">
        <f>L82*(1+$E82)</f>
        <v>-0.73205000000000031</v>
      </c>
      <c r="O82" s="237"/>
      <c r="AB82" s="187"/>
    </row>
    <row r="83" spans="1:49" ht="15" x14ac:dyDescent="0.35">
      <c r="A83" s="9"/>
      <c r="B83" s="5" t="s">
        <v>226</v>
      </c>
      <c r="C83" s="5"/>
      <c r="D83" s="5"/>
      <c r="E83" s="165"/>
      <c r="F83" s="105">
        <f>F79+SUM(F80:F80)+F82</f>
        <v>-2.2000000000000002</v>
      </c>
      <c r="G83" s="106"/>
      <c r="H83" s="105">
        <f>H79+SUM(H80:H80)+H82</f>
        <v>-2.37</v>
      </c>
      <c r="I83" s="106"/>
      <c r="J83" s="105">
        <f>J79+SUM(J80:J80)+J82</f>
        <v>-2.6070000000000002</v>
      </c>
      <c r="K83" s="106"/>
      <c r="L83" s="105">
        <f>L79+SUM(L80:L80)+L82</f>
        <v>-2.8677000000000006</v>
      </c>
      <c r="M83" s="106"/>
      <c r="N83" s="223">
        <f>N79+SUM(N80:N80)+N82</f>
        <v>-3.1544700000000008</v>
      </c>
      <c r="O83" s="106"/>
    </row>
    <row r="84" spans="1:49" s="1" customFormat="1" x14ac:dyDescent="0.2">
      <c r="A84" s="7"/>
      <c r="B84" s="10" t="s">
        <v>123</v>
      </c>
      <c r="C84" s="10"/>
      <c r="D84" s="10"/>
      <c r="E84" s="167"/>
      <c r="F84" s="157">
        <f>F68+F69+F70+F74+F76+F83</f>
        <v>-10.850000000000001</v>
      </c>
      <c r="G84" s="158"/>
      <c r="H84" s="157">
        <f>H68+H69+H70+H74+H76+H83</f>
        <v>-16.357500000000002</v>
      </c>
      <c r="I84" s="158"/>
      <c r="J84" s="157">
        <f>J68+J69+J70+J74+J76+J83</f>
        <v>-19.5595</v>
      </c>
      <c r="K84" s="158"/>
      <c r="L84" s="157">
        <f>L68+L69+L70+L74+L76+L83</f>
        <v>-23.306950000000001</v>
      </c>
      <c r="M84" s="158"/>
      <c r="N84" s="228">
        <f>N68+N69+N70+N74+N76+N83</f>
        <v>-27.693638750000009</v>
      </c>
      <c r="O84" s="158"/>
    </row>
    <row r="85" spans="1:49" ht="13.5" thickBot="1" x14ac:dyDescent="0.25">
      <c r="A85" s="12"/>
      <c r="B85" s="13"/>
      <c r="C85" s="13"/>
      <c r="D85" s="13"/>
      <c r="E85" s="229"/>
      <c r="F85" s="230"/>
      <c r="G85" s="231"/>
      <c r="H85" s="231"/>
      <c r="I85" s="231"/>
      <c r="J85" s="231"/>
      <c r="K85" s="231"/>
      <c r="L85" s="231"/>
      <c r="M85" s="231"/>
      <c r="N85" s="232"/>
    </row>
    <row r="86" spans="1:49" x14ac:dyDescent="0.2">
      <c r="B86" s="5"/>
      <c r="C86" s="5"/>
      <c r="AW86" s="2"/>
    </row>
    <row r="87" spans="1:49" x14ac:dyDescent="0.2">
      <c r="B87" s="5"/>
      <c r="C87" s="5"/>
      <c r="AW87" s="2"/>
    </row>
    <row r="88" spans="1:49" x14ac:dyDescent="0.2">
      <c r="B88" s="5"/>
      <c r="C88" s="5"/>
      <c r="AW88" s="2"/>
    </row>
    <row r="89" spans="1:49" ht="13.5" thickBot="1" x14ac:dyDescent="0.25">
      <c r="B89" s="5"/>
      <c r="C89" s="5"/>
      <c r="AW89" s="2"/>
    </row>
    <row r="90" spans="1:49" ht="15.75" x14ac:dyDescent="0.25">
      <c r="A90" s="262" t="s">
        <v>168</v>
      </c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4" t="s">
        <v>175</v>
      </c>
      <c r="AA90" s="88"/>
    </row>
    <row r="91" spans="1:49" x14ac:dyDescent="0.2">
      <c r="A91" s="73"/>
      <c r="B91" s="74"/>
      <c r="C91" s="74"/>
      <c r="D91" s="74"/>
      <c r="E91" s="142" t="s">
        <v>173</v>
      </c>
      <c r="F91" s="101">
        <v>2001</v>
      </c>
      <c r="G91" s="101"/>
      <c r="H91" s="101">
        <f>F91+1</f>
        <v>2002</v>
      </c>
      <c r="I91" s="101"/>
      <c r="J91" s="101">
        <f>H91+1</f>
        <v>2003</v>
      </c>
      <c r="K91" s="101"/>
      <c r="L91" s="101">
        <f>J91+1</f>
        <v>2004</v>
      </c>
      <c r="M91" s="101"/>
      <c r="N91" s="101">
        <f>L91+1</f>
        <v>2005</v>
      </c>
      <c r="O91" s="101"/>
      <c r="P91" s="265" t="s">
        <v>178</v>
      </c>
    </row>
    <row r="92" spans="1:49" x14ac:dyDescent="0.2">
      <c r="A92" s="73"/>
      <c r="B92" s="276" t="s">
        <v>170</v>
      </c>
      <c r="C92" s="74"/>
      <c r="D92" s="74"/>
      <c r="E92" s="243" t="s">
        <v>174</v>
      </c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8"/>
    </row>
    <row r="93" spans="1:49" ht="15" x14ac:dyDescent="0.2">
      <c r="A93" s="9"/>
      <c r="B93" s="5" t="s">
        <v>169</v>
      </c>
      <c r="C93" s="5"/>
      <c r="D93" s="5"/>
      <c r="E93" s="244">
        <v>3</v>
      </c>
      <c r="F93" s="240">
        <f>0.2+0.3</f>
        <v>0.5</v>
      </c>
      <c r="G93" s="5"/>
      <c r="H93" s="5"/>
      <c r="I93" s="5"/>
      <c r="J93" s="5"/>
      <c r="K93" s="5"/>
      <c r="L93" s="5"/>
      <c r="M93" s="5"/>
      <c r="N93" s="5"/>
      <c r="O93" s="5"/>
      <c r="P93" s="85">
        <f>SUM(F93:N93)</f>
        <v>0.5</v>
      </c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</row>
    <row r="94" spans="1:49" x14ac:dyDescent="0.2">
      <c r="A94" s="73"/>
      <c r="B94" s="74" t="s">
        <v>199</v>
      </c>
      <c r="C94" s="74"/>
      <c r="D94" s="74"/>
      <c r="E94" s="244">
        <v>3</v>
      </c>
      <c r="F94" s="239">
        <v>0.5</v>
      </c>
      <c r="G94" s="101"/>
      <c r="H94" s="141"/>
      <c r="I94" s="142"/>
      <c r="J94" s="141"/>
      <c r="K94" s="142"/>
      <c r="L94" s="141"/>
      <c r="M94" s="142"/>
      <c r="N94" s="141"/>
      <c r="O94" s="142"/>
      <c r="P94" s="85">
        <f>SUM(F94:N94)</f>
        <v>0.5</v>
      </c>
    </row>
    <row r="95" spans="1:49" ht="17.25" x14ac:dyDescent="0.35">
      <c r="A95" s="9"/>
      <c r="B95" s="5" t="s">
        <v>171</v>
      </c>
      <c r="C95" s="5"/>
      <c r="D95" s="5"/>
      <c r="E95" s="244">
        <v>7</v>
      </c>
      <c r="F95" s="241">
        <v>0.4</v>
      </c>
      <c r="G95" s="242"/>
      <c r="H95" s="241">
        <v>0.1</v>
      </c>
      <c r="I95" s="242"/>
      <c r="J95" s="241">
        <v>0</v>
      </c>
      <c r="K95" s="242"/>
      <c r="L95" s="241">
        <v>0</v>
      </c>
      <c r="M95" s="242"/>
      <c r="N95" s="241">
        <v>0</v>
      </c>
      <c r="O95" s="242"/>
      <c r="P95" s="266">
        <f>SUM(F95:N95)</f>
        <v>0.5</v>
      </c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</row>
    <row r="96" spans="1:49" s="1" customFormat="1" ht="15.75" x14ac:dyDescent="0.25">
      <c r="A96" s="7"/>
      <c r="B96" s="10" t="s">
        <v>172</v>
      </c>
      <c r="C96" s="10"/>
      <c r="D96" s="10"/>
      <c r="E96" s="10"/>
      <c r="F96" s="248">
        <f>SUM(F93:F95)</f>
        <v>1.4</v>
      </c>
      <c r="G96" s="10"/>
      <c r="H96" s="248">
        <f>SUM(H93:H95)</f>
        <v>0.1</v>
      </c>
      <c r="I96" s="10"/>
      <c r="J96" s="248">
        <f>SUM(J93:J95)</f>
        <v>0</v>
      </c>
      <c r="K96" s="10"/>
      <c r="L96" s="248">
        <f>SUM(L93:L95)</f>
        <v>0</v>
      </c>
      <c r="M96" s="10"/>
      <c r="N96" s="248">
        <f>SUM(N93:N95)</f>
        <v>0</v>
      </c>
      <c r="O96" s="10"/>
      <c r="P96" s="267">
        <f>SUM(F96:N96)</f>
        <v>1.5</v>
      </c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</row>
    <row r="97" spans="1:28" ht="15.75" thickBot="1" x14ac:dyDescent="0.25">
      <c r="A97" s="9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26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</row>
    <row r="98" spans="1:28" ht="15" x14ac:dyDescent="0.2">
      <c r="A98" s="273"/>
      <c r="B98" s="274" t="s">
        <v>184</v>
      </c>
      <c r="C98" s="263"/>
      <c r="D98" s="263"/>
      <c r="E98" s="263"/>
      <c r="F98" s="263"/>
      <c r="G98" s="263"/>
      <c r="H98" s="263"/>
      <c r="I98" s="263"/>
      <c r="J98" s="263"/>
      <c r="K98" s="263"/>
      <c r="L98" s="263"/>
      <c r="M98" s="263"/>
      <c r="N98" s="263"/>
      <c r="O98" s="263"/>
      <c r="P98" s="275"/>
      <c r="R98" s="88"/>
      <c r="S98" s="88"/>
      <c r="T98" s="88"/>
      <c r="U98" s="88"/>
      <c r="V98" s="88"/>
      <c r="W98" s="88"/>
      <c r="X98" s="88"/>
      <c r="Y98" s="88"/>
      <c r="Z98" s="88"/>
      <c r="AA98" s="88"/>
      <c r="AB98" s="88"/>
    </row>
    <row r="99" spans="1:28" ht="15" x14ac:dyDescent="0.2">
      <c r="A99" s="9"/>
      <c r="B99" s="159" t="s">
        <v>166</v>
      </c>
      <c r="C99" s="5"/>
      <c r="D99" s="5"/>
      <c r="E99" s="5"/>
      <c r="F99" s="103">
        <f>-(1/'Model Assumptions'!$E94)*('Model Assumptions'!$F94)</f>
        <v>-0.16666666666666666</v>
      </c>
      <c r="G99" s="5"/>
      <c r="H99" s="103">
        <f>-(1/'Model Assumptions'!$E94)*('Model Assumptions'!$F94)</f>
        <v>-0.16666666666666666</v>
      </c>
      <c r="I99" s="5"/>
      <c r="J99" s="103">
        <f>-(1/'Model Assumptions'!$E94)*('Model Assumptions'!$F94)</f>
        <v>-0.16666666666666666</v>
      </c>
      <c r="K99" s="5"/>
      <c r="L99" s="103"/>
      <c r="M99" s="5"/>
      <c r="N99" s="103"/>
      <c r="O99" s="5"/>
      <c r="P99" s="85">
        <f t="shared" ref="P99:P113" si="1">SUM(F99:N99)</f>
        <v>-0.5</v>
      </c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</row>
    <row r="100" spans="1:28" ht="15" x14ac:dyDescent="0.2">
      <c r="A100" s="9"/>
      <c r="B100" s="5"/>
      <c r="C100" s="5"/>
      <c r="D100" s="5"/>
      <c r="E100" s="5"/>
      <c r="F100" s="103"/>
      <c r="G100" s="5"/>
      <c r="H100" s="103">
        <f>-(1/'Model Assumptions'!$E94)*('Model Assumptions'!$H94)</f>
        <v>0</v>
      </c>
      <c r="I100" s="5"/>
      <c r="J100" s="103">
        <f>-(1/'Model Assumptions'!$E94)*('Model Assumptions'!$H94)</f>
        <v>0</v>
      </c>
      <c r="K100" s="5"/>
      <c r="L100" s="103">
        <f>-(1/'Model Assumptions'!$E94)*('Model Assumptions'!$H94)</f>
        <v>0</v>
      </c>
      <c r="M100" s="5"/>
      <c r="N100" s="103"/>
      <c r="O100" s="5"/>
      <c r="P100" s="85">
        <f t="shared" si="1"/>
        <v>0</v>
      </c>
      <c r="R100" s="88"/>
      <c r="S100" s="88"/>
      <c r="T100" s="88"/>
      <c r="U100" s="88"/>
      <c r="V100" s="88"/>
      <c r="W100" s="88"/>
      <c r="X100" s="88"/>
      <c r="Y100" s="88"/>
      <c r="Z100" s="88"/>
      <c r="AA100" s="88"/>
      <c r="AB100" s="88"/>
    </row>
    <row r="101" spans="1:28" ht="15" x14ac:dyDescent="0.2">
      <c r="A101" s="9"/>
      <c r="B101" s="5"/>
      <c r="C101" s="5"/>
      <c r="D101" s="5"/>
      <c r="E101" s="5"/>
      <c r="F101" s="103"/>
      <c r="G101" s="5"/>
      <c r="H101" s="103"/>
      <c r="I101" s="5"/>
      <c r="J101" s="103">
        <f>-(1/'Model Assumptions'!$E94)*('Model Assumptions'!$J94)</f>
        <v>0</v>
      </c>
      <c r="K101" s="5"/>
      <c r="L101" s="103">
        <f>-(1/'Model Assumptions'!$E94)*('Model Assumptions'!$J94)</f>
        <v>0</v>
      </c>
      <c r="M101" s="5"/>
      <c r="N101" s="103">
        <f>-(1/'Model Assumptions'!$E94)*('Model Assumptions'!$J94)</f>
        <v>0</v>
      </c>
      <c r="O101" s="5"/>
      <c r="P101" s="85">
        <f t="shared" si="1"/>
        <v>0</v>
      </c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</row>
    <row r="102" spans="1:28" ht="15" x14ac:dyDescent="0.2">
      <c r="A102" s="9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103">
        <f>-(1/'Model Assumptions'!$E94)*('Model Assumptions'!$L94)</f>
        <v>0</v>
      </c>
      <c r="M102" s="5"/>
      <c r="N102" s="103">
        <f>-(1/'Model Assumptions'!$E94)*('Model Assumptions'!$L94)</f>
        <v>0</v>
      </c>
      <c r="O102" s="5"/>
      <c r="P102" s="85">
        <f t="shared" si="1"/>
        <v>0</v>
      </c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</row>
    <row r="103" spans="1:28" ht="15" x14ac:dyDescent="0.2">
      <c r="A103" s="9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103">
        <f>-(1/'Model Assumptions'!$E94)*('Model Assumptions'!N94)</f>
        <v>0</v>
      </c>
      <c r="O103" s="5"/>
      <c r="P103" s="85">
        <f t="shared" si="1"/>
        <v>0</v>
      </c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</row>
    <row r="104" spans="1:28" ht="15" x14ac:dyDescent="0.2">
      <c r="A104" s="9"/>
      <c r="B104" s="159" t="s">
        <v>176</v>
      </c>
      <c r="C104" s="5"/>
      <c r="D104" s="5"/>
      <c r="E104" s="5"/>
      <c r="F104" s="103">
        <f>-(1/'Model Assumptions'!$E93)*('Model Assumptions'!$F93)</f>
        <v>-0.16666666666666666</v>
      </c>
      <c r="G104" s="5"/>
      <c r="H104" s="103">
        <f>-(1/'Model Assumptions'!$E93)*('Model Assumptions'!$F93)</f>
        <v>-0.16666666666666666</v>
      </c>
      <c r="I104" s="5"/>
      <c r="J104" s="103">
        <f>-(1/'Model Assumptions'!$E93)*('Model Assumptions'!$F93)</f>
        <v>-0.16666666666666666</v>
      </c>
      <c r="K104" s="5"/>
      <c r="L104" s="5"/>
      <c r="M104" s="5"/>
      <c r="N104" s="5"/>
      <c r="O104" s="5"/>
      <c r="P104" s="85">
        <f t="shared" si="1"/>
        <v>-0.5</v>
      </c>
      <c r="R104" s="88"/>
      <c r="S104" s="88"/>
      <c r="T104" s="88"/>
      <c r="U104" s="88"/>
      <c r="V104" s="88"/>
      <c r="W104" s="88"/>
      <c r="X104" s="88"/>
      <c r="Y104" s="88"/>
      <c r="Z104" s="88"/>
      <c r="AA104" s="88"/>
      <c r="AB104" s="88"/>
    </row>
    <row r="105" spans="1:28" ht="15" x14ac:dyDescent="0.2">
      <c r="A105" s="9"/>
      <c r="B105" s="5"/>
      <c r="C105" s="5"/>
      <c r="D105" s="5"/>
      <c r="E105" s="5"/>
      <c r="F105" s="5"/>
      <c r="G105" s="5"/>
      <c r="H105" s="103">
        <f>-(1/'Model Assumptions'!$E93)*('Model Assumptions'!$H93)</f>
        <v>0</v>
      </c>
      <c r="I105" s="5"/>
      <c r="J105" s="103">
        <f>-(1/'Model Assumptions'!$E93)*('Model Assumptions'!$H93)</f>
        <v>0</v>
      </c>
      <c r="K105" s="5"/>
      <c r="L105" s="103">
        <f>-(1/'Model Assumptions'!$E93)*('Model Assumptions'!$H93)</f>
        <v>0</v>
      </c>
      <c r="M105" s="5"/>
      <c r="N105" s="5"/>
      <c r="O105" s="5"/>
      <c r="P105" s="85">
        <f t="shared" si="1"/>
        <v>0</v>
      </c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</row>
    <row r="106" spans="1:28" ht="15" x14ac:dyDescent="0.2">
      <c r="A106" s="9"/>
      <c r="B106" s="5"/>
      <c r="C106" s="5"/>
      <c r="D106" s="5"/>
      <c r="E106" s="5"/>
      <c r="F106" s="5"/>
      <c r="G106" s="5"/>
      <c r="H106" s="5"/>
      <c r="I106" s="5"/>
      <c r="J106" s="103">
        <f>-(1/'Model Assumptions'!$E93)*('Model Assumptions'!$J93)</f>
        <v>0</v>
      </c>
      <c r="K106" s="5"/>
      <c r="L106" s="103">
        <f>-(1/'Model Assumptions'!$E93)*('Model Assumptions'!$J93)</f>
        <v>0</v>
      </c>
      <c r="M106" s="5"/>
      <c r="N106" s="103">
        <f>-(1/'Model Assumptions'!$E93)*('Model Assumptions'!$J93)</f>
        <v>0</v>
      </c>
      <c r="O106" s="5"/>
      <c r="P106" s="85">
        <f t="shared" si="1"/>
        <v>0</v>
      </c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</row>
    <row r="107" spans="1:28" ht="15" x14ac:dyDescent="0.2">
      <c r="A107" s="9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103">
        <f>-(1/'Model Assumptions'!$E93)*('Model Assumptions'!$L93)</f>
        <v>0</v>
      </c>
      <c r="M107" s="5"/>
      <c r="N107" s="103">
        <f>-(1/'Model Assumptions'!$E93)*('Model Assumptions'!$L93)</f>
        <v>0</v>
      </c>
      <c r="O107" s="5"/>
      <c r="P107" s="85">
        <f t="shared" si="1"/>
        <v>0</v>
      </c>
      <c r="R107" s="88"/>
      <c r="S107" s="88"/>
      <c r="T107" s="88"/>
      <c r="U107" s="88"/>
      <c r="V107" s="88"/>
      <c r="W107" s="88"/>
      <c r="X107" s="88"/>
      <c r="Y107" s="88"/>
      <c r="Z107" s="88"/>
      <c r="AA107" s="88"/>
      <c r="AB107" s="88"/>
    </row>
    <row r="108" spans="1:28" ht="15" x14ac:dyDescent="0.2">
      <c r="A108" s="9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103">
        <f>-(1/'Model Assumptions'!$E93)*('Model Assumptions'!N93)</f>
        <v>0</v>
      </c>
      <c r="O108" s="5"/>
      <c r="P108" s="85">
        <f t="shared" si="1"/>
        <v>0</v>
      </c>
      <c r="R108" s="88"/>
      <c r="S108" s="88"/>
      <c r="T108" s="88"/>
      <c r="U108" s="88"/>
      <c r="V108" s="88"/>
      <c r="W108" s="88"/>
      <c r="X108" s="88"/>
      <c r="Y108" s="88"/>
      <c r="Z108" s="88"/>
      <c r="AA108" s="88"/>
      <c r="AB108" s="88"/>
    </row>
    <row r="109" spans="1:28" ht="15" x14ac:dyDescent="0.2">
      <c r="A109" s="9"/>
      <c r="B109" s="159" t="s">
        <v>179</v>
      </c>
      <c r="C109" s="5"/>
      <c r="D109" s="5"/>
      <c r="E109" s="5"/>
      <c r="F109" s="103">
        <f>-(1/'Model Assumptions'!$E95)*('Model Assumptions'!$F95)</f>
        <v>-5.7142857142857141E-2</v>
      </c>
      <c r="G109" s="5"/>
      <c r="H109" s="103">
        <f>-(1/'Model Assumptions'!$E95)*('Model Assumptions'!$F95)</f>
        <v>-5.7142857142857141E-2</v>
      </c>
      <c r="I109" s="5"/>
      <c r="J109" s="103">
        <f>-(1/'Model Assumptions'!$E95)*('Model Assumptions'!$F95)</f>
        <v>-5.7142857142857141E-2</v>
      </c>
      <c r="K109" s="5"/>
      <c r="L109" s="103">
        <f>-(1/'Model Assumptions'!$E95)*('Model Assumptions'!$F95)</f>
        <v>-5.7142857142857141E-2</v>
      </c>
      <c r="M109" s="5"/>
      <c r="N109" s="103">
        <f>-(1/'Model Assumptions'!$E95)*('Model Assumptions'!$F95)</f>
        <v>-5.7142857142857141E-2</v>
      </c>
      <c r="O109" s="5"/>
      <c r="P109" s="85">
        <f t="shared" si="1"/>
        <v>-0.2857142857142857</v>
      </c>
      <c r="R109" s="88"/>
      <c r="S109" s="88"/>
      <c r="T109" s="88"/>
      <c r="U109" s="88"/>
      <c r="V109" s="88"/>
      <c r="W109" s="88"/>
      <c r="X109" s="88"/>
      <c r="Y109" s="88"/>
      <c r="Z109" s="88"/>
      <c r="AA109" s="88"/>
      <c r="AB109" s="88"/>
    </row>
    <row r="110" spans="1:28" x14ac:dyDescent="0.2">
      <c r="A110" s="9"/>
      <c r="B110" s="5"/>
      <c r="C110" s="5"/>
      <c r="D110" s="5"/>
      <c r="E110" s="5"/>
      <c r="F110" s="5"/>
      <c r="G110" s="5"/>
      <c r="H110" s="196">
        <f>-(1/'Model Assumptions'!$E95)*('Model Assumptions'!$H95)</f>
        <v>-1.4285714285714285E-2</v>
      </c>
      <c r="I110" s="196"/>
      <c r="J110" s="196">
        <f>-(1/'Model Assumptions'!$E95)*('Model Assumptions'!$H95)</f>
        <v>-1.4285714285714285E-2</v>
      </c>
      <c r="K110" s="196"/>
      <c r="L110" s="196">
        <f>-(1/'Model Assumptions'!$E95)*('Model Assumptions'!$H95)</f>
        <v>-1.4285714285714285E-2</v>
      </c>
      <c r="M110" s="246"/>
      <c r="N110" s="196">
        <f>-(1/'Model Assumptions'!$E95)*('Model Assumptions'!$H95)</f>
        <v>-1.4285714285714285E-2</v>
      </c>
      <c r="O110" s="246"/>
      <c r="P110" s="85">
        <f t="shared" si="1"/>
        <v>-5.7142857142857141E-2</v>
      </c>
    </row>
    <row r="111" spans="1:28" x14ac:dyDescent="0.2">
      <c r="A111" s="9"/>
      <c r="B111" s="5"/>
      <c r="C111" s="5"/>
      <c r="D111" s="5"/>
      <c r="E111" s="5"/>
      <c r="F111" s="5"/>
      <c r="G111" s="5"/>
      <c r="H111" s="5"/>
      <c r="I111" s="5"/>
      <c r="J111" s="103">
        <f>-(1/'Model Assumptions'!$E95)*('Model Assumptions'!$J95)</f>
        <v>0</v>
      </c>
      <c r="K111" s="5"/>
      <c r="L111" s="103">
        <f>-(1/'Model Assumptions'!$E95)*('Model Assumptions'!$J95)</f>
        <v>0</v>
      </c>
      <c r="M111" s="5"/>
      <c r="N111" s="103">
        <f>-(1/'Model Assumptions'!$E95)*('Model Assumptions'!$J95)</f>
        <v>0</v>
      </c>
      <c r="O111" s="5"/>
      <c r="P111" s="85">
        <f t="shared" si="1"/>
        <v>0</v>
      </c>
    </row>
    <row r="112" spans="1:28" x14ac:dyDescent="0.2">
      <c r="A112" s="9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103">
        <f>-(1/'Model Assumptions'!$E95)*('Model Assumptions'!$L95)</f>
        <v>0</v>
      </c>
      <c r="M112" s="5"/>
      <c r="N112" s="103">
        <f>-(1/'Model Assumptions'!$E95)*('Model Assumptions'!$L95)</f>
        <v>0</v>
      </c>
      <c r="O112" s="5"/>
      <c r="P112" s="85">
        <f t="shared" si="1"/>
        <v>0</v>
      </c>
    </row>
    <row r="113" spans="1:16" ht="15" x14ac:dyDescent="0.35">
      <c r="A113" s="9"/>
      <c r="B113" s="5"/>
      <c r="C113" s="5"/>
      <c r="D113" s="5"/>
      <c r="E113" s="5"/>
      <c r="F113" s="106">
        <v>0</v>
      </c>
      <c r="G113" s="106"/>
      <c r="H113" s="106">
        <v>0</v>
      </c>
      <c r="I113" s="106"/>
      <c r="J113" s="106">
        <v>0</v>
      </c>
      <c r="K113" s="106"/>
      <c r="L113" s="106">
        <v>0</v>
      </c>
      <c r="M113" s="106"/>
      <c r="N113" s="106">
        <f>-(1/'Model Assumptions'!$E95)*('Model Assumptions'!N95)</f>
        <v>0</v>
      </c>
      <c r="O113" s="242"/>
      <c r="P113" s="266">
        <f t="shared" si="1"/>
        <v>0</v>
      </c>
    </row>
    <row r="114" spans="1:16" s="3" customFormat="1" x14ac:dyDescent="0.2">
      <c r="A114" s="20"/>
      <c r="B114" s="21" t="s">
        <v>177</v>
      </c>
      <c r="C114" s="21"/>
      <c r="D114" s="21"/>
      <c r="E114" s="21"/>
      <c r="F114" s="252">
        <f>SUM(F99:F108)</f>
        <v>-0.33333333333333331</v>
      </c>
      <c r="G114" s="21"/>
      <c r="H114" s="252">
        <f>SUM(H99:H108)</f>
        <v>-0.33333333333333331</v>
      </c>
      <c r="I114" s="21"/>
      <c r="J114" s="252">
        <f>SUM(J99:J108)</f>
        <v>-0.33333333333333331</v>
      </c>
      <c r="K114" s="21"/>
      <c r="L114" s="252">
        <f>SUM(L99:L108)</f>
        <v>0</v>
      </c>
      <c r="M114" s="252"/>
      <c r="N114" s="252">
        <f>SUM(N99:N108)</f>
        <v>0</v>
      </c>
      <c r="O114" s="21"/>
      <c r="P114" s="269">
        <f>SUM(P99:P108)</f>
        <v>-1</v>
      </c>
    </row>
    <row r="115" spans="1:16" s="3" customFormat="1" ht="15" x14ac:dyDescent="0.35">
      <c r="A115" s="20"/>
      <c r="B115" s="21" t="s">
        <v>180</v>
      </c>
      <c r="C115" s="21"/>
      <c r="D115" s="21"/>
      <c r="E115" s="21"/>
      <c r="F115" s="251">
        <f>SUM(F109:F113)</f>
        <v>-5.7142857142857141E-2</v>
      </c>
      <c r="G115" s="242"/>
      <c r="H115" s="251">
        <f>SUM(H109:H113)</f>
        <v>-7.1428571428571425E-2</v>
      </c>
      <c r="I115" s="242"/>
      <c r="J115" s="251">
        <f>SUM(J109:J113)</f>
        <v>-7.1428571428571425E-2</v>
      </c>
      <c r="K115" s="242"/>
      <c r="L115" s="251">
        <f>SUM(L109:L113)</f>
        <v>-7.1428571428571425E-2</v>
      </c>
      <c r="M115" s="251"/>
      <c r="N115" s="251">
        <f>SUM(N109:N113)</f>
        <v>-7.1428571428571425E-2</v>
      </c>
      <c r="O115" s="242"/>
      <c r="P115" s="270">
        <f>SUM(P109:P113)</f>
        <v>-0.34285714285714286</v>
      </c>
    </row>
    <row r="116" spans="1:16" s="1" customFormat="1" x14ac:dyDescent="0.2">
      <c r="A116" s="7"/>
      <c r="B116" s="10" t="s">
        <v>181</v>
      </c>
      <c r="C116" s="10"/>
      <c r="D116" s="10"/>
      <c r="E116" s="10"/>
      <c r="F116" s="247">
        <f>F114+F115</f>
        <v>-0.39047619047619048</v>
      </c>
      <c r="G116" s="10"/>
      <c r="H116" s="247">
        <f>H114+H115</f>
        <v>-0.40476190476190477</v>
      </c>
      <c r="I116" s="10"/>
      <c r="J116" s="247">
        <f>J114+J115</f>
        <v>-0.40476190476190477</v>
      </c>
      <c r="K116" s="10"/>
      <c r="L116" s="247">
        <f>L114+L115</f>
        <v>-7.1428571428571425E-2</v>
      </c>
      <c r="M116" s="10"/>
      <c r="N116" s="247">
        <f>N114+N115</f>
        <v>-7.1428571428571425E-2</v>
      </c>
      <c r="O116" s="10"/>
      <c r="P116" s="271">
        <f>P114+P115</f>
        <v>-1.342857142857143</v>
      </c>
    </row>
    <row r="117" spans="1:16" ht="15.75" thickBot="1" x14ac:dyDescent="0.25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272"/>
    </row>
    <row r="118" spans="1:16" ht="15" x14ac:dyDescent="0.2">
      <c r="P118" s="88"/>
    </row>
    <row r="119" spans="1:16" ht="15" x14ac:dyDescent="0.2">
      <c r="P119" s="88"/>
    </row>
    <row r="120" spans="1:16" ht="15" x14ac:dyDescent="0.2">
      <c r="P120" s="88"/>
    </row>
    <row r="121" spans="1:16" ht="15" x14ac:dyDescent="0.2">
      <c r="P121" s="88"/>
    </row>
    <row r="122" spans="1:16" ht="15" x14ac:dyDescent="0.2">
      <c r="P122" s="88"/>
    </row>
    <row r="123" spans="1:16" ht="15" x14ac:dyDescent="0.2">
      <c r="P123" s="88"/>
    </row>
    <row r="124" spans="1:16" ht="15" x14ac:dyDescent="0.2">
      <c r="P124" s="88"/>
    </row>
    <row r="125" spans="1:16" ht="15" x14ac:dyDescent="0.2">
      <c r="P125" s="88"/>
    </row>
    <row r="126" spans="1:16" ht="15" x14ac:dyDescent="0.2">
      <c r="P126" s="88"/>
    </row>
    <row r="127" spans="1:16" ht="15" x14ac:dyDescent="0.2">
      <c r="P127" s="88"/>
    </row>
    <row r="128" spans="1:16" ht="15" x14ac:dyDescent="0.2">
      <c r="P128" s="88"/>
    </row>
    <row r="129" spans="16:16" ht="15" x14ac:dyDescent="0.2">
      <c r="P129" s="88"/>
    </row>
    <row r="130" spans="16:16" ht="15" x14ac:dyDescent="0.2">
      <c r="P130" s="88"/>
    </row>
    <row r="131" spans="16:16" ht="15" x14ac:dyDescent="0.2">
      <c r="P131" s="88"/>
    </row>
    <row r="132" spans="16:16" ht="15" x14ac:dyDescent="0.2">
      <c r="P132" s="88"/>
    </row>
    <row r="133" spans="16:16" ht="15" x14ac:dyDescent="0.2">
      <c r="P133" s="88"/>
    </row>
    <row r="134" spans="16:16" ht="15" x14ac:dyDescent="0.2">
      <c r="P134" s="88"/>
    </row>
    <row r="135" spans="16:16" ht="15" x14ac:dyDescent="0.2">
      <c r="P135" s="88"/>
    </row>
    <row r="136" spans="16:16" ht="15" x14ac:dyDescent="0.2">
      <c r="P136" s="88"/>
    </row>
    <row r="137" spans="16:16" ht="15" x14ac:dyDescent="0.2">
      <c r="P137" s="88"/>
    </row>
    <row r="138" spans="16:16" ht="15" x14ac:dyDescent="0.2">
      <c r="P138" s="88"/>
    </row>
    <row r="139" spans="16:16" ht="15" x14ac:dyDescent="0.2">
      <c r="P139" s="88"/>
    </row>
    <row r="140" spans="16:16" ht="15" x14ac:dyDescent="0.2">
      <c r="P140" s="88"/>
    </row>
    <row r="141" spans="16:16" ht="15" x14ac:dyDescent="0.2">
      <c r="P141" s="88"/>
    </row>
    <row r="142" spans="16:16" ht="15" x14ac:dyDescent="0.2">
      <c r="P142" s="88"/>
    </row>
    <row r="143" spans="16:16" ht="15" x14ac:dyDescent="0.2">
      <c r="P143" s="88"/>
    </row>
    <row r="144" spans="16:16" ht="15" x14ac:dyDescent="0.2">
      <c r="P144" s="88"/>
    </row>
    <row r="145" spans="16:16" ht="15" x14ac:dyDescent="0.2">
      <c r="P145" s="88"/>
    </row>
    <row r="146" spans="16:16" ht="15" x14ac:dyDescent="0.2">
      <c r="P146" s="88"/>
    </row>
    <row r="147" spans="16:16" ht="15" x14ac:dyDescent="0.2">
      <c r="P147" s="88"/>
    </row>
    <row r="148" spans="16:16" ht="15" x14ac:dyDescent="0.2">
      <c r="P148" s="88"/>
    </row>
    <row r="149" spans="16:16" ht="15" x14ac:dyDescent="0.2">
      <c r="P149" s="88"/>
    </row>
    <row r="150" spans="16:16" ht="15" x14ac:dyDescent="0.2">
      <c r="P150" s="88"/>
    </row>
    <row r="151" spans="16:16" ht="15" x14ac:dyDescent="0.2">
      <c r="P151" s="88"/>
    </row>
    <row r="152" spans="16:16" ht="15" x14ac:dyDescent="0.2">
      <c r="P152" s="88"/>
    </row>
    <row r="153" spans="16:16" ht="15" x14ac:dyDescent="0.2">
      <c r="P153" s="88"/>
    </row>
    <row r="154" spans="16:16" ht="15" x14ac:dyDescent="0.2">
      <c r="P154" s="88"/>
    </row>
    <row r="155" spans="16:16" ht="15" x14ac:dyDescent="0.2">
      <c r="P155" s="88"/>
    </row>
    <row r="156" spans="16:16" ht="15" x14ac:dyDescent="0.2">
      <c r="P156" s="88"/>
    </row>
    <row r="157" spans="16:16" ht="15" x14ac:dyDescent="0.2">
      <c r="P157" s="88"/>
    </row>
    <row r="158" spans="16:16" ht="15" x14ac:dyDescent="0.2">
      <c r="P158" s="88"/>
    </row>
    <row r="159" spans="16:16" ht="15" x14ac:dyDescent="0.2">
      <c r="P159" s="88"/>
    </row>
    <row r="160" spans="16:16" ht="15" x14ac:dyDescent="0.2">
      <c r="P160" s="88"/>
    </row>
    <row r="161" spans="16:16" ht="15" x14ac:dyDescent="0.2">
      <c r="P161" s="88"/>
    </row>
    <row r="162" spans="16:16" ht="15" x14ac:dyDescent="0.2">
      <c r="P162" s="88"/>
    </row>
    <row r="163" spans="16:16" ht="15" x14ac:dyDescent="0.2">
      <c r="P163" s="88"/>
    </row>
    <row r="164" spans="16:16" ht="15" x14ac:dyDescent="0.2">
      <c r="P164" s="88"/>
    </row>
    <row r="165" spans="16:16" ht="15" x14ac:dyDescent="0.2">
      <c r="P165" s="88"/>
    </row>
    <row r="166" spans="16:16" ht="15" x14ac:dyDescent="0.2">
      <c r="P166" s="88"/>
    </row>
    <row r="167" spans="16:16" ht="15" x14ac:dyDescent="0.2">
      <c r="P167" s="88"/>
    </row>
    <row r="168" spans="16:16" ht="15" x14ac:dyDescent="0.2">
      <c r="P168" s="88"/>
    </row>
    <row r="169" spans="16:16" ht="15" x14ac:dyDescent="0.2">
      <c r="P169" s="88"/>
    </row>
    <row r="170" spans="16:16" ht="15" x14ac:dyDescent="0.2">
      <c r="P170" s="88"/>
    </row>
    <row r="171" spans="16:16" ht="15" x14ac:dyDescent="0.2">
      <c r="P171" s="88"/>
    </row>
    <row r="172" spans="16:16" ht="15" x14ac:dyDescent="0.2">
      <c r="P172" s="88"/>
    </row>
    <row r="173" spans="16:16" ht="15" x14ac:dyDescent="0.2">
      <c r="P173" s="88"/>
    </row>
    <row r="174" spans="16:16" ht="15" x14ac:dyDescent="0.2">
      <c r="P174" s="88"/>
    </row>
    <row r="175" spans="16:16" ht="15" x14ac:dyDescent="0.2">
      <c r="P175" s="88"/>
    </row>
    <row r="176" spans="16:16" ht="15" x14ac:dyDescent="0.2">
      <c r="P176" s="88"/>
    </row>
    <row r="177" spans="16:16" ht="15" x14ac:dyDescent="0.2">
      <c r="P177" s="88"/>
    </row>
    <row r="178" spans="16:16" ht="15" x14ac:dyDescent="0.2">
      <c r="P178" s="88"/>
    </row>
    <row r="179" spans="16:16" ht="15" x14ac:dyDescent="0.2">
      <c r="P179" s="88"/>
    </row>
    <row r="180" spans="16:16" ht="15" x14ac:dyDescent="0.2">
      <c r="P180" s="88"/>
    </row>
    <row r="181" spans="16:16" ht="15" x14ac:dyDescent="0.2">
      <c r="P181" s="88"/>
    </row>
    <row r="182" spans="16:16" ht="15" x14ac:dyDescent="0.2">
      <c r="P182" s="88"/>
    </row>
    <row r="183" spans="16:16" ht="15" x14ac:dyDescent="0.2">
      <c r="P183" s="88"/>
    </row>
    <row r="184" spans="16:16" ht="15" x14ac:dyDescent="0.2">
      <c r="P184" s="88"/>
    </row>
    <row r="185" spans="16:16" ht="15" x14ac:dyDescent="0.2">
      <c r="P185" s="88"/>
    </row>
    <row r="186" spans="16:16" ht="15" x14ac:dyDescent="0.2">
      <c r="P186" s="88"/>
    </row>
    <row r="187" spans="16:16" ht="15" x14ac:dyDescent="0.2">
      <c r="P187" s="88"/>
    </row>
    <row r="188" spans="16:16" ht="15" x14ac:dyDescent="0.2">
      <c r="P188" s="88"/>
    </row>
    <row r="189" spans="16:16" ht="15" x14ac:dyDescent="0.2">
      <c r="P189" s="88"/>
    </row>
    <row r="190" spans="16:16" ht="15" x14ac:dyDescent="0.2">
      <c r="P190" s="88"/>
    </row>
    <row r="191" spans="16:16" ht="15" x14ac:dyDescent="0.2">
      <c r="P191" s="88"/>
    </row>
    <row r="192" spans="16:16" ht="15" x14ac:dyDescent="0.2">
      <c r="P192" s="88"/>
    </row>
    <row r="193" spans="16:16" ht="15" x14ac:dyDescent="0.2">
      <c r="P193" s="88"/>
    </row>
    <row r="194" spans="16:16" ht="15" x14ac:dyDescent="0.2">
      <c r="P194" s="88"/>
    </row>
    <row r="195" spans="16:16" ht="15" x14ac:dyDescent="0.2">
      <c r="P195" s="88"/>
    </row>
    <row r="196" spans="16:16" ht="15" x14ac:dyDescent="0.2">
      <c r="P196" s="88"/>
    </row>
    <row r="197" spans="16:16" ht="15" x14ac:dyDescent="0.2">
      <c r="P197" s="88"/>
    </row>
    <row r="198" spans="16:16" ht="15" x14ac:dyDescent="0.2">
      <c r="P198" s="88"/>
    </row>
    <row r="199" spans="16:16" ht="15" x14ac:dyDescent="0.2">
      <c r="P199" s="88"/>
    </row>
    <row r="200" spans="16:16" ht="15" x14ac:dyDescent="0.2">
      <c r="P200" s="88"/>
    </row>
    <row r="201" spans="16:16" ht="15" x14ac:dyDescent="0.2">
      <c r="P201" s="88"/>
    </row>
    <row r="202" spans="16:16" ht="15" x14ac:dyDescent="0.2">
      <c r="P202" s="88"/>
    </row>
    <row r="203" spans="16:16" ht="15" x14ac:dyDescent="0.2">
      <c r="P203" s="88"/>
    </row>
    <row r="204" spans="16:16" ht="15" x14ac:dyDescent="0.2">
      <c r="P204" s="88"/>
    </row>
    <row r="205" spans="16:16" ht="15" x14ac:dyDescent="0.2">
      <c r="P205" s="88"/>
    </row>
    <row r="206" spans="16:16" ht="15" x14ac:dyDescent="0.2">
      <c r="P206" s="88"/>
    </row>
    <row r="207" spans="16:16" ht="15" x14ac:dyDescent="0.2">
      <c r="P207" s="88"/>
    </row>
    <row r="208" spans="16:16" ht="15" x14ac:dyDescent="0.2">
      <c r="P208" s="88"/>
    </row>
    <row r="209" spans="16:16" ht="15" x14ac:dyDescent="0.2">
      <c r="P209" s="88"/>
    </row>
    <row r="210" spans="16:16" ht="15" x14ac:dyDescent="0.2">
      <c r="P210" s="88"/>
    </row>
    <row r="211" spans="16:16" ht="15" x14ac:dyDescent="0.2">
      <c r="P211" s="88"/>
    </row>
    <row r="212" spans="16:16" ht="15" x14ac:dyDescent="0.2">
      <c r="P212" s="88"/>
    </row>
    <row r="213" spans="16:16" ht="15" x14ac:dyDescent="0.2">
      <c r="P213" s="88"/>
    </row>
    <row r="214" spans="16:16" ht="15" x14ac:dyDescent="0.2">
      <c r="P214" s="88"/>
    </row>
    <row r="215" spans="16:16" ht="15" x14ac:dyDescent="0.2">
      <c r="P215" s="88"/>
    </row>
    <row r="216" spans="16:16" ht="15" x14ac:dyDescent="0.2">
      <c r="P216" s="88"/>
    </row>
    <row r="217" spans="16:16" ht="15" x14ac:dyDescent="0.2">
      <c r="P217" s="88"/>
    </row>
    <row r="218" spans="16:16" ht="15" x14ac:dyDescent="0.2">
      <c r="P218" s="88"/>
    </row>
    <row r="219" spans="16:16" ht="15" x14ac:dyDescent="0.2">
      <c r="P219" s="88"/>
    </row>
    <row r="220" spans="16:16" ht="15" x14ac:dyDescent="0.2">
      <c r="P220" s="88"/>
    </row>
    <row r="221" spans="16:16" ht="15" x14ac:dyDescent="0.2">
      <c r="P221" s="88"/>
    </row>
    <row r="222" spans="16:16" ht="15" x14ac:dyDescent="0.2">
      <c r="P222" s="88"/>
    </row>
    <row r="223" spans="16:16" ht="15" x14ac:dyDescent="0.2">
      <c r="P223" s="88"/>
    </row>
    <row r="224" spans="16:16" ht="15" x14ac:dyDescent="0.2">
      <c r="P224" s="88"/>
    </row>
    <row r="225" spans="16:16" ht="15" x14ac:dyDescent="0.2">
      <c r="P225" s="88"/>
    </row>
    <row r="226" spans="16:16" ht="15" x14ac:dyDescent="0.2">
      <c r="P226" s="88"/>
    </row>
    <row r="227" spans="16:16" ht="15" x14ac:dyDescent="0.2">
      <c r="P227" s="88"/>
    </row>
    <row r="228" spans="16:16" ht="15" x14ac:dyDescent="0.2">
      <c r="P228" s="88"/>
    </row>
    <row r="229" spans="16:16" ht="15" x14ac:dyDescent="0.2">
      <c r="P229" s="88"/>
    </row>
    <row r="230" spans="16:16" ht="15" x14ac:dyDescent="0.2">
      <c r="P230" s="88"/>
    </row>
    <row r="231" spans="16:16" ht="15" x14ac:dyDescent="0.2">
      <c r="P231" s="88"/>
    </row>
    <row r="232" spans="16:16" ht="15" x14ac:dyDescent="0.2">
      <c r="P232" s="88"/>
    </row>
    <row r="233" spans="16:16" ht="15" x14ac:dyDescent="0.2">
      <c r="P233" s="88"/>
    </row>
    <row r="234" spans="16:16" ht="15" x14ac:dyDescent="0.2">
      <c r="P234" s="88"/>
    </row>
    <row r="235" spans="16:16" ht="15" x14ac:dyDescent="0.2">
      <c r="P235" s="88"/>
    </row>
    <row r="236" spans="16:16" ht="15" x14ac:dyDescent="0.2">
      <c r="P236" s="88"/>
    </row>
    <row r="237" spans="16:16" ht="15" x14ac:dyDescent="0.2">
      <c r="P237" s="88"/>
    </row>
    <row r="238" spans="16:16" ht="15" x14ac:dyDescent="0.2">
      <c r="P238" s="88"/>
    </row>
    <row r="239" spans="16:16" ht="15" x14ac:dyDescent="0.2">
      <c r="P239" s="88"/>
    </row>
    <row r="240" spans="16:16" ht="15" x14ac:dyDescent="0.2">
      <c r="P240" s="88"/>
    </row>
    <row r="241" spans="16:16" ht="15" x14ac:dyDescent="0.2">
      <c r="P241" s="88"/>
    </row>
    <row r="242" spans="16:16" ht="15" x14ac:dyDescent="0.2">
      <c r="P242" s="88"/>
    </row>
    <row r="243" spans="16:16" ht="15" x14ac:dyDescent="0.2">
      <c r="P243" s="88"/>
    </row>
    <row r="244" spans="16:16" ht="15" x14ac:dyDescent="0.2">
      <c r="P244" s="88"/>
    </row>
    <row r="245" spans="16:16" ht="15" x14ac:dyDescent="0.2">
      <c r="P245" s="88"/>
    </row>
    <row r="246" spans="16:16" ht="15" x14ac:dyDescent="0.2">
      <c r="P246" s="88"/>
    </row>
    <row r="247" spans="16:16" ht="15" x14ac:dyDescent="0.2">
      <c r="P247" s="88"/>
    </row>
    <row r="248" spans="16:16" ht="15" x14ac:dyDescent="0.2">
      <c r="P248" s="88"/>
    </row>
    <row r="249" spans="16:16" ht="15" x14ac:dyDescent="0.2">
      <c r="P249" s="88"/>
    </row>
    <row r="250" spans="16:16" ht="15" x14ac:dyDescent="0.2">
      <c r="P250" s="88"/>
    </row>
    <row r="251" spans="16:16" ht="15" x14ac:dyDescent="0.2">
      <c r="P251" s="88"/>
    </row>
    <row r="252" spans="16:16" ht="15" x14ac:dyDescent="0.2">
      <c r="P252" s="88"/>
    </row>
    <row r="253" spans="16:16" ht="15" x14ac:dyDescent="0.2">
      <c r="P253" s="88"/>
    </row>
    <row r="254" spans="16:16" ht="15" x14ac:dyDescent="0.2">
      <c r="P254" s="88"/>
    </row>
    <row r="255" spans="16:16" ht="15" x14ac:dyDescent="0.2">
      <c r="P255" s="88"/>
    </row>
    <row r="256" spans="16:16" ht="15" x14ac:dyDescent="0.2">
      <c r="P256" s="88"/>
    </row>
    <row r="257" spans="16:16" ht="15" x14ac:dyDescent="0.2">
      <c r="P257" s="88"/>
    </row>
    <row r="258" spans="16:16" ht="15" x14ac:dyDescent="0.2">
      <c r="P258" s="88"/>
    </row>
    <row r="259" spans="16:16" ht="15" x14ac:dyDescent="0.2">
      <c r="P259" s="88"/>
    </row>
    <row r="260" spans="16:16" ht="15" x14ac:dyDescent="0.2">
      <c r="P260" s="88"/>
    </row>
    <row r="261" spans="16:16" ht="15" x14ac:dyDescent="0.2">
      <c r="P261" s="88"/>
    </row>
    <row r="262" spans="16:16" ht="15" x14ac:dyDescent="0.2">
      <c r="P262" s="88"/>
    </row>
    <row r="263" spans="16:16" ht="15" x14ac:dyDescent="0.2">
      <c r="P263" s="88"/>
    </row>
    <row r="264" spans="16:16" ht="15" x14ac:dyDescent="0.2">
      <c r="P264" s="88"/>
    </row>
    <row r="265" spans="16:16" ht="15" x14ac:dyDescent="0.2">
      <c r="P265" s="88"/>
    </row>
  </sheetData>
  <pageMargins left="0.35" right="0.3" top="0.32" bottom="0.32" header="0.5" footer="0.5"/>
  <pageSetup scale="68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O85"/>
  <sheetViews>
    <sheetView zoomScale="70" workbookViewId="0"/>
  </sheetViews>
  <sheetFormatPr defaultRowHeight="12.75" x14ac:dyDescent="0.2"/>
  <cols>
    <col min="1" max="1" width="6.85546875" customWidth="1"/>
    <col min="2" max="2" width="3.85546875" customWidth="1"/>
    <col min="4" max="4" width="28" customWidth="1"/>
    <col min="5" max="5" width="16.7109375" customWidth="1"/>
    <col min="6" max="6" width="14.85546875" bestFit="1" customWidth="1"/>
    <col min="7" max="9" width="13.85546875" bestFit="1" customWidth="1"/>
    <col min="10" max="10" width="34.140625" customWidth="1"/>
  </cols>
  <sheetData>
    <row r="1" spans="1:12" ht="15.75" x14ac:dyDescent="0.25">
      <c r="A1" s="80" t="str">
        <f>'Model Assumptions'!A1</f>
        <v>DealBench</v>
      </c>
      <c r="B1" s="44"/>
      <c r="C1" s="44"/>
      <c r="D1" s="44"/>
      <c r="E1" s="44"/>
      <c r="F1" s="44"/>
      <c r="G1" s="44"/>
      <c r="H1" s="44"/>
      <c r="I1" s="44"/>
    </row>
    <row r="2" spans="1:12" ht="15.75" x14ac:dyDescent="0.25">
      <c r="A2" s="76" t="s">
        <v>165</v>
      </c>
      <c r="B2" s="52"/>
      <c r="C2" s="52"/>
      <c r="D2" s="52"/>
      <c r="E2" s="52"/>
      <c r="F2" s="52"/>
      <c r="G2" s="52"/>
      <c r="H2" s="52"/>
      <c r="I2" s="52"/>
    </row>
    <row r="3" spans="1:12" ht="15.75" thickBot="1" x14ac:dyDescent="0.25">
      <c r="A3" s="81" t="s">
        <v>86</v>
      </c>
      <c r="B3" s="46"/>
      <c r="C3" s="46"/>
      <c r="D3" s="46"/>
      <c r="E3" s="46"/>
      <c r="F3" s="46"/>
      <c r="G3" s="46"/>
      <c r="H3" s="46"/>
      <c r="I3" s="46"/>
    </row>
    <row r="4" spans="1:12" ht="15.75" thickBot="1" x14ac:dyDescent="0.25">
      <c r="A4" s="82"/>
      <c r="B4" s="74"/>
      <c r="C4" s="74"/>
      <c r="D4" s="74"/>
      <c r="E4" s="74"/>
      <c r="F4" s="74"/>
      <c r="G4" s="74"/>
      <c r="H4" s="74"/>
      <c r="I4" s="74"/>
    </row>
    <row r="5" spans="1:12" ht="18.75" thickBot="1" x14ac:dyDescent="0.3">
      <c r="A5" s="335" t="s">
        <v>228</v>
      </c>
      <c r="B5" s="263"/>
      <c r="C5" s="263"/>
      <c r="D5" s="263"/>
      <c r="E5" s="336"/>
      <c r="F5" s="263"/>
      <c r="G5" s="263"/>
      <c r="H5" s="263"/>
      <c r="I5" s="334"/>
    </row>
    <row r="6" spans="1:12" x14ac:dyDescent="0.2">
      <c r="A6" s="54" t="s">
        <v>81</v>
      </c>
      <c r="B6" s="55"/>
      <c r="C6" s="55"/>
      <c r="D6" s="55"/>
      <c r="E6" s="55">
        <v>2001</v>
      </c>
      <c r="F6" s="55">
        <f>E6+1</f>
        <v>2002</v>
      </c>
      <c r="G6" s="55">
        <f>F6+1</f>
        <v>2003</v>
      </c>
      <c r="H6" s="55">
        <f>G6+1</f>
        <v>2004</v>
      </c>
      <c r="I6" s="56">
        <f>H6+1</f>
        <v>2005</v>
      </c>
    </row>
    <row r="7" spans="1:12" ht="6.75" customHeight="1" x14ac:dyDescent="0.2">
      <c r="A7" s="9"/>
      <c r="B7" s="5"/>
      <c r="C7" s="5"/>
      <c r="D7" s="5"/>
      <c r="E7" s="33"/>
      <c r="F7" s="33"/>
      <c r="G7" s="33"/>
      <c r="H7" s="33"/>
      <c r="I7" s="53"/>
    </row>
    <row r="8" spans="1:12" x14ac:dyDescent="0.2">
      <c r="A8" s="68" t="s">
        <v>122</v>
      </c>
      <c r="B8" s="62"/>
      <c r="C8" s="62"/>
      <c r="D8" s="62"/>
      <c r="E8" s="62"/>
      <c r="F8" s="62"/>
      <c r="G8" s="62"/>
      <c r="H8" s="62"/>
      <c r="I8" s="69"/>
    </row>
    <row r="9" spans="1:12" x14ac:dyDescent="0.2">
      <c r="A9" s="9"/>
      <c r="B9" s="5" t="s">
        <v>113</v>
      </c>
      <c r="C9" s="5"/>
      <c r="D9" s="5"/>
      <c r="E9" s="91">
        <f>'Model Assumptions'!F13+'Model Assumptions'!F21</f>
        <v>3.5802</v>
      </c>
      <c r="F9" s="91">
        <f>'Model Assumptions'!H13+'Model Assumptions'!H21</f>
        <v>6.3129780000000011</v>
      </c>
      <c r="G9" s="91">
        <f>'Model Assumptions'!J13+'Model Assumptions'!J21</f>
        <v>7.3321274520000008</v>
      </c>
      <c r="H9" s="91">
        <f>'Model Assumptions'!L13+'Model Assumptions'!L21</f>
        <v>11.143221426900002</v>
      </c>
      <c r="I9" s="337">
        <f>'Model Assumptions'!N13+'Model Assumptions'!N21</f>
        <v>13.280821639025628</v>
      </c>
    </row>
    <row r="10" spans="1:12" x14ac:dyDescent="0.2">
      <c r="A10" s="9"/>
      <c r="B10" s="5" t="s">
        <v>114</v>
      </c>
      <c r="C10" s="5"/>
      <c r="D10" s="5"/>
      <c r="E10" s="103">
        <f>'Model Assumptions'!F37</f>
        <v>4.0937999999999999</v>
      </c>
      <c r="F10" s="103">
        <f>'Model Assumptions'!H37</f>
        <v>6.3795050000000009</v>
      </c>
      <c r="G10" s="103">
        <f>'Model Assumptions'!J37</f>
        <v>8.3507720450000029</v>
      </c>
      <c r="H10" s="103">
        <f>'Model Assumptions'!L37</f>
        <v>10.038820965525002</v>
      </c>
      <c r="I10" s="104">
        <f>'Model Assumptions'!N37</f>
        <v>11.472141514491629</v>
      </c>
    </row>
    <row r="11" spans="1:12" ht="15" x14ac:dyDescent="0.35">
      <c r="A11" s="9"/>
      <c r="B11" s="5" t="s">
        <v>115</v>
      </c>
      <c r="C11" s="5"/>
      <c r="D11" s="5"/>
      <c r="E11" s="106">
        <f>'Model Assumptions'!F45+'Model Assumptions'!F53</f>
        <v>1.6655000000000002</v>
      </c>
      <c r="F11" s="106">
        <f>'Model Assumptions'!H45+'Model Assumptions'!H53</f>
        <v>4.1010374999999994</v>
      </c>
      <c r="G11" s="106">
        <f>'Model Assumptions'!J45+'Model Assumptions'!J53</f>
        <v>8.2969298999999985</v>
      </c>
      <c r="H11" s="106">
        <f>'Model Assumptions'!L45+'Model Assumptions'!L53</f>
        <v>12.874193470249995</v>
      </c>
      <c r="I11" s="338">
        <f>'Model Assumptions'!N45+'Model Assumptions'!N53</f>
        <v>18.891298027804993</v>
      </c>
    </row>
    <row r="12" spans="1:12" x14ac:dyDescent="0.2">
      <c r="A12" s="9"/>
      <c r="B12" s="5"/>
      <c r="C12" s="5" t="s">
        <v>189</v>
      </c>
      <c r="D12" s="5"/>
      <c r="E12" s="91">
        <f>SUM(E9:E11)</f>
        <v>9.3394999999999992</v>
      </c>
      <c r="F12" s="107">
        <f>SUM(F9:F11)</f>
        <v>16.793520500000003</v>
      </c>
      <c r="G12" s="107">
        <f>SUM(G9:G11)</f>
        <v>23.979829397000003</v>
      </c>
      <c r="H12" s="107">
        <f>SUM(H9:H11)</f>
        <v>34.056235862674995</v>
      </c>
      <c r="I12" s="108">
        <f>SUM(I9:I11)</f>
        <v>43.64426118132225</v>
      </c>
    </row>
    <row r="13" spans="1:12" ht="6.75" customHeight="1" x14ac:dyDescent="0.2">
      <c r="A13" s="9"/>
      <c r="B13" s="5"/>
      <c r="C13" s="5"/>
      <c r="D13" s="5"/>
      <c r="E13" s="77"/>
      <c r="F13" s="77"/>
      <c r="G13" s="77"/>
      <c r="H13" s="77"/>
      <c r="I13" s="339"/>
    </row>
    <row r="14" spans="1:12" x14ac:dyDescent="0.2">
      <c r="A14" s="68" t="s">
        <v>19</v>
      </c>
      <c r="B14" s="62"/>
      <c r="C14" s="62"/>
      <c r="D14" s="62"/>
      <c r="E14" s="78"/>
      <c r="F14" s="79"/>
      <c r="G14" s="78"/>
      <c r="H14" s="78"/>
      <c r="I14" s="340"/>
    </row>
    <row r="15" spans="1:12" x14ac:dyDescent="0.2">
      <c r="A15" s="7"/>
      <c r="B15" s="5" t="s">
        <v>167</v>
      </c>
      <c r="C15" s="5"/>
      <c r="D15" s="5"/>
      <c r="E15" s="91">
        <f>'Model Assumptions'!F69</f>
        <v>-0.75</v>
      </c>
      <c r="F15" s="91">
        <f>'Model Assumptions'!H69</f>
        <v>-0.8</v>
      </c>
      <c r="G15" s="91">
        <f>'Model Assumptions'!J69</f>
        <v>-1</v>
      </c>
      <c r="H15" s="91">
        <f>'Model Assumptions'!L69</f>
        <v>-1.25</v>
      </c>
      <c r="I15" s="337">
        <f>'Model Assumptions'!N69</f>
        <v>-1.5625</v>
      </c>
      <c r="L15" s="5"/>
    </row>
    <row r="16" spans="1:12" x14ac:dyDescent="0.2">
      <c r="A16" s="7"/>
      <c r="B16" s="5" t="s">
        <v>112</v>
      </c>
      <c r="C16" s="5"/>
      <c r="D16" s="5"/>
      <c r="E16" s="103">
        <f>'Model Assumptions'!F70</f>
        <v>0</v>
      </c>
      <c r="F16" s="103">
        <f>'Model Assumptions'!H70</f>
        <v>-0.25</v>
      </c>
      <c r="G16" s="103">
        <f>'Model Assumptions'!J70</f>
        <v>-0.3</v>
      </c>
      <c r="H16" s="103">
        <f>'Model Assumptions'!L70</f>
        <v>-0.36</v>
      </c>
      <c r="I16" s="104">
        <f>'Model Assumptions'!N70</f>
        <v>-0.432</v>
      </c>
      <c r="L16" s="5"/>
    </row>
    <row r="17" spans="1:12" ht="15" x14ac:dyDescent="0.35">
      <c r="A17" s="7"/>
      <c r="B17" s="5" t="s">
        <v>201</v>
      </c>
      <c r="C17" s="5"/>
      <c r="D17" s="5"/>
      <c r="E17" s="106">
        <f>'Model Assumptions'!F74</f>
        <v>-2.4000000000000004</v>
      </c>
      <c r="F17" s="106">
        <f>'Model Assumptions'!H74</f>
        <v>-3.3000000000000003</v>
      </c>
      <c r="G17" s="106">
        <f>'Model Assumptions'!J74</f>
        <v>-3.6300000000000008</v>
      </c>
      <c r="H17" s="106">
        <f>'Model Assumptions'!L74</f>
        <v>-3.9930000000000008</v>
      </c>
      <c r="I17" s="338">
        <f>'Model Assumptions'!N74</f>
        <v>-4.3923000000000014</v>
      </c>
      <c r="L17" s="5"/>
    </row>
    <row r="18" spans="1:12" x14ac:dyDescent="0.2">
      <c r="A18" s="9"/>
      <c r="B18" s="5"/>
      <c r="C18" s="5" t="s">
        <v>18</v>
      </c>
      <c r="D18" s="5"/>
      <c r="E18" s="91">
        <f>SUM(E15:E17)</f>
        <v>-3.1500000000000004</v>
      </c>
      <c r="F18" s="107">
        <f>SUM(F15:F17)</f>
        <v>-4.3500000000000005</v>
      </c>
      <c r="G18" s="107">
        <f>SUM(G15:G17)</f>
        <v>-4.9300000000000006</v>
      </c>
      <c r="H18" s="107">
        <f>SUM(H15:H17)</f>
        <v>-5.6030000000000006</v>
      </c>
      <c r="I18" s="108">
        <f>SUM(I15:I17)</f>
        <v>-6.3868000000000009</v>
      </c>
    </row>
    <row r="19" spans="1:12" ht="6.75" customHeight="1" x14ac:dyDescent="0.2">
      <c r="A19" s="9"/>
      <c r="B19" s="5"/>
      <c r="C19" s="5"/>
      <c r="D19" s="5"/>
      <c r="E19" s="77"/>
      <c r="F19" s="77"/>
      <c r="G19" s="77"/>
      <c r="H19" s="77"/>
      <c r="I19" s="339"/>
    </row>
    <row r="20" spans="1:12" x14ac:dyDescent="0.2">
      <c r="A20" s="68" t="s">
        <v>22</v>
      </c>
      <c r="B20" s="62"/>
      <c r="C20" s="62"/>
      <c r="D20" s="62"/>
      <c r="E20" s="127">
        <f>E12+E18</f>
        <v>6.1894999999999989</v>
      </c>
      <c r="F20" s="127">
        <f>F12+F18</f>
        <v>12.443520500000002</v>
      </c>
      <c r="G20" s="127">
        <f>G12+G18</f>
        <v>19.049829397000003</v>
      </c>
      <c r="H20" s="127">
        <f>H12+H18</f>
        <v>28.453235862674994</v>
      </c>
      <c r="I20" s="128">
        <f>I12+I18</f>
        <v>37.257461181322249</v>
      </c>
    </row>
    <row r="21" spans="1:12" x14ac:dyDescent="0.2">
      <c r="A21" s="9"/>
      <c r="B21" s="5" t="s">
        <v>21</v>
      </c>
      <c r="C21" s="5"/>
      <c r="D21" s="5"/>
      <c r="E21" s="91">
        <f>'Model Assumptions'!F68</f>
        <v>-4.5</v>
      </c>
      <c r="F21" s="91">
        <f>'Model Assumptions'!H68</f>
        <v>-8.3874999999999993</v>
      </c>
      <c r="G21" s="91">
        <f>'Model Assumptions'!J68</f>
        <v>-10.585000000000001</v>
      </c>
      <c r="H21" s="91">
        <f>'Model Assumptions'!L68</f>
        <v>-13.183125000000002</v>
      </c>
      <c r="I21" s="337">
        <f>'Model Assumptions'!N68</f>
        <v>-16.251275000000007</v>
      </c>
    </row>
    <row r="22" spans="1:12" ht="15" x14ac:dyDescent="0.35">
      <c r="A22" s="9"/>
      <c r="B22" s="5" t="s">
        <v>20</v>
      </c>
      <c r="C22" s="5"/>
      <c r="D22" s="5"/>
      <c r="E22" s="106">
        <f>'Model Assumptions'!F83</f>
        <v>-2.2000000000000002</v>
      </c>
      <c r="F22" s="106">
        <f>'Model Assumptions'!H83</f>
        <v>-2.37</v>
      </c>
      <c r="G22" s="106">
        <f>'Model Assumptions'!J83</f>
        <v>-2.6070000000000002</v>
      </c>
      <c r="H22" s="106">
        <f>'Model Assumptions'!L83</f>
        <v>-2.8677000000000006</v>
      </c>
      <c r="I22" s="338">
        <f>'Model Assumptions'!N83</f>
        <v>-3.1544700000000008</v>
      </c>
    </row>
    <row r="23" spans="1:12" ht="6.75" customHeight="1" x14ac:dyDescent="0.2">
      <c r="A23" s="9"/>
      <c r="B23" s="5"/>
      <c r="C23" s="5"/>
      <c r="D23" s="5"/>
      <c r="E23" s="77"/>
      <c r="F23" s="77"/>
      <c r="G23" s="77"/>
      <c r="H23" s="77"/>
      <c r="I23" s="339"/>
    </row>
    <row r="24" spans="1:12" x14ac:dyDescent="0.2">
      <c r="A24" s="68" t="s">
        <v>188</v>
      </c>
      <c r="B24" s="62"/>
      <c r="C24" s="62"/>
      <c r="D24" s="62"/>
      <c r="E24" s="127">
        <f>E20+E21+E22</f>
        <v>-0.51050000000000129</v>
      </c>
      <c r="F24" s="127">
        <f>F20+F21+F22</f>
        <v>1.6860205000000024</v>
      </c>
      <c r="G24" s="127">
        <f>G20+G21+G22</f>
        <v>5.8578293970000024</v>
      </c>
      <c r="H24" s="127">
        <f>H20+H21+H22</f>
        <v>12.402410862674991</v>
      </c>
      <c r="I24" s="128">
        <f>I20+I21+I22</f>
        <v>17.851716181322242</v>
      </c>
    </row>
    <row r="25" spans="1:12" x14ac:dyDescent="0.2">
      <c r="A25" s="9"/>
      <c r="B25" s="5" t="s">
        <v>198</v>
      </c>
      <c r="C25" s="5"/>
      <c r="D25" s="5"/>
      <c r="E25" s="91">
        <f>'Model Assumptions'!F115</f>
        <v>-5.7142857142857141E-2</v>
      </c>
      <c r="F25" s="91">
        <f>'Model Assumptions'!H115</f>
        <v>-7.1428571428571425E-2</v>
      </c>
      <c r="G25" s="91">
        <f>'Model Assumptions'!J115</f>
        <v>-7.1428571428571425E-2</v>
      </c>
      <c r="H25" s="91">
        <f>'Model Assumptions'!L115</f>
        <v>-7.1428571428571425E-2</v>
      </c>
      <c r="I25" s="337">
        <f>'Model Assumptions'!N115</f>
        <v>-7.1428571428571425E-2</v>
      </c>
      <c r="L25" s="159"/>
    </row>
    <row r="26" spans="1:12" ht="15" x14ac:dyDescent="0.35">
      <c r="A26" s="7"/>
      <c r="B26" s="5" t="s">
        <v>200</v>
      </c>
      <c r="C26" s="5"/>
      <c r="D26" s="5"/>
      <c r="E26" s="106">
        <f>'Model Assumptions'!F114</f>
        <v>-0.33333333333333331</v>
      </c>
      <c r="F26" s="106">
        <f>'Model Assumptions'!H114</f>
        <v>-0.33333333333333331</v>
      </c>
      <c r="G26" s="106">
        <f>'Model Assumptions'!J114</f>
        <v>-0.33333333333333331</v>
      </c>
      <c r="H26" s="106">
        <f>'Model Assumptions'!L114</f>
        <v>0</v>
      </c>
      <c r="I26" s="338">
        <f>'Model Assumptions'!N114</f>
        <v>0</v>
      </c>
      <c r="L26" s="5"/>
    </row>
    <row r="27" spans="1:12" ht="6.75" customHeight="1" x14ac:dyDescent="0.2">
      <c r="A27" s="9"/>
      <c r="B27" s="5"/>
      <c r="C27" s="5"/>
      <c r="D27" s="5"/>
      <c r="E27" s="77"/>
      <c r="F27" s="83"/>
      <c r="G27" s="83"/>
      <c r="H27" s="83"/>
      <c r="I27" s="341"/>
    </row>
    <row r="28" spans="1:12" x14ac:dyDescent="0.2">
      <c r="A28" s="68" t="s">
        <v>27</v>
      </c>
      <c r="B28" s="62"/>
      <c r="C28" s="62"/>
      <c r="D28" s="62"/>
      <c r="E28" s="127">
        <f>E24+E25+E26</f>
        <v>-0.90097619047619171</v>
      </c>
      <c r="F28" s="127">
        <f>F24+F25+F26</f>
        <v>1.2812585952380977</v>
      </c>
      <c r="G28" s="127">
        <f>G24+G25+G26</f>
        <v>5.4530674922380982</v>
      </c>
      <c r="H28" s="127">
        <f>H24+H25+H26</f>
        <v>12.33098229124642</v>
      </c>
      <c r="I28" s="128">
        <f>I24+I25+I26</f>
        <v>17.780287609893669</v>
      </c>
    </row>
    <row r="29" spans="1:12" s="278" customFormat="1" x14ac:dyDescent="0.2">
      <c r="A29" s="277"/>
      <c r="B29" s="279" t="s">
        <v>134</v>
      </c>
      <c r="C29" s="279"/>
      <c r="D29" s="279"/>
      <c r="E29" s="280">
        <f>E28/E12</f>
        <v>-9.6469424538379117E-2</v>
      </c>
      <c r="F29" s="280">
        <f>F28/F12</f>
        <v>7.6294818304363132E-2</v>
      </c>
      <c r="G29" s="280">
        <f>G28/G12</f>
        <v>0.22740226387600174</v>
      </c>
      <c r="H29" s="280">
        <f>H28/H12</f>
        <v>0.36207707572171671</v>
      </c>
      <c r="I29" s="342">
        <f>I28/I12</f>
        <v>0.40739119253329964</v>
      </c>
      <c r="J29"/>
    </row>
    <row r="30" spans="1:12" x14ac:dyDescent="0.2">
      <c r="A30" s="9"/>
      <c r="B30" s="5" t="s">
        <v>23</v>
      </c>
      <c r="C30" s="5"/>
      <c r="D30" s="5"/>
      <c r="E30" s="91">
        <v>0</v>
      </c>
      <c r="F30" s="107">
        <v>0</v>
      </c>
      <c r="G30" s="107">
        <v>0</v>
      </c>
      <c r="H30" s="107">
        <v>0</v>
      </c>
      <c r="I30" s="108">
        <v>0</v>
      </c>
    </row>
    <row r="31" spans="1:12" ht="6.75" customHeight="1" x14ac:dyDescent="0.2">
      <c r="A31" s="9"/>
      <c r="B31" s="5"/>
      <c r="C31" s="5"/>
      <c r="D31" s="5"/>
      <c r="E31" s="91"/>
      <c r="F31" s="107"/>
      <c r="G31" s="107"/>
      <c r="H31" s="107"/>
      <c r="I31" s="108"/>
    </row>
    <row r="32" spans="1:12" x14ac:dyDescent="0.2">
      <c r="A32" s="68" t="s">
        <v>24</v>
      </c>
      <c r="B32" s="62"/>
      <c r="C32" s="62"/>
      <c r="D32" s="62"/>
      <c r="E32" s="127">
        <f>+E28+E30</f>
        <v>-0.90097619047619171</v>
      </c>
      <c r="F32" s="127">
        <f>+F28+F30</f>
        <v>1.2812585952380977</v>
      </c>
      <c r="G32" s="127">
        <f>+G28+G30</f>
        <v>5.4530674922380982</v>
      </c>
      <c r="H32" s="127">
        <f>+H28+H30</f>
        <v>12.33098229124642</v>
      </c>
      <c r="I32" s="128">
        <f>+I28+I30</f>
        <v>17.780287609893669</v>
      </c>
    </row>
    <row r="33" spans="1:10" ht="6.75" customHeight="1" x14ac:dyDescent="0.2">
      <c r="A33" s="9"/>
      <c r="B33" s="5"/>
      <c r="C33" s="5"/>
      <c r="D33" s="5"/>
      <c r="E33" s="91"/>
      <c r="F33" s="107"/>
      <c r="G33" s="107"/>
      <c r="H33" s="107"/>
      <c r="I33" s="108"/>
    </row>
    <row r="34" spans="1:10" x14ac:dyDescent="0.2">
      <c r="A34" s="9"/>
      <c r="B34" s="5" t="s">
        <v>140</v>
      </c>
      <c r="C34" s="5"/>
      <c r="D34" s="306">
        <v>0.37</v>
      </c>
      <c r="E34" s="130">
        <f>-IF(E32&lt;0,0,E32*$D34)</f>
        <v>0</v>
      </c>
      <c r="F34" s="130">
        <f>-IF(F32&lt;0,0,F32*$D34)</f>
        <v>-0.47406568023809614</v>
      </c>
      <c r="G34" s="130">
        <f>-IF(G32&lt;0,0,G32*$D34)</f>
        <v>-2.0176349721280964</v>
      </c>
      <c r="H34" s="130">
        <f>-IF(H32&lt;0,0,H32*$D34)</f>
        <v>-4.562463447761175</v>
      </c>
      <c r="I34" s="343">
        <f>-IF(I32&lt;0,0,I32*$D34)</f>
        <v>-6.5787064156606574</v>
      </c>
    </row>
    <row r="35" spans="1:10" ht="6.75" customHeight="1" x14ac:dyDescent="0.2">
      <c r="A35" s="9"/>
      <c r="B35" s="5"/>
      <c r="C35" s="5"/>
      <c r="D35" s="5"/>
      <c r="E35" s="91"/>
      <c r="F35" s="107"/>
      <c r="G35" s="107"/>
      <c r="H35" s="107"/>
      <c r="I35" s="108"/>
    </row>
    <row r="36" spans="1:10" ht="13.5" thickBot="1" x14ac:dyDescent="0.25">
      <c r="A36" s="151" t="s">
        <v>25</v>
      </c>
      <c r="B36" s="152"/>
      <c r="C36" s="152"/>
      <c r="D36" s="152"/>
      <c r="E36" s="153">
        <f>E32+E34</f>
        <v>-0.90097619047619171</v>
      </c>
      <c r="F36" s="344">
        <f>F32+F34</f>
        <v>0.80719291500000157</v>
      </c>
      <c r="G36" s="344">
        <f>G32+G34</f>
        <v>3.4354325201100018</v>
      </c>
      <c r="H36" s="344">
        <f>H32+H34</f>
        <v>7.7685188434852446</v>
      </c>
      <c r="I36" s="345">
        <f>I32+I34</f>
        <v>11.201581194233011</v>
      </c>
    </row>
    <row r="37" spans="1:10" ht="13.5" thickBot="1" x14ac:dyDescent="0.25">
      <c r="A37" s="9"/>
      <c r="B37" s="5"/>
      <c r="C37" s="5"/>
      <c r="D37" s="5"/>
      <c r="E37" s="5"/>
      <c r="F37" s="11"/>
      <c r="G37" s="11"/>
      <c r="H37" s="11"/>
      <c r="I37" s="11"/>
    </row>
    <row r="38" spans="1:10" ht="18" x14ac:dyDescent="0.25">
      <c r="A38" s="335" t="s">
        <v>227</v>
      </c>
      <c r="B38" s="263"/>
      <c r="C38" s="263"/>
      <c r="D38" s="263"/>
      <c r="E38" s="263"/>
      <c r="F38" s="263"/>
      <c r="G38" s="263"/>
      <c r="H38" s="263"/>
      <c r="I38" s="263"/>
      <c r="J38" s="334"/>
    </row>
    <row r="39" spans="1:10" x14ac:dyDescent="0.2">
      <c r="A39" s="9"/>
      <c r="B39" s="307" t="s">
        <v>202</v>
      </c>
      <c r="C39" s="4"/>
      <c r="D39" s="4"/>
      <c r="E39" s="4"/>
      <c r="F39" s="4"/>
      <c r="G39" s="4"/>
      <c r="H39" s="4"/>
      <c r="I39" s="4"/>
      <c r="J39" s="314"/>
    </row>
    <row r="40" spans="1:10" x14ac:dyDescent="0.2">
      <c r="A40" s="9"/>
      <c r="B40" s="308"/>
      <c r="C40" s="5" t="s">
        <v>136</v>
      </c>
      <c r="D40" s="5"/>
      <c r="E40" s="5"/>
      <c r="F40" s="5"/>
      <c r="G40" s="5"/>
      <c r="H40" s="5"/>
      <c r="I40" s="5"/>
      <c r="J40" s="110">
        <f>I36</f>
        <v>11.201581194233011</v>
      </c>
    </row>
    <row r="41" spans="1:10" x14ac:dyDescent="0.2">
      <c r="A41" s="9"/>
      <c r="B41" s="308"/>
      <c r="C41" s="5" t="s">
        <v>137</v>
      </c>
      <c r="D41" s="5"/>
      <c r="E41" s="5"/>
      <c r="F41" s="5"/>
      <c r="G41" s="5"/>
      <c r="H41" s="5"/>
      <c r="I41" s="5"/>
      <c r="J41" s="161">
        <v>20</v>
      </c>
    </row>
    <row r="42" spans="1:10" ht="13.5" thickBot="1" x14ac:dyDescent="0.25">
      <c r="A42" s="9"/>
      <c r="B42" s="309"/>
      <c r="C42" s="6" t="s">
        <v>74</v>
      </c>
      <c r="D42" s="6"/>
      <c r="E42" s="6"/>
      <c r="F42" s="6"/>
      <c r="G42" s="6"/>
      <c r="H42" s="6"/>
      <c r="I42" s="6"/>
      <c r="J42" s="118">
        <f>J40*J41</f>
        <v>224.03162388466023</v>
      </c>
    </row>
    <row r="43" spans="1:10" x14ac:dyDescent="0.2">
      <c r="A43" s="9"/>
      <c r="B43" s="5"/>
      <c r="C43" s="5"/>
      <c r="D43" s="5"/>
      <c r="E43" s="5"/>
      <c r="F43" s="5"/>
      <c r="G43" s="5"/>
      <c r="H43" s="5"/>
      <c r="I43" s="5"/>
      <c r="J43" s="56" t="s">
        <v>74</v>
      </c>
    </row>
    <row r="44" spans="1:10" x14ac:dyDescent="0.2">
      <c r="A44" s="9"/>
      <c r="B44" s="5"/>
      <c r="C44" s="5"/>
      <c r="D44" s="5"/>
      <c r="E44" s="304">
        <v>37073</v>
      </c>
      <c r="F44" s="304">
        <v>37438</v>
      </c>
      <c r="G44" s="304">
        <v>37803</v>
      </c>
      <c r="H44" s="304">
        <v>38169</v>
      </c>
      <c r="I44" s="304">
        <v>38534</v>
      </c>
      <c r="J44" s="305">
        <v>38899</v>
      </c>
    </row>
    <row r="45" spans="1:10" x14ac:dyDescent="0.2">
      <c r="A45" s="9" t="s">
        <v>194</v>
      </c>
      <c r="B45" s="5"/>
      <c r="C45" s="5"/>
      <c r="D45" s="5"/>
      <c r="E45" s="109">
        <f>E36</f>
        <v>-0.90097619047619171</v>
      </c>
      <c r="F45" s="109">
        <f>F36</f>
        <v>0.80719291500000157</v>
      </c>
      <c r="G45" s="109">
        <f>G36</f>
        <v>3.4354325201100018</v>
      </c>
      <c r="H45" s="109">
        <f>H36</f>
        <v>7.7685188434852446</v>
      </c>
      <c r="I45" s="109">
        <f>I36</f>
        <v>11.201581194233011</v>
      </c>
      <c r="J45" s="110"/>
    </row>
    <row r="46" spans="1:10" x14ac:dyDescent="0.2">
      <c r="A46" s="9" t="s">
        <v>195</v>
      </c>
      <c r="B46" s="5"/>
      <c r="C46" s="5"/>
      <c r="D46" s="5"/>
      <c r="E46" s="109">
        <f t="shared" ref="E46:I47" si="0">E25</f>
        <v>-5.7142857142857141E-2</v>
      </c>
      <c r="F46" s="109">
        <f t="shared" si="0"/>
        <v>-7.1428571428571425E-2</v>
      </c>
      <c r="G46" s="109">
        <f t="shared" si="0"/>
        <v>-7.1428571428571425E-2</v>
      </c>
      <c r="H46" s="109">
        <f t="shared" si="0"/>
        <v>-7.1428571428571425E-2</v>
      </c>
      <c r="I46" s="109">
        <f t="shared" si="0"/>
        <v>-7.1428571428571425E-2</v>
      </c>
      <c r="J46" s="110"/>
    </row>
    <row r="47" spans="1:10" x14ac:dyDescent="0.2">
      <c r="A47" s="9" t="s">
        <v>203</v>
      </c>
      <c r="B47" s="5"/>
      <c r="C47" s="5"/>
      <c r="D47" s="5"/>
      <c r="E47" s="109">
        <f t="shared" si="0"/>
        <v>-0.33333333333333331</v>
      </c>
      <c r="F47" s="109">
        <f t="shared" si="0"/>
        <v>-0.33333333333333331</v>
      </c>
      <c r="G47" s="109">
        <f t="shared" si="0"/>
        <v>-0.33333333333333331</v>
      </c>
      <c r="H47" s="109">
        <f t="shared" si="0"/>
        <v>0</v>
      </c>
      <c r="I47" s="109">
        <f t="shared" si="0"/>
        <v>0</v>
      </c>
      <c r="J47" s="110"/>
    </row>
    <row r="48" spans="1:10" x14ac:dyDescent="0.2">
      <c r="A48" s="20" t="s">
        <v>196</v>
      </c>
      <c r="B48" s="5"/>
      <c r="C48" s="5"/>
      <c r="D48" s="5"/>
      <c r="E48" s="109">
        <f>-'Cash Flows'!E18</f>
        <v>1.4</v>
      </c>
      <c r="F48" s="109">
        <f>-'Cash Flows'!F18</f>
        <v>0.1</v>
      </c>
      <c r="G48" s="109">
        <f>-'Cash Flows'!G18</f>
        <v>0</v>
      </c>
      <c r="H48" s="109">
        <f>-'Cash Flows'!H18</f>
        <v>0</v>
      </c>
      <c r="I48" s="109">
        <f>-'Cash Flows'!I18</f>
        <v>0</v>
      </c>
      <c r="J48" s="110"/>
    </row>
    <row r="49" spans="1:12" ht="15" x14ac:dyDescent="0.35">
      <c r="A49" s="20" t="s">
        <v>197</v>
      </c>
      <c r="B49" s="5"/>
      <c r="C49" s="5"/>
      <c r="D49" s="5"/>
      <c r="E49" s="312">
        <f>-'Cash Flows'!E13</f>
        <v>0.34185616438356137</v>
      </c>
      <c r="F49" s="312">
        <f>-'Cash Flows'!F13</f>
        <v>0.48686554109589109</v>
      </c>
      <c r="G49" s="312">
        <f>-'Cash Flows'!G13</f>
        <v>0.63821616538356163</v>
      </c>
      <c r="H49" s="312">
        <f>-'Cash Flows'!H13</f>
        <v>0.95200970124760143</v>
      </c>
      <c r="I49" s="312">
        <f>-'Cash Flows'!I13</f>
        <v>0.84191654613459255</v>
      </c>
      <c r="J49" s="110"/>
    </row>
    <row r="50" spans="1:12" s="1" customFormat="1" x14ac:dyDescent="0.2">
      <c r="A50" s="7" t="s">
        <v>138</v>
      </c>
      <c r="B50" s="10"/>
      <c r="C50" s="10"/>
      <c r="D50" s="10"/>
      <c r="E50" s="313">
        <f>SUM(E45:E49)</f>
        <v>0.45040378343117915</v>
      </c>
      <c r="F50" s="313">
        <f>SUM(F45:F49)</f>
        <v>0.98929655133398797</v>
      </c>
      <c r="G50" s="313">
        <f>SUM(G45:G49)</f>
        <v>3.6688867807316585</v>
      </c>
      <c r="H50" s="313">
        <f>SUM(H45:H49)</f>
        <v>8.6490999733042742</v>
      </c>
      <c r="I50" s="313">
        <f>SUM(I45:I49)</f>
        <v>11.972069168939033</v>
      </c>
      <c r="J50" s="311">
        <f>J42</f>
        <v>224.03162388466023</v>
      </c>
    </row>
    <row r="51" spans="1:12" x14ac:dyDescent="0.2">
      <c r="A51" s="9"/>
      <c r="B51" s="5"/>
      <c r="C51" s="5"/>
      <c r="D51" s="5"/>
      <c r="E51" s="109"/>
      <c r="F51" s="109"/>
      <c r="G51" s="109"/>
      <c r="H51" s="109"/>
      <c r="I51" s="109"/>
      <c r="J51" s="110"/>
    </row>
    <row r="52" spans="1:12" ht="13.5" thickBot="1" x14ac:dyDescent="0.25">
      <c r="A52" s="12" t="s">
        <v>139</v>
      </c>
      <c r="B52" s="13"/>
      <c r="C52" s="13"/>
      <c r="D52" s="315">
        <v>0.2</v>
      </c>
      <c r="E52" s="124"/>
      <c r="F52" s="124"/>
      <c r="G52" s="124"/>
      <c r="H52" s="124"/>
      <c r="I52" s="124"/>
      <c r="J52" s="316">
        <f>[1]!_xludf.xnpv(D52,E50:J50,E44:J44)</f>
        <v>104.584429976957</v>
      </c>
    </row>
    <row r="57" spans="1:12" ht="18" x14ac:dyDescent="0.25">
      <c r="A57" s="321" t="s">
        <v>204</v>
      </c>
      <c r="B57" s="4"/>
      <c r="C57" s="4"/>
      <c r="D57" s="4"/>
      <c r="E57" s="4"/>
      <c r="F57" s="4"/>
      <c r="G57" s="4"/>
      <c r="H57" s="4"/>
      <c r="I57" s="4"/>
      <c r="J57" s="188"/>
    </row>
    <row r="58" spans="1:12" x14ac:dyDescent="0.2">
      <c r="A58" s="308"/>
      <c r="B58" s="5"/>
      <c r="C58" s="5"/>
      <c r="D58" s="5"/>
      <c r="E58" s="5"/>
      <c r="F58" s="5"/>
      <c r="G58" s="5"/>
      <c r="H58" s="5"/>
      <c r="I58" s="5"/>
      <c r="J58" s="322"/>
    </row>
    <row r="59" spans="1:12" ht="15.75" x14ac:dyDescent="0.25">
      <c r="A59" s="331" t="s">
        <v>213</v>
      </c>
      <c r="B59" s="5"/>
      <c r="C59" s="5"/>
      <c r="D59" s="5"/>
      <c r="E59" s="5"/>
      <c r="F59" s="5"/>
      <c r="G59" s="5"/>
      <c r="H59" s="5"/>
      <c r="I59" s="5"/>
      <c r="J59" s="322"/>
    </row>
    <row r="60" spans="1:12" ht="15.75" x14ac:dyDescent="0.25">
      <c r="A60" s="331" t="s">
        <v>157</v>
      </c>
      <c r="B60" s="5"/>
      <c r="C60" s="5"/>
      <c r="D60" s="5"/>
      <c r="E60" s="5"/>
      <c r="F60" s="5"/>
      <c r="G60" s="5"/>
      <c r="H60" s="5"/>
      <c r="I60" s="5"/>
      <c r="J60" s="322"/>
    </row>
    <row r="61" spans="1:12" x14ac:dyDescent="0.2">
      <c r="A61" s="332" t="s">
        <v>215</v>
      </c>
      <c r="B61" s="5"/>
      <c r="C61" s="5"/>
      <c r="D61" s="5"/>
      <c r="E61" s="359" t="s">
        <v>214</v>
      </c>
      <c r="F61" s="359"/>
      <c r="G61" s="359"/>
      <c r="H61" s="359"/>
      <c r="I61" s="359"/>
      <c r="J61" s="322"/>
    </row>
    <row r="62" spans="1:12" x14ac:dyDescent="0.2">
      <c r="A62" s="5"/>
      <c r="B62" s="5"/>
      <c r="C62" s="5"/>
      <c r="D62" s="5"/>
      <c r="E62" s="65">
        <v>2001</v>
      </c>
      <c r="F62" s="65">
        <f>E62+1</f>
        <v>2002</v>
      </c>
      <c r="G62" s="65">
        <f>F62+1</f>
        <v>2003</v>
      </c>
      <c r="H62" s="65">
        <f>G62+1</f>
        <v>2004</v>
      </c>
      <c r="I62" s="65">
        <f>H62+1</f>
        <v>2005</v>
      </c>
      <c r="J62" s="322"/>
    </row>
    <row r="63" spans="1:12" ht="7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322"/>
      <c r="K63" s="317"/>
    </row>
    <row r="64" spans="1:12" x14ac:dyDescent="0.2">
      <c r="A64" s="5" t="s">
        <v>216</v>
      </c>
      <c r="B64" s="5"/>
      <c r="C64" s="5"/>
      <c r="D64" s="5"/>
      <c r="E64" s="5">
        <f>'Model Assumptions'!F61+'Model Assumptions'!F72+'Model Assumptions'!F75+'Model Assumptions'!F78+'Model Assumptions'!F81</f>
        <v>35</v>
      </c>
      <c r="F64" s="5">
        <f>'Model Assumptions'!H61+'Model Assumptions'!H72+'Model Assumptions'!H75+'Model Assumptions'!H78+'Model Assumptions'!H81</f>
        <v>48</v>
      </c>
      <c r="G64" s="5">
        <f>'Model Assumptions'!J61+'Model Assumptions'!J72+'Model Assumptions'!J75+'Model Assumptions'!J78+'Model Assumptions'!J81</f>
        <v>57</v>
      </c>
      <c r="H64" s="5">
        <f>'Model Assumptions'!L61+'Model Assumptions'!L72+'Model Assumptions'!L75+'Model Assumptions'!L78+'Model Assumptions'!L81</f>
        <v>64</v>
      </c>
      <c r="I64" s="5">
        <f>'Model Assumptions'!N61+'Model Assumptions'!N72+'Model Assumptions'!N75+'Model Assumptions'!N78+'Model Assumptions'!N81</f>
        <v>72</v>
      </c>
      <c r="J64" s="322"/>
      <c r="L64" t="s">
        <v>219</v>
      </c>
    </row>
    <row r="65" spans="1:15" ht="7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322"/>
      <c r="K65" s="317"/>
    </row>
    <row r="66" spans="1:15" x14ac:dyDescent="0.2">
      <c r="A66" s="333" t="s">
        <v>220</v>
      </c>
      <c r="B66" s="5"/>
      <c r="C66" s="5"/>
      <c r="D66" s="5"/>
      <c r="E66" s="5"/>
      <c r="F66" s="5"/>
      <c r="G66" s="5"/>
      <c r="H66" s="5"/>
      <c r="I66" s="5"/>
      <c r="J66" s="322"/>
      <c r="K66" s="317"/>
    </row>
    <row r="67" spans="1:15" x14ac:dyDescent="0.2">
      <c r="A67" s="5" t="s">
        <v>205</v>
      </c>
      <c r="B67" s="5"/>
      <c r="C67" s="5"/>
      <c r="D67" s="5"/>
      <c r="E67" s="323">
        <f>'Model Assumptions'!F10+'Model Assumptions'!F18+'Model Assumptions'!F26</f>
        <v>1059.152</v>
      </c>
      <c r="F67" s="323">
        <f>'Model Assumptions'!H10+'Model Assumptions'!H18+'Model Assumptions'!H26</f>
        <v>2056.2192</v>
      </c>
      <c r="G67" s="323">
        <f>'Model Assumptions'!J10+'Model Assumptions'!J18+'Model Assumptions'!J26</f>
        <v>3165.01064</v>
      </c>
      <c r="H67" s="323">
        <f>'Model Assumptions'!L10+'Model Assumptions'!L18+'Model Assumptions'!L26</f>
        <v>5889.3305319999999</v>
      </c>
      <c r="I67" s="323">
        <f>'Model Assumptions'!N10+'Model Assumptions'!N18+'Model Assumptions'!N26</f>
        <v>8861.0251472499986</v>
      </c>
      <c r="J67" s="322"/>
      <c r="K67" s="317"/>
    </row>
    <row r="68" spans="1:15" s="318" customFormat="1" x14ac:dyDescent="0.2">
      <c r="A68" s="159"/>
      <c r="B68" s="324" t="s">
        <v>208</v>
      </c>
      <c r="C68" s="159"/>
      <c r="D68" s="159"/>
      <c r="E68" s="325">
        <f>'Income Statement and Valuation'!E67/('Model Assumptions'!F8+'Model Assumptions'!F16+'Model Assumptions'!F24)</f>
        <v>3.7994576057166642E-2</v>
      </c>
      <c r="F68" s="325">
        <f>'Income Statement and Valuation'!F67/('Model Assumptions'!H8+'Model Assumptions'!H16+'Model Assumptions'!H24)</f>
        <v>6.1426104745437457E-2</v>
      </c>
      <c r="G68" s="325">
        <f>'Income Statement and Valuation'!G67/('Model Assumptions'!J8+'Model Assumptions'!J16+'Model Assumptions'!J24)</f>
        <v>7.7299721003897509E-2</v>
      </c>
      <c r="H68" s="325">
        <f>'Income Statement and Valuation'!H67/('Model Assumptions'!L8+'Model Assumptions'!L16+'Model Assumptions'!L24)</f>
        <v>0.11545978990497159</v>
      </c>
      <c r="I68" s="325">
        <f>'Income Statement and Valuation'!I67/('Model Assumptions'!N8+'Model Assumptions'!N16+'Model Assumptions'!N24)</f>
        <v>0.13701665770912694</v>
      </c>
      <c r="J68" s="326"/>
      <c r="L68" s="319"/>
      <c r="N68" s="319"/>
      <c r="O68" s="319"/>
    </row>
    <row r="69" spans="1:15" x14ac:dyDescent="0.2">
      <c r="A69" s="5" t="s">
        <v>206</v>
      </c>
      <c r="B69" s="5"/>
      <c r="C69" s="5"/>
      <c r="D69" s="5"/>
      <c r="E69" s="323">
        <f>'Model Assumptions'!F34</f>
        <v>204.69</v>
      </c>
      <c r="F69" s="323">
        <f>'Model Assumptions'!H34</f>
        <v>375.26500000000004</v>
      </c>
      <c r="G69" s="323">
        <f>'Model Assumptions'!J34</f>
        <v>577.90810000000022</v>
      </c>
      <c r="H69" s="323">
        <f>'Model Assumptions'!L34</f>
        <v>817.32717000000014</v>
      </c>
      <c r="I69" s="323">
        <f>'Model Assumptions'!N34</f>
        <v>1098.8509730000003</v>
      </c>
      <c r="J69" s="322"/>
    </row>
    <row r="70" spans="1:15" s="318" customFormat="1" x14ac:dyDescent="0.2">
      <c r="A70" s="159"/>
      <c r="B70" s="324" t="s">
        <v>208</v>
      </c>
      <c r="C70" s="159"/>
      <c r="D70" s="159"/>
      <c r="E70" s="325">
        <f>'Income Statement and Valuation'!E69/('Model Assumptions'!F32)</f>
        <v>0.03</v>
      </c>
      <c r="F70" s="325">
        <f>'Income Statement and Valuation'!F$69/('Model Assumptions'!H32)</f>
        <v>0.05</v>
      </c>
      <c r="G70" s="325">
        <f>'Income Statement and Valuation'!G$69/('Model Assumptions'!J32)</f>
        <v>7.0000000000000007E-2</v>
      </c>
      <c r="H70" s="325">
        <f>'Income Statement and Valuation'!H$69/('Model Assumptions'!L32)</f>
        <v>0.09</v>
      </c>
      <c r="I70" s="325">
        <f>'Income Statement and Valuation'!I$69/('Model Assumptions'!N32)</f>
        <v>0.10999999999999999</v>
      </c>
      <c r="J70" s="326"/>
      <c r="L70" s="319"/>
      <c r="N70" s="319"/>
      <c r="O70" s="319"/>
    </row>
    <row r="71" spans="1:15" x14ac:dyDescent="0.2">
      <c r="A71" s="5" t="s">
        <v>207</v>
      </c>
      <c r="B71" s="5"/>
      <c r="C71" s="5"/>
      <c r="D71" s="5"/>
      <c r="E71" s="323">
        <f>'Model Assumptions'!F42+'Model Assumptions'!F50</f>
        <v>133.24</v>
      </c>
      <c r="F71" s="323">
        <f>'Model Assumptions'!H42+'Model Assumptions'!H50</f>
        <v>385.97999999999996</v>
      </c>
      <c r="G71" s="323">
        <f>'Model Assumptions'!J42+'Model Assumptions'!J50</f>
        <v>918.69119999999975</v>
      </c>
      <c r="H71" s="323">
        <f>'Model Assumptions'!L42+'Model Assumptions'!L50</f>
        <v>1677.0779199999997</v>
      </c>
      <c r="I71" s="323">
        <f>'Model Assumptions'!N42+'Model Assumptions'!N50</f>
        <v>2895.1834239999989</v>
      </c>
      <c r="J71" s="322"/>
    </row>
    <row r="72" spans="1:15" s="318" customFormat="1" x14ac:dyDescent="0.2">
      <c r="A72" s="159"/>
      <c r="B72" s="324" t="s">
        <v>208</v>
      </c>
      <c r="C72" s="159"/>
      <c r="D72" s="159"/>
      <c r="E72" s="325">
        <f>'Income Statement and Valuation'!E$71/('Model Assumptions'!F40+'Model Assumptions'!F48)</f>
        <v>1.8705601572371194E-2</v>
      </c>
      <c r="F72" s="325">
        <f>'Income Statement and Valuation'!F$71/('Model Assumptions'!H40+'Model Assumptions'!H48)</f>
        <v>3.8705601572371191E-2</v>
      </c>
      <c r="G72" s="325">
        <f>'Income Statement and Valuation'!G$71/('Model Assumptions'!J40+'Model Assumptions'!J48)</f>
        <v>6.5803734381580783E-2</v>
      </c>
      <c r="H72" s="325">
        <f>'Income Statement and Valuation'!H$71/('Model Assumptions'!L40+'Model Assumptions'!L48)</f>
        <v>8.5803734381580801E-2</v>
      </c>
      <c r="I72" s="325">
        <f>'Income Statement and Valuation'!I$71/('Model Assumptions'!N40+'Model Assumptions'!N48)</f>
        <v>0.10580373438158079</v>
      </c>
      <c r="J72" s="326"/>
      <c r="L72" s="319"/>
    </row>
    <row r="73" spans="1:15" ht="7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322"/>
      <c r="K73" s="317"/>
    </row>
    <row r="74" spans="1:15" x14ac:dyDescent="0.2">
      <c r="A74" s="333" t="s">
        <v>209</v>
      </c>
      <c r="B74" s="5"/>
      <c r="C74" s="5"/>
      <c r="D74" s="5"/>
      <c r="E74" s="5"/>
      <c r="F74" s="5"/>
      <c r="G74" s="5"/>
      <c r="H74" s="5"/>
      <c r="I74" s="5"/>
      <c r="J74" s="322"/>
    </row>
    <row r="75" spans="1:15" x14ac:dyDescent="0.2">
      <c r="A75" s="5" t="s">
        <v>113</v>
      </c>
      <c r="B75" s="5"/>
      <c r="C75" s="5"/>
      <c r="D75" s="5"/>
      <c r="E75" s="109">
        <f t="shared" ref="E75:I77" si="1">E9</f>
        <v>3.5802</v>
      </c>
      <c r="F75" s="109">
        <f t="shared" si="1"/>
        <v>6.3129780000000011</v>
      </c>
      <c r="G75" s="109">
        <f t="shared" si="1"/>
        <v>7.3321274520000008</v>
      </c>
      <c r="H75" s="109">
        <f t="shared" si="1"/>
        <v>11.143221426900002</v>
      </c>
      <c r="I75" s="109">
        <f t="shared" si="1"/>
        <v>13.280821639025628</v>
      </c>
      <c r="J75" s="322"/>
    </row>
    <row r="76" spans="1:15" x14ac:dyDescent="0.2">
      <c r="A76" s="5" t="s">
        <v>114</v>
      </c>
      <c r="B76" s="5"/>
      <c r="C76" s="5"/>
      <c r="D76" s="5"/>
      <c r="E76" s="327">
        <f t="shared" si="1"/>
        <v>4.0937999999999999</v>
      </c>
      <c r="F76" s="327">
        <f t="shared" si="1"/>
        <v>6.3795050000000009</v>
      </c>
      <c r="G76" s="327">
        <f t="shared" si="1"/>
        <v>8.3507720450000029</v>
      </c>
      <c r="H76" s="327">
        <f t="shared" si="1"/>
        <v>10.038820965525002</v>
      </c>
      <c r="I76" s="327">
        <f t="shared" si="1"/>
        <v>11.472141514491629</v>
      </c>
      <c r="J76" s="322"/>
    </row>
    <row r="77" spans="1:15" ht="15" x14ac:dyDescent="0.35">
      <c r="A77" s="5" t="s">
        <v>115</v>
      </c>
      <c r="B77" s="5"/>
      <c r="C77" s="5"/>
      <c r="D77" s="5"/>
      <c r="E77" s="251">
        <f t="shared" si="1"/>
        <v>1.6655000000000002</v>
      </c>
      <c r="F77" s="251">
        <f t="shared" si="1"/>
        <v>4.1010374999999994</v>
      </c>
      <c r="G77" s="251">
        <f t="shared" si="1"/>
        <v>8.2969298999999985</v>
      </c>
      <c r="H77" s="251">
        <f t="shared" si="1"/>
        <v>12.874193470249995</v>
      </c>
      <c r="I77" s="251">
        <f t="shared" si="1"/>
        <v>18.891298027804993</v>
      </c>
      <c r="J77" s="322"/>
    </row>
    <row r="78" spans="1:15" s="1" customFormat="1" x14ac:dyDescent="0.2">
      <c r="A78" s="10" t="s">
        <v>210</v>
      </c>
      <c r="B78" s="328"/>
      <c r="C78" s="10"/>
      <c r="D78" s="10"/>
      <c r="E78" s="313">
        <f>SUM(E75:E77)</f>
        <v>9.3394999999999992</v>
      </c>
      <c r="F78" s="313">
        <f>SUM(F75:F77)</f>
        <v>16.793520500000003</v>
      </c>
      <c r="G78" s="313">
        <f>SUM(G75:G77)</f>
        <v>23.979829397000003</v>
      </c>
      <c r="H78" s="313">
        <f>SUM(H75:H77)</f>
        <v>34.056235862674995</v>
      </c>
      <c r="I78" s="313">
        <f>SUM(I75:I77)</f>
        <v>43.64426118132225</v>
      </c>
      <c r="J78" s="329"/>
    </row>
    <row r="79" spans="1:15" x14ac:dyDescent="0.2">
      <c r="A79" s="5"/>
      <c r="B79" s="324" t="s">
        <v>211</v>
      </c>
      <c r="C79" s="5"/>
      <c r="D79" s="5"/>
      <c r="E79" s="320" t="s">
        <v>212</v>
      </c>
      <c r="F79" s="280">
        <f>F78/E78-1</f>
        <v>0.79811772578831897</v>
      </c>
      <c r="G79" s="280">
        <f>G78/F78-1</f>
        <v>0.42792152467375733</v>
      </c>
      <c r="H79" s="280">
        <f>H78/G78-1</f>
        <v>0.42020342592327209</v>
      </c>
      <c r="I79" s="280">
        <f>I78/H78-1</f>
        <v>0.28153508676969063</v>
      </c>
      <c r="J79" s="322"/>
    </row>
    <row r="80" spans="1:15" ht="7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322"/>
      <c r="K80" s="317"/>
    </row>
    <row r="81" spans="1:10" s="1" customFormat="1" x14ac:dyDescent="0.2">
      <c r="A81" s="10" t="s">
        <v>217</v>
      </c>
      <c r="B81" s="10"/>
      <c r="C81" s="10"/>
      <c r="D81" s="10"/>
      <c r="E81" s="313">
        <f>E24</f>
        <v>-0.51050000000000129</v>
      </c>
      <c r="F81" s="313">
        <f>F24</f>
        <v>1.6860205000000024</v>
      </c>
      <c r="G81" s="313">
        <f>G24</f>
        <v>5.8578293970000024</v>
      </c>
      <c r="H81" s="313">
        <f>H24</f>
        <v>12.402410862674991</v>
      </c>
      <c r="I81" s="313">
        <f>I24</f>
        <v>17.851716181322242</v>
      </c>
      <c r="J81" s="329"/>
    </row>
    <row r="82" spans="1:10" x14ac:dyDescent="0.2">
      <c r="A82" s="5"/>
      <c r="B82" s="324" t="s">
        <v>134</v>
      </c>
      <c r="C82" s="5"/>
      <c r="D82" s="5"/>
      <c r="E82" s="280">
        <f>E81/E78</f>
        <v>-5.4660313721291431E-2</v>
      </c>
      <c r="F82" s="280">
        <f>F81/F78</f>
        <v>0.10039708469704146</v>
      </c>
      <c r="G82" s="280">
        <f>G81/G78</f>
        <v>0.24428152928114019</v>
      </c>
      <c r="H82" s="280">
        <f>H81/H78</f>
        <v>0.36417444701420465</v>
      </c>
      <c r="I82" s="280">
        <f>I81/I78</f>
        <v>0.40902780109294096</v>
      </c>
      <c r="J82" s="322"/>
    </row>
    <row r="83" spans="1:10" x14ac:dyDescent="0.2">
      <c r="A83" s="5"/>
      <c r="B83" s="5"/>
      <c r="C83" s="5"/>
      <c r="D83" s="5"/>
      <c r="E83" s="5"/>
      <c r="F83" s="5"/>
      <c r="G83" s="5"/>
      <c r="H83" s="5"/>
      <c r="I83" s="5"/>
      <c r="J83" s="322"/>
    </row>
    <row r="84" spans="1:10" x14ac:dyDescent="0.2">
      <c r="A84" s="308"/>
      <c r="B84" s="5"/>
      <c r="C84" s="5"/>
      <c r="D84" s="5"/>
      <c r="E84" s="5"/>
      <c r="F84" s="5"/>
      <c r="G84" s="5"/>
      <c r="H84" s="5"/>
      <c r="I84" s="5"/>
      <c r="J84" s="322"/>
    </row>
    <row r="85" spans="1:10" x14ac:dyDescent="0.2">
      <c r="A85" s="309"/>
      <c r="B85" s="6"/>
      <c r="C85" s="6"/>
      <c r="D85" s="6"/>
      <c r="E85" s="6"/>
      <c r="F85" s="6"/>
      <c r="G85" s="6"/>
      <c r="H85" s="6"/>
      <c r="I85" s="6"/>
      <c r="J85" s="330"/>
    </row>
  </sheetData>
  <mergeCells count="1">
    <mergeCell ref="E61:I61"/>
  </mergeCells>
  <pageMargins left="0.75" right="0.75" top="1" bottom="1" header="0.5" footer="0.5"/>
  <pageSetup scale="4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V51"/>
  <sheetViews>
    <sheetView zoomScale="70" workbookViewId="0"/>
  </sheetViews>
  <sheetFormatPr defaultRowHeight="12.75" x14ac:dyDescent="0.2"/>
  <cols>
    <col min="1" max="1" width="6.85546875" customWidth="1"/>
    <col min="4" max="4" width="14.28515625" customWidth="1"/>
    <col min="5" max="5" width="13.42578125" bestFit="1" customWidth="1"/>
    <col min="6" max="6" width="15" bestFit="1" customWidth="1"/>
    <col min="7" max="9" width="13.85546875" bestFit="1" customWidth="1"/>
    <col min="13" max="13" width="10.28515625" bestFit="1" customWidth="1"/>
  </cols>
  <sheetData>
    <row r="1" spans="1:39" ht="15.75" x14ac:dyDescent="0.25">
      <c r="A1" s="75" t="str">
        <f>'Model Assumptions'!A1</f>
        <v>DealBench</v>
      </c>
      <c r="B1" s="44"/>
      <c r="C1" s="44"/>
      <c r="D1" s="44"/>
      <c r="E1" s="44"/>
      <c r="F1" s="44"/>
      <c r="G1" s="44"/>
      <c r="H1" s="44"/>
      <c r="I1" s="44"/>
    </row>
    <row r="2" spans="1:39" ht="15.75" x14ac:dyDescent="0.25">
      <c r="A2" s="76" t="s">
        <v>42</v>
      </c>
      <c r="B2" s="45"/>
      <c r="C2" s="45"/>
      <c r="D2" s="45"/>
      <c r="E2" s="45"/>
      <c r="F2" s="45"/>
      <c r="G2" s="45"/>
      <c r="H2" s="45"/>
      <c r="I2" s="45"/>
    </row>
    <row r="3" spans="1:39" ht="15.75" thickBot="1" x14ac:dyDescent="0.25">
      <c r="A3" s="81" t="s">
        <v>86</v>
      </c>
      <c r="B3" s="46"/>
      <c r="C3" s="46"/>
      <c r="D3" s="46"/>
      <c r="E3" s="46"/>
      <c r="F3" s="46"/>
      <c r="G3" s="46"/>
      <c r="H3" s="46"/>
      <c r="I3" s="46"/>
    </row>
    <row r="4" spans="1:39" ht="13.5" thickBot="1" x14ac:dyDescent="0.25">
      <c r="G4" s="17"/>
    </row>
    <row r="5" spans="1:39" ht="18.75" thickBot="1" x14ac:dyDescent="0.3">
      <c r="A5" s="335" t="s">
        <v>229</v>
      </c>
      <c r="B5" s="263"/>
      <c r="C5" s="263"/>
      <c r="D5" s="263"/>
      <c r="E5" s="336"/>
      <c r="F5" s="263"/>
      <c r="G5" s="263"/>
      <c r="H5" s="263"/>
      <c r="I5" s="334"/>
    </row>
    <row r="6" spans="1:39" x14ac:dyDescent="0.2">
      <c r="A6" s="59" t="s">
        <v>183</v>
      </c>
      <c r="B6" s="55"/>
      <c r="C6" s="55"/>
      <c r="D6" s="55"/>
      <c r="E6" s="55">
        <v>2001</v>
      </c>
      <c r="F6" s="55">
        <f>E6+1</f>
        <v>2002</v>
      </c>
      <c r="G6" s="55">
        <f>F6+1</f>
        <v>2003</v>
      </c>
      <c r="H6" s="55">
        <f>G6+1</f>
        <v>2004</v>
      </c>
      <c r="I6" s="56">
        <f>H6+1</f>
        <v>2005</v>
      </c>
    </row>
    <row r="7" spans="1:39" x14ac:dyDescent="0.2">
      <c r="A7" s="9"/>
      <c r="B7" s="5"/>
      <c r="C7" s="5"/>
      <c r="D7" s="5"/>
      <c r="E7" s="5"/>
      <c r="F7" s="5"/>
      <c r="G7" s="5"/>
      <c r="H7" s="5"/>
      <c r="I7" s="8"/>
    </row>
    <row r="8" spans="1:39" x14ac:dyDescent="0.2">
      <c r="A8" s="50" t="s">
        <v>43</v>
      </c>
      <c r="B8" s="18"/>
      <c r="C8" s="18"/>
      <c r="D8" s="18"/>
      <c r="E8" s="18"/>
      <c r="F8" s="18"/>
      <c r="G8" s="18"/>
      <c r="H8" s="18"/>
      <c r="I8" s="51"/>
    </row>
    <row r="9" spans="1:39" x14ac:dyDescent="0.2">
      <c r="A9" s="9" t="s">
        <v>44</v>
      </c>
      <c r="B9" s="5"/>
      <c r="C9" s="5"/>
      <c r="D9" s="5"/>
      <c r="E9" s="5"/>
      <c r="F9" s="5"/>
      <c r="G9" s="5"/>
      <c r="H9" s="5"/>
      <c r="I9" s="8"/>
    </row>
    <row r="10" spans="1:39" x14ac:dyDescent="0.2">
      <c r="A10" s="9" t="s">
        <v>45</v>
      </c>
      <c r="B10" s="5"/>
      <c r="C10" s="5"/>
      <c r="D10" s="5"/>
      <c r="E10" s="91">
        <f>'Cash Flows'!E29</f>
        <v>-2.2523561643835626</v>
      </c>
      <c r="F10" s="107">
        <f>E10+'Cash Flows'!F29</f>
        <v>-1.6272668857175474</v>
      </c>
      <c r="G10" s="107">
        <f>F10+'Cash Flows'!G29</f>
        <v>1.5747113737707976</v>
      </c>
      <c r="H10" s="107">
        <f>G10+'Cash Flows'!H29</f>
        <v>8.4626490874370113</v>
      </c>
      <c r="I10" s="108">
        <f>H10+'Cash Flows'!I29</f>
        <v>18.893742306964</v>
      </c>
    </row>
    <row r="11" spans="1:39" x14ac:dyDescent="0.2">
      <c r="A11" s="9" t="s">
        <v>46</v>
      </c>
      <c r="B11" s="5"/>
      <c r="C11" s="5"/>
      <c r="D11" s="5"/>
      <c r="E11" s="255">
        <v>0</v>
      </c>
      <c r="F11" s="255">
        <v>0</v>
      </c>
      <c r="G11" s="255">
        <v>0</v>
      </c>
      <c r="H11" s="255">
        <v>0</v>
      </c>
      <c r="I11" s="256">
        <v>0</v>
      </c>
    </row>
    <row r="12" spans="1:39" x14ac:dyDescent="0.2">
      <c r="A12" s="9" t="s">
        <v>47</v>
      </c>
      <c r="B12" s="5"/>
      <c r="C12" s="5"/>
      <c r="D12" s="5"/>
      <c r="E12" s="103">
        <f>'Cash Flows'!E37</f>
        <v>1.1514452054794519</v>
      </c>
      <c r="F12" s="103">
        <f>'Cash Flows'!F37</f>
        <v>2.0704340342465759</v>
      </c>
      <c r="G12" s="103">
        <f>'Cash Flows'!G37</f>
        <v>2.9564173229178086</v>
      </c>
      <c r="H12" s="103">
        <f>'Cash Flows'!H37</f>
        <v>4.1987140104667802</v>
      </c>
      <c r="I12" s="104">
        <f>'Cash Flows'!I37</f>
        <v>5.380799323724661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</row>
    <row r="13" spans="1:39" x14ac:dyDescent="0.2">
      <c r="A13" s="9" t="s">
        <v>48</v>
      </c>
      <c r="B13" s="5"/>
      <c r="C13" s="5"/>
      <c r="D13" s="5"/>
      <c r="E13" s="255">
        <v>0</v>
      </c>
      <c r="F13" s="255">
        <v>0</v>
      </c>
      <c r="G13" s="255">
        <v>0</v>
      </c>
      <c r="H13" s="255">
        <v>0</v>
      </c>
      <c r="I13" s="256">
        <v>0</v>
      </c>
    </row>
    <row r="14" spans="1:39" x14ac:dyDescent="0.2">
      <c r="A14" s="57" t="s">
        <v>49</v>
      </c>
      <c r="B14" s="16"/>
      <c r="C14" s="16"/>
      <c r="D14" s="16"/>
      <c r="E14" s="113">
        <f>SUM(E10:E13)</f>
        <v>-1.1009109589041106</v>
      </c>
      <c r="F14" s="113">
        <f>SUM(F10:F13)</f>
        <v>0.4431671485290285</v>
      </c>
      <c r="G14" s="113">
        <f>SUM(G10:G13)</f>
        <v>4.5311286966886062</v>
      </c>
      <c r="H14" s="113">
        <f>SUM(H10:H13)</f>
        <v>12.661363097903791</v>
      </c>
      <c r="I14" s="114">
        <f>SUM(I10:I13)</f>
        <v>24.27454163068866</v>
      </c>
    </row>
    <row r="15" spans="1:39" x14ac:dyDescent="0.2">
      <c r="A15" s="9" t="s">
        <v>50</v>
      </c>
      <c r="B15" s="5"/>
      <c r="C15" s="5"/>
      <c r="D15" s="5"/>
      <c r="E15" s="103">
        <f>-'Cash Flows'!E18</f>
        <v>1.4</v>
      </c>
      <c r="F15" s="103">
        <f>E15-'Cash Flows'!F18</f>
        <v>1.5</v>
      </c>
      <c r="G15" s="103">
        <f>F15-'Cash Flows'!G18</f>
        <v>1.5</v>
      </c>
      <c r="H15" s="103">
        <f>G15-'Cash Flows'!H18</f>
        <v>1.5</v>
      </c>
      <c r="I15" s="250">
        <f>H15-'Cash Flows'!I18</f>
        <v>1.5</v>
      </c>
    </row>
    <row r="16" spans="1:39" x14ac:dyDescent="0.2">
      <c r="A16" s="9" t="s">
        <v>182</v>
      </c>
      <c r="B16" s="5"/>
      <c r="C16" s="5"/>
      <c r="D16" s="5"/>
      <c r="E16" s="103">
        <f>-'Cash Flows'!E45</f>
        <v>-0.39047619047619048</v>
      </c>
      <c r="F16" s="103">
        <f>-'Cash Flows'!F45</f>
        <v>-0.7952380952380953</v>
      </c>
      <c r="G16" s="103">
        <f>-'Cash Flows'!G45</f>
        <v>-1.2000000000000002</v>
      </c>
      <c r="H16" s="103">
        <f>-'Cash Flows'!H45</f>
        <v>-1.2714285714285716</v>
      </c>
      <c r="I16" s="126">
        <f>-'Cash Flows'!I45</f>
        <v>-1.342857142857143</v>
      </c>
    </row>
    <row r="17" spans="1:48" x14ac:dyDescent="0.2">
      <c r="A17" s="57" t="s">
        <v>51</v>
      </c>
      <c r="B17" s="16"/>
      <c r="C17" s="16"/>
      <c r="D17" s="16"/>
      <c r="E17" s="113">
        <f>SUM(E15:E16)</f>
        <v>1.0095238095238095</v>
      </c>
      <c r="F17" s="113">
        <f>SUM(F15:F16)</f>
        <v>0.7047619047619047</v>
      </c>
      <c r="G17" s="113">
        <f>SUM(G15:G16)</f>
        <v>0.29999999999999982</v>
      </c>
      <c r="H17" s="113">
        <f>SUM(H15:H16)</f>
        <v>0.22857142857142843</v>
      </c>
      <c r="I17" s="118">
        <f>SUM(I15:I16)</f>
        <v>0.15714285714285703</v>
      </c>
    </row>
    <row r="18" spans="1:48" x14ac:dyDescent="0.2">
      <c r="A18" s="57" t="s">
        <v>52</v>
      </c>
      <c r="B18" s="16"/>
      <c r="C18" s="16"/>
      <c r="D18" s="16"/>
      <c r="E18" s="253">
        <v>0</v>
      </c>
      <c r="F18" s="253">
        <v>0</v>
      </c>
      <c r="G18" s="253">
        <v>0</v>
      </c>
      <c r="H18" s="253">
        <v>0</v>
      </c>
      <c r="I18" s="254">
        <v>0</v>
      </c>
    </row>
    <row r="19" spans="1:48" s="261" customFormat="1" x14ac:dyDescent="0.2">
      <c r="A19" s="50" t="s">
        <v>53</v>
      </c>
      <c r="B19" s="257"/>
      <c r="C19" s="257"/>
      <c r="D19" s="257"/>
      <c r="E19" s="258">
        <f>E14+E17+E18</f>
        <v>-9.1387149380301125E-2</v>
      </c>
      <c r="F19" s="259">
        <f>F14+F17+F18</f>
        <v>1.1479290532909332</v>
      </c>
      <c r="G19" s="259">
        <f>G14+G17+G18</f>
        <v>4.831128696688606</v>
      </c>
      <c r="H19" s="259">
        <f>H14+H17+H18</f>
        <v>12.889934526475219</v>
      </c>
      <c r="I19" s="260">
        <f>I14+I17+I18</f>
        <v>24.431684487831518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x14ac:dyDescent="0.2">
      <c r="A20" s="9"/>
      <c r="B20" s="5"/>
      <c r="C20" s="5"/>
      <c r="D20" s="5"/>
      <c r="E20" s="109"/>
      <c r="F20" s="109"/>
      <c r="G20" s="109"/>
      <c r="H20" s="109"/>
      <c r="I20" s="110"/>
    </row>
    <row r="21" spans="1:48" x14ac:dyDescent="0.2">
      <c r="A21" s="50" t="s">
        <v>54</v>
      </c>
      <c r="B21" s="18"/>
      <c r="C21" s="18"/>
      <c r="D21" s="18"/>
      <c r="E21" s="115"/>
      <c r="F21" s="115"/>
      <c r="G21" s="115"/>
      <c r="H21" s="115"/>
      <c r="I21" s="116"/>
    </row>
    <row r="22" spans="1:48" x14ac:dyDescent="0.2">
      <c r="A22" s="9" t="s">
        <v>55</v>
      </c>
      <c r="B22" s="5"/>
      <c r="C22" s="5"/>
      <c r="D22" s="5"/>
      <c r="E22" s="109"/>
      <c r="F22" s="109"/>
      <c r="G22" s="109"/>
      <c r="H22" s="109"/>
      <c r="I22" s="110"/>
    </row>
    <row r="23" spans="1:48" x14ac:dyDescent="0.2">
      <c r="A23" s="9" t="s">
        <v>56</v>
      </c>
      <c r="B23" s="5"/>
      <c r="C23" s="5"/>
      <c r="D23" s="5"/>
      <c r="E23" s="109"/>
      <c r="F23" s="109"/>
      <c r="G23" s="109"/>
      <c r="H23" s="109"/>
      <c r="I23" s="110"/>
    </row>
    <row r="24" spans="1:48" x14ac:dyDescent="0.2">
      <c r="A24" s="9" t="s">
        <v>57</v>
      </c>
      <c r="B24" s="5"/>
      <c r="C24" s="5"/>
      <c r="D24" s="5"/>
      <c r="E24" s="109"/>
      <c r="F24" s="109"/>
      <c r="G24" s="109"/>
      <c r="H24" s="109"/>
      <c r="I24" s="110"/>
    </row>
    <row r="25" spans="1:48" x14ac:dyDescent="0.2">
      <c r="A25" s="9" t="s">
        <v>58</v>
      </c>
      <c r="B25" s="5"/>
      <c r="C25" s="5"/>
      <c r="D25" s="5"/>
      <c r="E25" s="107">
        <f>'Cash Flows'!E38</f>
        <v>0.80958904109589058</v>
      </c>
      <c r="F25" s="107">
        <f>'Cash Flows'!F38</f>
        <v>1.2417123287671235</v>
      </c>
      <c r="G25" s="107">
        <f>'Cash Flows'!G38</f>
        <v>1.4894794520547945</v>
      </c>
      <c r="H25" s="107">
        <f>'Cash Flows'!H38</f>
        <v>1.7797664383561647</v>
      </c>
      <c r="I25" s="108">
        <f>'Cash Flows'!I38</f>
        <v>2.1199352054794529</v>
      </c>
    </row>
    <row r="26" spans="1:48" x14ac:dyDescent="0.2">
      <c r="A26" s="9" t="s">
        <v>59</v>
      </c>
      <c r="B26" s="5"/>
      <c r="C26" s="5"/>
      <c r="D26" s="5"/>
      <c r="E26" s="107"/>
      <c r="F26" s="107"/>
      <c r="G26" s="107"/>
      <c r="H26" s="107"/>
      <c r="I26" s="108"/>
    </row>
    <row r="27" spans="1:48" x14ac:dyDescent="0.2">
      <c r="A27" s="58" t="s">
        <v>60</v>
      </c>
      <c r="B27" s="6"/>
      <c r="C27" s="6"/>
      <c r="D27" s="6"/>
      <c r="E27" s="117"/>
      <c r="F27" s="117"/>
      <c r="G27" s="117"/>
      <c r="H27" s="117"/>
      <c r="I27" s="118"/>
    </row>
    <row r="28" spans="1:48" x14ac:dyDescent="0.2">
      <c r="A28" s="57" t="s">
        <v>61</v>
      </c>
      <c r="B28" s="16"/>
      <c r="C28" s="16"/>
      <c r="D28" s="16"/>
      <c r="E28" s="119">
        <f>SUM(E23:E27)</f>
        <v>0.80958904109589058</v>
      </c>
      <c r="F28" s="119">
        <f>SUM(F23:F27)</f>
        <v>1.2417123287671235</v>
      </c>
      <c r="G28" s="119">
        <f>SUM(G23:G27)</f>
        <v>1.4894794520547945</v>
      </c>
      <c r="H28" s="119">
        <f>SUM(H23:H27)</f>
        <v>1.7797664383561647</v>
      </c>
      <c r="I28" s="120">
        <f>SUM(I23:I27)</f>
        <v>2.1199352054794529</v>
      </c>
    </row>
    <row r="29" spans="1:48" x14ac:dyDescent="0.2">
      <c r="A29" s="9" t="s">
        <v>62</v>
      </c>
      <c r="B29" s="5"/>
      <c r="C29" s="5"/>
      <c r="D29" s="5"/>
      <c r="E29" s="310">
        <f>'Cash Flows'!E19</f>
        <v>0</v>
      </c>
      <c r="F29" s="255">
        <f>E29+'Cash Flows'!F19</f>
        <v>0</v>
      </c>
      <c r="G29" s="255">
        <f>F29+'Cash Flows'!G19</f>
        <v>0</v>
      </c>
      <c r="H29" s="255">
        <f>G29+'Cash Flows'!H19</f>
        <v>0</v>
      </c>
      <c r="I29" s="256">
        <f>H29+'Cash Flows'!I19</f>
        <v>0</v>
      </c>
    </row>
    <row r="30" spans="1:48" x14ac:dyDescent="0.2">
      <c r="A30" s="70" t="s">
        <v>63</v>
      </c>
      <c r="B30" s="61"/>
      <c r="C30" s="61"/>
      <c r="D30" s="61"/>
      <c r="E30" s="121">
        <f>SUM(E28:E29)</f>
        <v>0.80958904109589058</v>
      </c>
      <c r="F30" s="122">
        <f>SUM(F28:F29)</f>
        <v>1.2417123287671235</v>
      </c>
      <c r="G30" s="122">
        <f>SUM(G28:G29)</f>
        <v>1.4894794520547945</v>
      </c>
      <c r="H30" s="122">
        <f>SUM(H28:H29)</f>
        <v>1.7797664383561647</v>
      </c>
      <c r="I30" s="123">
        <f>SUM(I28:I29)</f>
        <v>2.1199352054794529</v>
      </c>
    </row>
    <row r="31" spans="1:48" x14ac:dyDescent="0.2">
      <c r="A31" s="149" t="s">
        <v>64</v>
      </c>
      <c r="B31" s="4"/>
      <c r="C31" s="4"/>
      <c r="D31" s="4"/>
      <c r="E31" s="148"/>
      <c r="F31" s="148"/>
      <c r="G31" s="148"/>
      <c r="H31" s="148"/>
      <c r="I31" s="150"/>
    </row>
    <row r="32" spans="1:48" x14ac:dyDescent="0.2">
      <c r="A32" s="9" t="s">
        <v>65</v>
      </c>
      <c r="B32" s="5"/>
      <c r="C32" s="5"/>
      <c r="D32" s="5"/>
      <c r="E32" s="109"/>
      <c r="F32" s="109"/>
      <c r="G32" s="109"/>
      <c r="H32" s="109"/>
      <c r="I32" s="110"/>
    </row>
    <row r="33" spans="1:9" x14ac:dyDescent="0.2">
      <c r="A33" s="9" t="s">
        <v>66</v>
      </c>
      <c r="B33" s="5"/>
      <c r="C33" s="5"/>
      <c r="D33" s="5"/>
      <c r="E33" s="107">
        <f>'Cash Flows'!E23</f>
        <v>0</v>
      </c>
      <c r="F33" s="109">
        <f>E33+'Cash Flows'!F23</f>
        <v>0</v>
      </c>
      <c r="G33" s="109">
        <f>F33+'Cash Flows'!G23</f>
        <v>0</v>
      </c>
      <c r="H33" s="109">
        <f>G33+'Cash Flows'!H23</f>
        <v>0</v>
      </c>
      <c r="I33" s="110">
        <f>H33+'Cash Flows'!I23</f>
        <v>0</v>
      </c>
    </row>
    <row r="34" spans="1:9" x14ac:dyDescent="0.2">
      <c r="A34" s="9" t="s">
        <v>67</v>
      </c>
      <c r="B34" s="5"/>
      <c r="C34" s="5"/>
      <c r="D34" s="5"/>
      <c r="E34" s="109"/>
      <c r="F34" s="107"/>
      <c r="G34" s="107"/>
      <c r="H34" s="107"/>
      <c r="I34" s="108"/>
    </row>
    <row r="35" spans="1:9" x14ac:dyDescent="0.2">
      <c r="A35" s="9"/>
      <c r="B35" s="5" t="s">
        <v>71</v>
      </c>
      <c r="C35" s="5"/>
      <c r="D35" s="5"/>
      <c r="E35" s="103">
        <v>0</v>
      </c>
      <c r="F35" s="103">
        <f>E38</f>
        <v>-0.90097619047619171</v>
      </c>
      <c r="G35" s="103">
        <f>F38</f>
        <v>-9.3783275476190142E-2</v>
      </c>
      <c r="H35" s="103">
        <f>G38</f>
        <v>3.3416492446338117</v>
      </c>
      <c r="I35" s="104">
        <f>H38</f>
        <v>11.110168088119057</v>
      </c>
    </row>
    <row r="36" spans="1:9" x14ac:dyDescent="0.2">
      <c r="A36" s="9"/>
      <c r="B36" s="5" t="s">
        <v>25</v>
      </c>
      <c r="C36" s="5"/>
      <c r="D36" s="5"/>
      <c r="E36" s="103">
        <f>'Income Statement and Valuation'!E36</f>
        <v>-0.90097619047619171</v>
      </c>
      <c r="F36" s="103">
        <f>'Income Statement and Valuation'!F36</f>
        <v>0.80719291500000157</v>
      </c>
      <c r="G36" s="103">
        <f>'Income Statement and Valuation'!G36</f>
        <v>3.4354325201100018</v>
      </c>
      <c r="H36" s="103">
        <f>'Income Statement and Valuation'!H36</f>
        <v>7.7685188434852446</v>
      </c>
      <c r="I36" s="104">
        <f>'Income Statement and Valuation'!I36</f>
        <v>11.201581194233011</v>
      </c>
    </row>
    <row r="37" spans="1:9" x14ac:dyDescent="0.2">
      <c r="A37" s="58"/>
      <c r="B37" s="6" t="s">
        <v>72</v>
      </c>
      <c r="C37" s="6"/>
      <c r="D37" s="6"/>
      <c r="E37" s="125">
        <f>'Cash Flows'!E24</f>
        <v>0</v>
      </c>
      <c r="F37" s="125">
        <f>'Cash Flows'!F24</f>
        <v>0</v>
      </c>
      <c r="G37" s="125">
        <f>'Cash Flows'!G24</f>
        <v>0</v>
      </c>
      <c r="H37" s="125">
        <f>'Cash Flows'!H24</f>
        <v>0</v>
      </c>
      <c r="I37" s="126">
        <f>'Cash Flows'!I24</f>
        <v>0</v>
      </c>
    </row>
    <row r="38" spans="1:9" x14ac:dyDescent="0.2">
      <c r="A38" s="9"/>
      <c r="B38" s="5" t="s">
        <v>73</v>
      </c>
      <c r="C38" s="5"/>
      <c r="D38" s="5"/>
      <c r="E38" s="107">
        <f>E35+E36-E37</f>
        <v>-0.90097619047619171</v>
      </c>
      <c r="F38" s="107">
        <f>F35+F36-F37</f>
        <v>-9.3783275476190142E-2</v>
      </c>
      <c r="G38" s="107">
        <f>G35+G36-G37</f>
        <v>3.3416492446338117</v>
      </c>
      <c r="H38" s="107">
        <f>H35+H36-H37</f>
        <v>11.110168088119057</v>
      </c>
      <c r="I38" s="108">
        <f>I35+I36-I37</f>
        <v>22.311749282352068</v>
      </c>
    </row>
    <row r="39" spans="1:9" x14ac:dyDescent="0.2">
      <c r="A39" s="9"/>
      <c r="B39" s="5"/>
      <c r="C39" s="5"/>
      <c r="D39" s="5"/>
      <c r="E39" s="109"/>
      <c r="F39" s="107"/>
      <c r="G39" s="107"/>
      <c r="H39" s="107"/>
      <c r="I39" s="108"/>
    </row>
    <row r="40" spans="1:9" x14ac:dyDescent="0.2">
      <c r="A40" s="70" t="s">
        <v>68</v>
      </c>
      <c r="B40" s="61"/>
      <c r="C40" s="61"/>
      <c r="D40" s="61"/>
      <c r="E40" s="121">
        <f>SUM(E32:E33,E38)</f>
        <v>-0.90097619047619171</v>
      </c>
      <c r="F40" s="122">
        <f>SUM(F32:F33,F38)</f>
        <v>-9.3783275476190142E-2</v>
      </c>
      <c r="G40" s="122">
        <f>SUM(G32:G33,G38)</f>
        <v>3.3416492446338117</v>
      </c>
      <c r="H40" s="122">
        <f>SUM(H32:H33,H38)</f>
        <v>11.110168088119057</v>
      </c>
      <c r="I40" s="123">
        <f>SUM(I32:I33,I38)</f>
        <v>22.311749282352068</v>
      </c>
    </row>
    <row r="41" spans="1:9" x14ac:dyDescent="0.2">
      <c r="A41" s="57"/>
      <c r="B41" s="16"/>
      <c r="C41" s="16"/>
      <c r="D41" s="16"/>
      <c r="E41" s="113"/>
      <c r="F41" s="113"/>
      <c r="G41" s="113"/>
      <c r="H41" s="113"/>
      <c r="I41" s="114"/>
    </row>
    <row r="42" spans="1:9" ht="13.5" thickBot="1" x14ac:dyDescent="0.25">
      <c r="A42" s="347" t="s">
        <v>69</v>
      </c>
      <c r="B42" s="348"/>
      <c r="C42" s="348"/>
      <c r="D42" s="348"/>
      <c r="E42" s="349">
        <f>E40+E30</f>
        <v>-9.1387149380301125E-2</v>
      </c>
      <c r="F42" s="350">
        <f>F40+F30</f>
        <v>1.1479290532909334</v>
      </c>
      <c r="G42" s="350">
        <f>G40+G30</f>
        <v>4.831128696688606</v>
      </c>
      <c r="H42" s="350">
        <f>H40+H30</f>
        <v>12.889934526475221</v>
      </c>
      <c r="I42" s="351">
        <f>I40+I30</f>
        <v>24.431684487831522</v>
      </c>
    </row>
    <row r="43" spans="1:9" ht="7.5" customHeight="1" x14ac:dyDescent="0.2">
      <c r="A43" s="5"/>
      <c r="B43" s="5"/>
      <c r="C43" s="5"/>
      <c r="D43" s="5"/>
      <c r="E43" s="109"/>
      <c r="F43" s="109"/>
      <c r="G43" s="109"/>
      <c r="H43" s="109"/>
      <c r="I43" s="109"/>
    </row>
    <row r="44" spans="1:9" x14ac:dyDescent="0.2">
      <c r="A44" s="5" t="s">
        <v>75</v>
      </c>
      <c r="B44" s="5"/>
      <c r="C44" s="5"/>
      <c r="D44" s="5"/>
      <c r="E44" s="109">
        <f>E19-E42</f>
        <v>0</v>
      </c>
      <c r="F44" s="109">
        <f>F19-F42</f>
        <v>0</v>
      </c>
      <c r="G44" s="109">
        <f>G19-G42</f>
        <v>0</v>
      </c>
      <c r="H44" s="109">
        <f>H19-H42</f>
        <v>0</v>
      </c>
      <c r="I44" s="109">
        <f>I19-I42</f>
        <v>0</v>
      </c>
    </row>
    <row r="45" spans="1:9" ht="5.25" customHeight="1" x14ac:dyDescent="0.2">
      <c r="A45" s="5"/>
      <c r="B45" s="5"/>
      <c r="C45" s="5"/>
      <c r="D45" s="5"/>
      <c r="E45" s="109"/>
      <c r="F45" s="109"/>
      <c r="G45" s="346"/>
      <c r="H45" s="346"/>
      <c r="I45" s="346"/>
    </row>
    <row r="46" spans="1:9" x14ac:dyDescent="0.2">
      <c r="G46" s="17"/>
      <c r="H46" s="17"/>
      <c r="I46" s="17"/>
    </row>
    <row r="47" spans="1:9" x14ac:dyDescent="0.2">
      <c r="G47" s="17"/>
    </row>
    <row r="48" spans="1:9" x14ac:dyDescent="0.2">
      <c r="E48" s="109"/>
      <c r="F48" s="109"/>
      <c r="G48" s="109"/>
      <c r="H48" s="109"/>
    </row>
    <row r="49" spans="1:8" x14ac:dyDescent="0.2">
      <c r="A49" s="1"/>
      <c r="E49" s="109"/>
      <c r="F49" s="109"/>
      <c r="G49" s="109"/>
      <c r="H49" s="109"/>
    </row>
    <row r="50" spans="1:8" x14ac:dyDescent="0.2">
      <c r="A50" s="3"/>
    </row>
    <row r="51" spans="1:8" x14ac:dyDescent="0.2">
      <c r="A51" s="3"/>
    </row>
  </sheetData>
  <pageMargins left="0.75" right="0.75" top="1" bottom="1" header="0.5" footer="0.5"/>
  <pageSetup scale="8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46"/>
  <sheetViews>
    <sheetView zoomScale="70" workbookViewId="0"/>
  </sheetViews>
  <sheetFormatPr defaultRowHeight="12.75" x14ac:dyDescent="0.2"/>
  <cols>
    <col min="1" max="1" width="6.85546875" customWidth="1"/>
    <col min="4" max="4" width="16" customWidth="1"/>
    <col min="5" max="5" width="13.42578125" bestFit="1" customWidth="1"/>
    <col min="6" max="6" width="14.85546875" bestFit="1" customWidth="1"/>
    <col min="7" max="9" width="13.85546875" bestFit="1" customWidth="1"/>
    <col min="10" max="10" width="10.28515625" bestFit="1" customWidth="1"/>
  </cols>
  <sheetData>
    <row r="1" spans="1:9" x14ac:dyDescent="0.2">
      <c r="A1" s="34" t="str">
        <f>'Model Assumptions'!A1</f>
        <v>DealBench</v>
      </c>
      <c r="B1" s="35"/>
      <c r="C1" s="35"/>
      <c r="D1" s="35"/>
      <c r="E1" s="35"/>
      <c r="F1" s="35"/>
      <c r="G1" s="35"/>
      <c r="H1" s="35"/>
      <c r="I1" s="35"/>
    </row>
    <row r="2" spans="1:9" x14ac:dyDescent="0.2">
      <c r="A2" s="37" t="s">
        <v>80</v>
      </c>
      <c r="B2" s="38"/>
      <c r="C2" s="38"/>
      <c r="D2" s="38"/>
      <c r="E2" s="38"/>
      <c r="F2" s="38"/>
      <c r="G2" s="38"/>
      <c r="H2" s="38"/>
      <c r="I2" s="38"/>
    </row>
    <row r="3" spans="1:9" ht="13.5" thickBot="1" x14ac:dyDescent="0.25">
      <c r="A3" s="40" t="s">
        <v>86</v>
      </c>
      <c r="B3" s="41"/>
      <c r="C3" s="41"/>
      <c r="D3" s="41"/>
      <c r="E3" s="41"/>
      <c r="F3" s="41"/>
      <c r="G3" s="41"/>
      <c r="H3" s="41"/>
      <c r="I3" s="41"/>
    </row>
    <row r="5" spans="1:9" ht="13.5" thickBot="1" x14ac:dyDescent="0.25"/>
    <row r="6" spans="1:9" ht="18.75" thickBot="1" x14ac:dyDescent="0.3">
      <c r="A6" s="335" t="s">
        <v>230</v>
      </c>
      <c r="B6" s="263"/>
      <c r="C6" s="263"/>
      <c r="D6" s="263"/>
      <c r="E6" s="336"/>
      <c r="F6" s="263"/>
      <c r="G6" s="263"/>
      <c r="H6" s="263"/>
      <c r="I6" s="334"/>
    </row>
    <row r="7" spans="1:9" x14ac:dyDescent="0.2">
      <c r="A7" s="54" t="s">
        <v>81</v>
      </c>
      <c r="B7" s="55"/>
      <c r="C7" s="55"/>
      <c r="D7" s="55"/>
      <c r="E7" s="55">
        <v>2001</v>
      </c>
      <c r="F7" s="55">
        <f>E7+1</f>
        <v>2002</v>
      </c>
      <c r="G7" s="55">
        <f>F7+1</f>
        <v>2003</v>
      </c>
      <c r="H7" s="55">
        <f>G7+1</f>
        <v>2004</v>
      </c>
      <c r="I7" s="56">
        <f>H7+1</f>
        <v>2005</v>
      </c>
    </row>
    <row r="8" spans="1:9" x14ac:dyDescent="0.2">
      <c r="A8" s="9"/>
      <c r="B8" s="5"/>
      <c r="C8" s="5"/>
      <c r="D8" s="5"/>
      <c r="E8" s="33"/>
      <c r="F8" s="33"/>
      <c r="G8" s="33"/>
      <c r="H8" s="33"/>
      <c r="I8" s="53"/>
    </row>
    <row r="9" spans="1:9" x14ac:dyDescent="0.2">
      <c r="A9" s="68" t="s">
        <v>26</v>
      </c>
      <c r="B9" s="62"/>
      <c r="C9" s="62"/>
      <c r="D9" s="62"/>
      <c r="E9" s="62"/>
      <c r="F9" s="62"/>
      <c r="G9" s="62"/>
      <c r="H9" s="62"/>
      <c r="I9" s="69"/>
    </row>
    <row r="10" spans="1:9" x14ac:dyDescent="0.2">
      <c r="A10" s="9"/>
      <c r="B10" s="5"/>
      <c r="C10" s="5"/>
      <c r="D10" s="5"/>
      <c r="E10" s="5"/>
      <c r="F10" s="5"/>
      <c r="G10" s="48"/>
      <c r="H10" s="48"/>
      <c r="I10" s="49"/>
    </row>
    <row r="11" spans="1:9" x14ac:dyDescent="0.2">
      <c r="A11" s="9"/>
      <c r="B11" s="5" t="s">
        <v>25</v>
      </c>
      <c r="C11" s="5"/>
      <c r="D11" s="5"/>
      <c r="E11" s="91">
        <f>+'Income Statement and Valuation'!E36</f>
        <v>-0.90097619047619171</v>
      </c>
      <c r="F11" s="107">
        <f>'Income Statement and Valuation'!F36</f>
        <v>0.80719291500000157</v>
      </c>
      <c r="G11" s="107">
        <f>'Income Statement and Valuation'!G36</f>
        <v>3.4354325201100018</v>
      </c>
      <c r="H11" s="107">
        <f>'Income Statement and Valuation'!H36</f>
        <v>7.7685188434852446</v>
      </c>
      <c r="I11" s="108">
        <f>'Income Statement and Valuation'!I36</f>
        <v>11.201581194233011</v>
      </c>
    </row>
    <row r="12" spans="1:9" x14ac:dyDescent="0.2">
      <c r="A12" s="9"/>
      <c r="B12" s="5" t="s">
        <v>29</v>
      </c>
      <c r="C12" s="5"/>
      <c r="D12" s="5"/>
      <c r="E12" s="103">
        <f>-'Model Assumptions'!F116</f>
        <v>0.39047619047619048</v>
      </c>
      <c r="F12" s="103">
        <f>-'Model Assumptions'!H116</f>
        <v>0.40476190476190477</v>
      </c>
      <c r="G12" s="103">
        <f>-'Model Assumptions'!J116</f>
        <v>0.40476190476190477</v>
      </c>
      <c r="H12" s="103">
        <f>-'Model Assumptions'!L116</f>
        <v>7.1428571428571425E-2</v>
      </c>
      <c r="I12" s="108">
        <f>-'Model Assumptions'!N116</f>
        <v>7.1428571428571425E-2</v>
      </c>
    </row>
    <row r="13" spans="1:9" x14ac:dyDescent="0.2">
      <c r="A13" s="9"/>
      <c r="B13" s="5" t="s">
        <v>28</v>
      </c>
      <c r="C13" s="5"/>
      <c r="D13" s="5"/>
      <c r="E13" s="125">
        <f>+E43</f>
        <v>-0.34185616438356137</v>
      </c>
      <c r="F13" s="125">
        <f>F43</f>
        <v>-0.48686554109589109</v>
      </c>
      <c r="G13" s="125">
        <f>G43</f>
        <v>-0.63821616538356163</v>
      </c>
      <c r="H13" s="125">
        <f>H43</f>
        <v>-0.95200970124760143</v>
      </c>
      <c r="I13" s="126">
        <f>I43</f>
        <v>-0.84191654613459255</v>
      </c>
    </row>
    <row r="14" spans="1:9" x14ac:dyDescent="0.2">
      <c r="A14" s="9"/>
      <c r="B14" s="5"/>
      <c r="C14" s="5" t="s">
        <v>18</v>
      </c>
      <c r="D14" s="5"/>
      <c r="E14" s="91">
        <f>SUM(E11:E13)</f>
        <v>-0.85235616438356265</v>
      </c>
      <c r="F14" s="109">
        <f>SUM(F11:F13)</f>
        <v>0.72508927866601525</v>
      </c>
      <c r="G14" s="109">
        <f>SUM(G11:G13)</f>
        <v>3.201978259488345</v>
      </c>
      <c r="H14" s="109">
        <f>SUM(H11:H13)</f>
        <v>6.8879377136662141</v>
      </c>
      <c r="I14" s="110">
        <f>SUM(I11:I13)</f>
        <v>10.431093219526989</v>
      </c>
    </row>
    <row r="15" spans="1:9" x14ac:dyDescent="0.2">
      <c r="A15" s="9"/>
      <c r="B15" s="5"/>
      <c r="C15" s="5"/>
      <c r="D15" s="5"/>
      <c r="E15" s="84"/>
      <c r="F15" s="84"/>
      <c r="G15" s="84"/>
      <c r="H15" s="84"/>
      <c r="I15" s="85"/>
    </row>
    <row r="16" spans="1:9" x14ac:dyDescent="0.2">
      <c r="A16" s="68" t="s">
        <v>34</v>
      </c>
      <c r="B16" s="62"/>
      <c r="C16" s="62"/>
      <c r="D16" s="62"/>
      <c r="E16" s="86"/>
      <c r="F16" s="86"/>
      <c r="G16" s="86"/>
      <c r="H16" s="86"/>
      <c r="I16" s="87"/>
    </row>
    <row r="17" spans="1:9" x14ac:dyDescent="0.2">
      <c r="A17" s="9"/>
      <c r="B17" s="5"/>
      <c r="C17" s="5"/>
      <c r="D17" s="5"/>
      <c r="E17" s="84"/>
      <c r="F17" s="84"/>
      <c r="G17" s="84"/>
      <c r="H17" s="84"/>
      <c r="I17" s="85"/>
    </row>
    <row r="18" spans="1:9" x14ac:dyDescent="0.2">
      <c r="A18" s="9"/>
      <c r="B18" s="5" t="s">
        <v>35</v>
      </c>
      <c r="C18" s="5"/>
      <c r="D18" s="5"/>
      <c r="E18" s="91">
        <f>-'Model Assumptions'!F96</f>
        <v>-1.4</v>
      </c>
      <c r="F18" s="91">
        <f>-'Model Assumptions'!H96</f>
        <v>-0.1</v>
      </c>
      <c r="G18" s="91">
        <f>-'Model Assumptions'!I96</f>
        <v>0</v>
      </c>
      <c r="H18" s="91">
        <f>-'Model Assumptions'!J96</f>
        <v>0</v>
      </c>
      <c r="I18" s="108">
        <f>-'Model Assumptions'!K96</f>
        <v>0</v>
      </c>
    </row>
    <row r="19" spans="1:9" x14ac:dyDescent="0.2">
      <c r="A19" s="9"/>
      <c r="B19" s="5"/>
      <c r="C19" s="5"/>
      <c r="D19" s="5"/>
      <c r="E19" s="109"/>
      <c r="F19" s="109"/>
      <c r="G19" s="109"/>
      <c r="H19" s="109"/>
      <c r="I19" s="110"/>
    </row>
    <row r="20" spans="1:9" x14ac:dyDescent="0.2">
      <c r="A20" s="68" t="s">
        <v>36</v>
      </c>
      <c r="B20" s="62"/>
      <c r="C20" s="62"/>
      <c r="D20" s="62"/>
      <c r="E20" s="127"/>
      <c r="F20" s="127"/>
      <c r="G20" s="127"/>
      <c r="H20" s="127"/>
      <c r="I20" s="128"/>
    </row>
    <row r="21" spans="1:9" x14ac:dyDescent="0.2">
      <c r="A21" s="9"/>
      <c r="B21" s="5"/>
      <c r="C21" s="5"/>
      <c r="D21" s="5"/>
      <c r="E21" s="109"/>
      <c r="F21" s="109"/>
      <c r="G21" s="109"/>
      <c r="H21" s="109"/>
      <c r="I21" s="110"/>
    </row>
    <row r="22" spans="1:9" x14ac:dyDescent="0.2">
      <c r="A22" s="9"/>
      <c r="B22" s="5" t="s">
        <v>37</v>
      </c>
      <c r="C22" s="5"/>
      <c r="D22" s="5"/>
      <c r="E22" s="109"/>
      <c r="F22" s="109"/>
      <c r="G22" s="109"/>
      <c r="H22" s="109"/>
      <c r="I22" s="110"/>
    </row>
    <row r="23" spans="1:9" x14ac:dyDescent="0.2">
      <c r="A23" s="9"/>
      <c r="B23" s="5" t="s">
        <v>38</v>
      </c>
      <c r="C23" s="5"/>
      <c r="D23" s="5"/>
      <c r="E23" s="107">
        <v>0</v>
      </c>
      <c r="F23" s="107">
        <v>0</v>
      </c>
      <c r="G23" s="107">
        <v>0</v>
      </c>
      <c r="H23" s="107">
        <v>0</v>
      </c>
      <c r="I23" s="108">
        <v>0</v>
      </c>
    </row>
    <row r="24" spans="1:9" x14ac:dyDescent="0.2">
      <c r="A24" s="9"/>
      <c r="B24" s="5" t="s">
        <v>70</v>
      </c>
      <c r="C24" s="5"/>
      <c r="D24" s="5"/>
      <c r="E24" s="107">
        <v>0</v>
      </c>
      <c r="F24" s="107">
        <v>0</v>
      </c>
      <c r="G24" s="107">
        <v>0</v>
      </c>
      <c r="H24" s="107">
        <v>0</v>
      </c>
      <c r="I24" s="108">
        <v>0</v>
      </c>
    </row>
    <row r="25" spans="1:9" x14ac:dyDescent="0.2">
      <c r="A25" s="9"/>
      <c r="B25" s="5" t="s">
        <v>39</v>
      </c>
      <c r="C25" s="5"/>
      <c r="D25" s="5"/>
      <c r="E25" s="109">
        <v>0</v>
      </c>
      <c r="F25" s="109">
        <v>0</v>
      </c>
      <c r="G25" s="109">
        <v>0</v>
      </c>
      <c r="H25" s="109">
        <v>0</v>
      </c>
      <c r="I25" s="110">
        <v>0</v>
      </c>
    </row>
    <row r="26" spans="1:9" x14ac:dyDescent="0.2">
      <c r="A26" s="9"/>
      <c r="B26" s="5" t="s">
        <v>40</v>
      </c>
      <c r="C26" s="5"/>
      <c r="D26" s="5"/>
      <c r="E26" s="117">
        <v>0</v>
      </c>
      <c r="F26" s="117">
        <v>0</v>
      </c>
      <c r="G26" s="117">
        <v>0</v>
      </c>
      <c r="H26" s="117"/>
      <c r="I26" s="118">
        <v>0</v>
      </c>
    </row>
    <row r="27" spans="1:9" x14ac:dyDescent="0.2">
      <c r="A27" s="9"/>
      <c r="B27" s="5"/>
      <c r="C27" s="5" t="s">
        <v>18</v>
      </c>
      <c r="D27" s="5"/>
      <c r="E27" s="91">
        <f>SUM(E23:E26)</f>
        <v>0</v>
      </c>
      <c r="F27" s="109">
        <f>SUM(F23:F26)</f>
        <v>0</v>
      </c>
      <c r="G27" s="109">
        <f>SUM(G23:G26)</f>
        <v>0</v>
      </c>
      <c r="H27" s="109">
        <f>SUM(H23:H26)</f>
        <v>0</v>
      </c>
      <c r="I27" s="110">
        <f>SUM(I23:I26)</f>
        <v>0</v>
      </c>
    </row>
    <row r="28" spans="1:9" x14ac:dyDescent="0.2">
      <c r="A28" s="9"/>
      <c r="B28" s="5"/>
      <c r="C28" s="5"/>
      <c r="D28" s="5"/>
      <c r="E28" s="84"/>
      <c r="F28" s="84"/>
      <c r="G28" s="84"/>
      <c r="H28" s="84"/>
      <c r="I28" s="85"/>
    </row>
    <row r="29" spans="1:9" ht="13.5" thickBot="1" x14ac:dyDescent="0.25">
      <c r="A29" s="68" t="s">
        <v>41</v>
      </c>
      <c r="B29" s="62"/>
      <c r="C29" s="62"/>
      <c r="D29" s="62"/>
      <c r="E29" s="129">
        <f>+E27+E18+E14</f>
        <v>-2.2523561643835626</v>
      </c>
      <c r="F29" s="129">
        <f>+F27+F18+F14</f>
        <v>0.62508927866601527</v>
      </c>
      <c r="G29" s="129">
        <f>+G27+G18+G14</f>
        <v>3.201978259488345</v>
      </c>
      <c r="H29" s="129">
        <f>+H27+H18+H14</f>
        <v>6.8879377136662141</v>
      </c>
      <c r="I29" s="249">
        <f>+I27+I18+I14</f>
        <v>10.431093219526989</v>
      </c>
    </row>
    <row r="30" spans="1:9" ht="13.5" thickTop="1" x14ac:dyDescent="0.2">
      <c r="A30" s="9"/>
      <c r="B30" s="5"/>
      <c r="C30" s="5"/>
      <c r="D30" s="5"/>
      <c r="E30" s="109"/>
      <c r="F30" s="109"/>
      <c r="G30" s="109"/>
      <c r="H30" s="109"/>
      <c r="I30" s="110"/>
    </row>
    <row r="31" spans="1:9" ht="13.5" thickBot="1" x14ac:dyDescent="0.25">
      <c r="A31" s="151" t="s">
        <v>76</v>
      </c>
      <c r="B31" s="152"/>
      <c r="C31" s="152"/>
      <c r="D31" s="152"/>
      <c r="E31" s="153">
        <f>E29</f>
        <v>-2.2523561643835626</v>
      </c>
      <c r="F31" s="154">
        <f>F29+E31</f>
        <v>-1.6272668857175474</v>
      </c>
      <c r="G31" s="154">
        <f>G29+F31</f>
        <v>1.5747113737707976</v>
      </c>
      <c r="H31" s="154">
        <f>H29+G31</f>
        <v>8.4626490874370113</v>
      </c>
      <c r="I31" s="155">
        <f>I29+H31</f>
        <v>18.893742306964</v>
      </c>
    </row>
    <row r="32" spans="1:9" x14ac:dyDescent="0.2">
      <c r="A32" s="9"/>
      <c r="B32" s="5"/>
      <c r="C32" s="5"/>
      <c r="D32" s="5"/>
      <c r="E32" s="84"/>
      <c r="F32" s="84"/>
      <c r="G32" s="84"/>
      <c r="H32" s="84"/>
      <c r="I32" s="84"/>
    </row>
    <row r="35" spans="1:10" x14ac:dyDescent="0.2">
      <c r="A35" s="296" t="s">
        <v>30</v>
      </c>
      <c r="B35" s="4"/>
      <c r="C35" s="4"/>
      <c r="D35" s="4"/>
      <c r="E35" s="4"/>
      <c r="F35" s="4"/>
      <c r="G35" s="4"/>
      <c r="H35" s="4"/>
      <c r="I35" s="188"/>
    </row>
    <row r="36" spans="1:10" x14ac:dyDescent="0.2">
      <c r="A36" s="281"/>
      <c r="B36" s="282"/>
      <c r="C36" s="282"/>
      <c r="D36" s="282" t="s">
        <v>33</v>
      </c>
      <c r="E36" s="282"/>
      <c r="F36" s="282" t="s">
        <v>78</v>
      </c>
      <c r="G36" s="282"/>
      <c r="H36" s="282"/>
      <c r="I36" s="283"/>
    </row>
    <row r="37" spans="1:10" x14ac:dyDescent="0.2">
      <c r="A37" s="281"/>
      <c r="B37" s="282" t="s">
        <v>31</v>
      </c>
      <c r="C37" s="282"/>
      <c r="D37" s="282">
        <v>45</v>
      </c>
      <c r="E37" s="284">
        <f>'Income Statement and Valuation'!E12/(365/$D37)</f>
        <v>1.1514452054794519</v>
      </c>
      <c r="F37" s="284">
        <f>'Income Statement and Valuation'!F12/(365/$D37)</f>
        <v>2.0704340342465759</v>
      </c>
      <c r="G37" s="284">
        <f>'Income Statement and Valuation'!G12/(365/$D37)</f>
        <v>2.9564173229178086</v>
      </c>
      <c r="H37" s="284">
        <f>'Income Statement and Valuation'!H12/(365/$D37)</f>
        <v>4.1987140104667802</v>
      </c>
      <c r="I37" s="285">
        <f>'Income Statement and Valuation'!I12/(365/$D37)</f>
        <v>5.380799323724661</v>
      </c>
    </row>
    <row r="38" spans="1:10" x14ac:dyDescent="0.2">
      <c r="A38" s="281"/>
      <c r="B38" s="282" t="s">
        <v>32</v>
      </c>
      <c r="C38" s="282"/>
      <c r="D38" s="282">
        <v>30</v>
      </c>
      <c r="E38" s="284">
        <f>-SUM('Income Statement and Valuation'!E15+'Income Statement and Valuation'!E16+'Income Statement and Valuation'!E17+'Income Statement and Valuation'!E21+'Income Statement and Valuation'!E22)/(365/'Cash Flows'!$D$38)</f>
        <v>0.80958904109589058</v>
      </c>
      <c r="F38" s="284">
        <f>-SUM('Income Statement and Valuation'!F15+'Income Statement and Valuation'!F16+'Income Statement and Valuation'!F17+'Income Statement and Valuation'!F21+'Income Statement and Valuation'!F22)/(365/'Cash Flows'!$D$38)</f>
        <v>1.2417123287671235</v>
      </c>
      <c r="G38" s="284">
        <f>-SUM('Income Statement and Valuation'!G15+'Income Statement and Valuation'!G16+'Income Statement and Valuation'!G17+'Income Statement and Valuation'!G21+'Income Statement and Valuation'!G22)/(365/'Cash Flows'!$D$38)</f>
        <v>1.4894794520547945</v>
      </c>
      <c r="H38" s="284">
        <f>-SUM('Income Statement and Valuation'!H15+'Income Statement and Valuation'!H16+'Income Statement and Valuation'!H17+'Income Statement and Valuation'!H21+'Income Statement and Valuation'!H22)/(365/'Cash Flows'!$D$38)</f>
        <v>1.7797664383561647</v>
      </c>
      <c r="I38" s="285">
        <f>-SUM('Income Statement and Valuation'!I15+'Income Statement and Valuation'!I16+'Income Statement and Valuation'!I17+'Income Statement and Valuation'!I21+'Income Statement and Valuation'!I22)/(365/'Cash Flows'!$D$38)</f>
        <v>2.1199352054794529</v>
      </c>
    </row>
    <row r="39" spans="1:10" ht="6.75" customHeight="1" x14ac:dyDescent="0.2">
      <c r="A39" s="281"/>
      <c r="B39" s="282"/>
      <c r="C39" s="282"/>
      <c r="D39" s="282"/>
      <c r="E39" s="282"/>
      <c r="F39" s="286"/>
      <c r="G39" s="286"/>
      <c r="H39" s="286"/>
      <c r="I39" s="287"/>
    </row>
    <row r="40" spans="1:10" x14ac:dyDescent="0.2">
      <c r="A40" s="281"/>
      <c r="B40" s="288" t="s">
        <v>28</v>
      </c>
      <c r="C40" s="282"/>
      <c r="D40" s="282"/>
      <c r="E40" s="282"/>
      <c r="F40" s="286"/>
      <c r="G40" s="286"/>
      <c r="H40" s="286"/>
      <c r="I40" s="287"/>
    </row>
    <row r="41" spans="1:10" x14ac:dyDescent="0.2">
      <c r="A41" s="281"/>
      <c r="B41" s="282" t="s">
        <v>185</v>
      </c>
      <c r="C41" s="282"/>
      <c r="D41" s="282"/>
      <c r="E41" s="284">
        <f>D41-E37</f>
        <v>-1.1514452054794519</v>
      </c>
      <c r="F41" s="284">
        <f>+E37-F37</f>
        <v>-0.91898882876712396</v>
      </c>
      <c r="G41" s="284">
        <f>+F37-G37</f>
        <v>-0.88598328867123266</v>
      </c>
      <c r="H41" s="284">
        <f>+G37-H37</f>
        <v>-1.2422966875489716</v>
      </c>
      <c r="I41" s="285">
        <f>+H37-I37</f>
        <v>-1.1820853132578808</v>
      </c>
      <c r="J41" s="245"/>
    </row>
    <row r="42" spans="1:10" x14ac:dyDescent="0.2">
      <c r="A42" s="281"/>
      <c r="B42" s="282" t="s">
        <v>186</v>
      </c>
      <c r="C42" s="282"/>
      <c r="D42" s="282"/>
      <c r="E42" s="289">
        <f>D42+E38</f>
        <v>0.80958904109589058</v>
      </c>
      <c r="F42" s="289">
        <f>+F38-E38</f>
        <v>0.43212328767123287</v>
      </c>
      <c r="G42" s="289">
        <f>+G38-F38</f>
        <v>0.24776712328767103</v>
      </c>
      <c r="H42" s="289">
        <f>+H38-G38</f>
        <v>0.29028698630137018</v>
      </c>
      <c r="I42" s="290">
        <f>+I38-H38</f>
        <v>0.34016876712328825</v>
      </c>
      <c r="J42" s="245"/>
    </row>
    <row r="43" spans="1:10" x14ac:dyDescent="0.2">
      <c r="A43" s="281"/>
      <c r="B43" s="282" t="s">
        <v>187</v>
      </c>
      <c r="C43" s="282"/>
      <c r="D43" s="282"/>
      <c r="E43" s="291">
        <f>E41+E42</f>
        <v>-0.34185616438356137</v>
      </c>
      <c r="F43" s="291">
        <f>F41+F42</f>
        <v>-0.48686554109589109</v>
      </c>
      <c r="G43" s="291">
        <f>G41+G42</f>
        <v>-0.63821616538356163</v>
      </c>
      <c r="H43" s="291">
        <f>H41+H42</f>
        <v>-0.95200970124760143</v>
      </c>
      <c r="I43" s="292">
        <f>I41+I42</f>
        <v>-0.84191654613459255</v>
      </c>
      <c r="J43" s="245"/>
    </row>
    <row r="44" spans="1:10" ht="6.75" customHeight="1" x14ac:dyDescent="0.2">
      <c r="A44" s="281"/>
      <c r="B44" s="282"/>
      <c r="C44" s="282"/>
      <c r="D44" s="282"/>
      <c r="E44" s="282"/>
      <c r="F44" s="282"/>
      <c r="G44" s="282"/>
      <c r="H44" s="282"/>
      <c r="I44" s="283"/>
    </row>
    <row r="45" spans="1:10" x14ac:dyDescent="0.2">
      <c r="A45" s="281"/>
      <c r="B45" s="282" t="s">
        <v>77</v>
      </c>
      <c r="C45" s="282"/>
      <c r="D45" s="282"/>
      <c r="E45" s="291">
        <f>E12</f>
        <v>0.39047619047619048</v>
      </c>
      <c r="F45" s="291">
        <f>E45+F12</f>
        <v>0.7952380952380953</v>
      </c>
      <c r="G45" s="291">
        <f>F45+G12</f>
        <v>1.2000000000000002</v>
      </c>
      <c r="H45" s="291">
        <f>G45+H12</f>
        <v>1.2714285714285716</v>
      </c>
      <c r="I45" s="292">
        <f>H45+I12</f>
        <v>1.342857142857143</v>
      </c>
    </row>
    <row r="46" spans="1:10" x14ac:dyDescent="0.2">
      <c r="A46" s="293"/>
      <c r="B46" s="294"/>
      <c r="C46" s="294"/>
      <c r="D46" s="294"/>
      <c r="E46" s="294"/>
      <c r="F46" s="294"/>
      <c r="G46" s="294"/>
      <c r="H46" s="294"/>
      <c r="I46" s="295"/>
    </row>
  </sheetData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Market Size</vt:lpstr>
      <vt:lpstr>Model Assumptions</vt:lpstr>
      <vt:lpstr>Income Statement and Valuation</vt:lpstr>
      <vt:lpstr>Balance Sheet</vt:lpstr>
      <vt:lpstr>Cash Flows</vt:lpstr>
      <vt:lpstr>'Balance Sheet'!Print_Area</vt:lpstr>
      <vt:lpstr>'Cash Flows'!Print_Area</vt:lpstr>
      <vt:lpstr>'Income Statement and Valuation'!Print_Area</vt:lpstr>
      <vt:lpstr>'Market Size'!Print_Area</vt:lpstr>
      <vt:lpstr>'Model Assumptions'!Print_Area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libasco</dc:creator>
  <cp:lastModifiedBy>Jan Havlíček</cp:lastModifiedBy>
  <cp:lastPrinted>2000-12-10T20:52:23Z</cp:lastPrinted>
  <dcterms:created xsi:type="dcterms:W3CDTF">2000-06-02T01:40:27Z</dcterms:created>
  <dcterms:modified xsi:type="dcterms:W3CDTF">2023-09-10T18:46:38Z</dcterms:modified>
</cp:coreProperties>
</file>