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57EEAD3-6B3F-4271-A955-3F40144E0C55}" xr6:coauthVersionLast="47" xr6:coauthVersionMax="47" xr10:uidLastSave="{00000000-0000-0000-0000-000000000000}"/>
  <bookViews>
    <workbookView xWindow="-120" yWindow="-120" windowWidth="23280" windowHeight="12480"/>
  </bookViews>
  <sheets>
    <sheet name="Pricing" sheetId="1" r:id="rId1"/>
    <sheet name="Put Pricing" sheetId="4" r:id="rId2"/>
    <sheet name="Sheet2" sheetId="2" r:id="rId3"/>
    <sheet name="Sheet3" sheetId="3" r:id="rId4"/>
  </sheets>
  <calcPr calcId="0"/>
</workbook>
</file>

<file path=xl/calcChain.xml><?xml version="1.0" encoding="utf-8"?>
<calcChain xmlns="http://schemas.openxmlformats.org/spreadsheetml/2006/main">
  <c r="G4" i="1" l="1"/>
  <c r="K4" i="1"/>
  <c r="I5" i="1"/>
  <c r="K5" i="1"/>
  <c r="A7" i="1"/>
  <c r="G7" i="1"/>
  <c r="I7" i="1"/>
  <c r="K7" i="1"/>
  <c r="A8" i="1"/>
  <c r="G8" i="1"/>
  <c r="I8" i="1"/>
  <c r="K8" i="1"/>
  <c r="A9" i="1"/>
  <c r="G9" i="1"/>
  <c r="I9" i="1"/>
  <c r="K9" i="1"/>
  <c r="A10" i="1"/>
  <c r="G10" i="1"/>
  <c r="I10" i="1"/>
  <c r="K10" i="1"/>
  <c r="A11" i="1"/>
  <c r="G11" i="1"/>
  <c r="I11" i="1"/>
  <c r="K11" i="1"/>
  <c r="A12" i="1"/>
  <c r="G12" i="1"/>
  <c r="I12" i="1"/>
  <c r="K12" i="1"/>
  <c r="A13" i="1"/>
  <c r="G13" i="1"/>
  <c r="I13" i="1"/>
  <c r="K13" i="1"/>
  <c r="A14" i="1"/>
  <c r="G14" i="1"/>
  <c r="I14" i="1"/>
  <c r="K14" i="1"/>
  <c r="A15" i="1"/>
  <c r="G15" i="1"/>
  <c r="I15" i="1"/>
  <c r="K15" i="1"/>
  <c r="E16" i="1"/>
  <c r="G16" i="1"/>
  <c r="I16" i="1"/>
  <c r="K16" i="1"/>
  <c r="A1" i="4"/>
  <c r="A2" i="4"/>
  <c r="B6" i="4"/>
  <c r="B13" i="4"/>
  <c r="B18" i="4"/>
  <c r="C18" i="4"/>
  <c r="D18" i="4"/>
  <c r="E18" i="4"/>
  <c r="B19" i="4"/>
  <c r="C19" i="4"/>
  <c r="D19" i="4"/>
  <c r="E19" i="4"/>
  <c r="B21" i="4"/>
  <c r="C21" i="4"/>
  <c r="D21" i="4"/>
  <c r="E21" i="4"/>
  <c r="B22" i="4"/>
  <c r="C22" i="4"/>
  <c r="D22" i="4"/>
  <c r="E22" i="4"/>
  <c r="D25" i="4"/>
  <c r="G25" i="4"/>
  <c r="B26" i="4"/>
  <c r="D26" i="4"/>
  <c r="G26" i="4"/>
  <c r="K26" i="4"/>
  <c r="A27" i="4"/>
  <c r="B27" i="4"/>
  <c r="D27" i="4"/>
  <c r="G27" i="4"/>
  <c r="K27" i="4"/>
  <c r="A28" i="4"/>
  <c r="B28" i="4"/>
  <c r="D28" i="4"/>
  <c r="G28" i="4"/>
  <c r="K28" i="4"/>
  <c r="A29" i="4"/>
  <c r="B29" i="4"/>
  <c r="D29" i="4"/>
  <c r="G29" i="4"/>
  <c r="K29" i="4"/>
  <c r="A30" i="4"/>
  <c r="B30" i="4"/>
  <c r="D30" i="4"/>
  <c r="G30" i="4"/>
  <c r="K30" i="4"/>
  <c r="A31" i="4"/>
  <c r="B31" i="4"/>
  <c r="D31" i="4"/>
  <c r="G31" i="4"/>
  <c r="K31" i="4"/>
  <c r="A32" i="4"/>
  <c r="B32" i="4"/>
  <c r="D32" i="4"/>
  <c r="G32" i="4"/>
  <c r="K32" i="4"/>
  <c r="A33" i="4"/>
  <c r="B33" i="4"/>
  <c r="D33" i="4"/>
  <c r="G33" i="4"/>
  <c r="K33" i="4"/>
  <c r="A34" i="4"/>
  <c r="B34" i="4"/>
  <c r="D34" i="4"/>
  <c r="G34" i="4"/>
  <c r="K34" i="4"/>
  <c r="A35" i="4"/>
  <c r="B35" i="4"/>
  <c r="D35" i="4"/>
  <c r="G35" i="4"/>
  <c r="K35" i="4"/>
  <c r="A36" i="4"/>
  <c r="B36" i="4"/>
  <c r="D36" i="4"/>
  <c r="G36" i="4"/>
  <c r="K36" i="4"/>
  <c r="A37" i="4"/>
  <c r="B37" i="4"/>
  <c r="D37" i="4"/>
  <c r="G37" i="4"/>
  <c r="K37" i="4"/>
  <c r="A38" i="4"/>
  <c r="B38" i="4"/>
  <c r="D38" i="4"/>
  <c r="G38" i="4"/>
  <c r="K38" i="4"/>
  <c r="A39" i="4"/>
  <c r="B39" i="4"/>
  <c r="D39" i="4"/>
  <c r="G39" i="4"/>
  <c r="K39" i="4"/>
</calcChain>
</file>

<file path=xl/sharedStrings.xml><?xml version="1.0" encoding="utf-8"?>
<sst xmlns="http://schemas.openxmlformats.org/spreadsheetml/2006/main" count="41" uniqueCount="35">
  <si>
    <t>($/NT)</t>
  </si>
  <si>
    <t>Expiration Date</t>
  </si>
  <si>
    <t>Hot Rolled Coil</t>
  </si>
  <si>
    <t>Cold Rolled Coil</t>
  </si>
  <si>
    <t>HD Galv. Coil</t>
  </si>
  <si>
    <t>Yes</t>
  </si>
  <si>
    <t>No</t>
  </si>
  <si>
    <t>PRICING ASSUMPTIONS</t>
  </si>
  <si>
    <t>Product:</t>
  </si>
  <si>
    <t>Spot Price:</t>
  </si>
  <si>
    <t>Is Spot Price a Forward Price?:</t>
  </si>
  <si>
    <t>Cost Of Carry:</t>
  </si>
  <si>
    <t>Strike Price:</t>
  </si>
  <si>
    <t>Implied Volatility:</t>
  </si>
  <si>
    <t>Underlying Volume (NT's):</t>
  </si>
  <si>
    <t>Current Date:</t>
  </si>
  <si>
    <t>Option Expiry:</t>
  </si>
  <si>
    <t>Cost of Money:</t>
  </si>
  <si>
    <t>Per NT</t>
  </si>
  <si>
    <t>Total</t>
  </si>
  <si>
    <t>Delta</t>
  </si>
  <si>
    <t>Delta Position (NT's)</t>
  </si>
  <si>
    <t>European Call</t>
  </si>
  <si>
    <t>American Call</t>
  </si>
  <si>
    <t>European Put</t>
  </si>
  <si>
    <t>American Put</t>
  </si>
  <si>
    <t>Date</t>
  </si>
  <si>
    <t>Mid Price</t>
  </si>
  <si>
    <t>Volume</t>
  </si>
  <si>
    <t>(NT)</t>
  </si>
  <si>
    <t>Huntco Option Pricing Scenarios</t>
  </si>
  <si>
    <t>Put Premium</t>
  </si>
  <si>
    <t>COC</t>
  </si>
  <si>
    <t>Curve</t>
  </si>
  <si>
    <t>Forward Price Used: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</si>
</sst>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7" formatCode="&quot;$&quot;#,##0.00_);\(&quot;$&quot;#,##0.00\)"/>
    <numFmt numFmtId="43" formatCode="_(* #,##0.00_);_(* \(#,##0.00\);_(* &quot;-&quot;??_);_(@_)"/>
    <numFmt numFmtId="164" formatCode="0.000%"/>
    <numFmt numFmtId="165" formatCode="mm/dd/yy"/>
    <numFmt numFmtId="168" formatCode="&quot;$&quot;#,##0.000_);\(&quot;$&quot;#,##0.000\)"/>
    <numFmt numFmtId="170" formatCode="&quot;Total Premium&quot;"/>
    <numFmt numFmtId="171" formatCode="&quot;Delta Position&quot;"/>
  </numFmts>
  <fonts count="9" x14ac:knownFonts="1">
    <font>
      <sz val="10"/>
      <name val="Times New Roman"/>
    </font>
    <font>
      <sz val="10"/>
      <name val="Times New Roman"/>
    </font>
    <font>
      <b/>
      <sz val="10"/>
      <name val="Times New Roman"/>
      <family val="1"/>
    </font>
    <font>
      <sz val="10"/>
      <color indexed="9"/>
      <name val="Times New Roman"/>
      <family val="1"/>
    </font>
    <font>
      <sz val="10"/>
      <color indexed="12"/>
      <name val="Times New Roman"/>
      <family val="1"/>
    </font>
    <font>
      <b/>
      <sz val="10"/>
      <color indexed="43"/>
      <name val="Times New Roman"/>
      <family val="1"/>
    </font>
    <font>
      <b/>
      <sz val="12"/>
      <name val="Times New Roman"/>
      <family val="1"/>
    </font>
    <font>
      <sz val="10"/>
      <color indexed="43"/>
      <name val="Times New Roman"/>
      <family val="1"/>
    </font>
    <font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7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7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37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43" fontId="1" fillId="0" borderId="0" xfId="1"/>
    <xf numFmtId="39" fontId="0" fillId="0" borderId="0" xfId="0" applyNumberFormat="1" applyAlignment="1">
      <alignment horizontal="center"/>
    </xf>
    <xf numFmtId="37" fontId="0" fillId="0" borderId="0" xfId="0" applyNumberFormat="1" applyAlignment="1">
      <alignment horizontal="center"/>
    </xf>
    <xf numFmtId="7" fontId="0" fillId="0" borderId="0" xfId="0" applyNumberFormat="1"/>
    <xf numFmtId="0" fontId="2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14" fontId="0" fillId="0" borderId="6" xfId="0" applyNumberFormat="1" applyBorder="1"/>
    <xf numFmtId="14" fontId="0" fillId="0" borderId="7" xfId="0" applyNumberFormat="1" applyBorder="1"/>
    <xf numFmtId="0" fontId="3" fillId="0" borderId="8" xfId="0" applyFont="1" applyBorder="1"/>
    <xf numFmtId="0" fontId="0" fillId="0" borderId="8" xfId="0" applyBorder="1"/>
    <xf numFmtId="168" fontId="0" fillId="0" borderId="8" xfId="0" applyNumberFormat="1" applyBorder="1" applyAlignment="1">
      <alignment horizontal="center"/>
    </xf>
    <xf numFmtId="5" fontId="0" fillId="0" borderId="8" xfId="0" applyNumberFormat="1" applyBorder="1" applyAlignment="1">
      <alignment horizontal="center"/>
    </xf>
    <xf numFmtId="5" fontId="0" fillId="0" borderId="8" xfId="0" applyNumberFormat="1" applyBorder="1"/>
    <xf numFmtId="5" fontId="0" fillId="0" borderId="9" xfId="0" applyNumberFormat="1" applyBorder="1" applyAlignment="1">
      <alignment horizontal="center"/>
    </xf>
    <xf numFmtId="0" fontId="3" fillId="0" borderId="10" xfId="0" applyFont="1" applyBorder="1"/>
    <xf numFmtId="0" fontId="0" fillId="0" borderId="10" xfId="0" applyBorder="1"/>
    <xf numFmtId="5" fontId="0" fillId="0" borderId="10" xfId="0" applyNumberFormat="1" applyBorder="1" applyAlignment="1">
      <alignment horizontal="center"/>
    </xf>
    <xf numFmtId="5" fontId="0" fillId="0" borderId="10" xfId="0" applyNumberFormat="1" applyBorder="1"/>
    <xf numFmtId="14" fontId="2" fillId="0" borderId="0" xfId="0" applyNumberFormat="1" applyFont="1" applyAlignment="1">
      <alignment horizontal="left"/>
    </xf>
    <xf numFmtId="0" fontId="6" fillId="0" borderId="0" xfId="0" applyFont="1"/>
    <xf numFmtId="7" fontId="0" fillId="0" borderId="11" xfId="0" applyNumberForma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7" fontId="2" fillId="2" borderId="15" xfId="0" applyNumberFormat="1" applyFont="1" applyFill="1" applyBorder="1" applyAlignment="1">
      <alignment horizontal="center"/>
    </xf>
    <xf numFmtId="7" fontId="7" fillId="2" borderId="1" xfId="0" applyNumberFormat="1" applyFont="1" applyFill="1" applyBorder="1" applyAlignment="1">
      <alignment horizontal="center"/>
    </xf>
    <xf numFmtId="7" fontId="7" fillId="2" borderId="3" xfId="1" applyNumberFormat="1" applyFont="1" applyFill="1" applyBorder="1" applyAlignment="1">
      <alignment horizontal="center"/>
    </xf>
    <xf numFmtId="14" fontId="0" fillId="0" borderId="16" xfId="0" applyNumberFormat="1" applyBorder="1"/>
    <xf numFmtId="0" fontId="3" fillId="0" borderId="17" xfId="0" applyFont="1" applyBorder="1"/>
    <xf numFmtId="0" fontId="0" fillId="0" borderId="17" xfId="0" applyBorder="1"/>
    <xf numFmtId="168" fontId="0" fillId="0" borderId="17" xfId="0" applyNumberFormat="1" applyBorder="1" applyAlignment="1">
      <alignment horizontal="center"/>
    </xf>
    <xf numFmtId="5" fontId="0" fillId="0" borderId="17" xfId="0" applyNumberFormat="1" applyBorder="1" applyAlignment="1">
      <alignment horizontal="center"/>
    </xf>
    <xf numFmtId="5" fontId="0" fillId="0" borderId="17" xfId="0" applyNumberFormat="1" applyBorder="1"/>
    <xf numFmtId="39" fontId="0" fillId="0" borderId="11" xfId="0" applyNumberFormat="1" applyBorder="1" applyAlignment="1">
      <alignment horizontal="center"/>
    </xf>
    <xf numFmtId="170" fontId="2" fillId="2" borderId="5" xfId="0" applyNumberFormat="1" applyFont="1" applyFill="1" applyBorder="1" applyAlignment="1">
      <alignment horizontal="center"/>
    </xf>
    <xf numFmtId="37" fontId="0" fillId="0" borderId="17" xfId="0" applyNumberFormat="1" applyBorder="1" applyAlignment="1">
      <alignment horizontal="center"/>
    </xf>
    <xf numFmtId="37" fontId="0" fillId="0" borderId="18" xfId="0" applyNumberFormat="1" applyBorder="1" applyAlignment="1">
      <alignment horizontal="center"/>
    </xf>
    <xf numFmtId="37" fontId="0" fillId="0" borderId="19" xfId="0" applyNumberFormat="1" applyBorder="1" applyAlignment="1">
      <alignment horizontal="center"/>
    </xf>
    <xf numFmtId="37" fontId="8" fillId="0" borderId="17" xfId="0" applyNumberFormat="1" applyFont="1" applyBorder="1" applyAlignment="1">
      <alignment horizontal="center"/>
    </xf>
    <xf numFmtId="5" fontId="8" fillId="0" borderId="10" xfId="0" applyNumberFormat="1" applyFont="1" applyBorder="1"/>
    <xf numFmtId="37" fontId="8" fillId="0" borderId="18" xfId="0" applyNumberFormat="1" applyFont="1" applyBorder="1" applyAlignment="1">
      <alignment horizontal="center"/>
    </xf>
    <xf numFmtId="5" fontId="8" fillId="0" borderId="17" xfId="0" applyNumberFormat="1" applyFont="1" applyBorder="1" applyAlignment="1">
      <alignment horizontal="center"/>
    </xf>
    <xf numFmtId="171" fontId="2" fillId="2" borderId="15" xfId="0" applyNumberFormat="1" applyFont="1" applyFill="1" applyBorder="1" applyAlignment="1">
      <alignment horizontal="center"/>
    </xf>
    <xf numFmtId="168" fontId="8" fillId="0" borderId="17" xfId="0" applyNumberFormat="1" applyFont="1" applyBorder="1" applyAlignment="1">
      <alignment horizontal="center"/>
    </xf>
    <xf numFmtId="0" fontId="8" fillId="0" borderId="10" xfId="0" applyFont="1" applyBorder="1"/>
    <xf numFmtId="37" fontId="0" fillId="0" borderId="2" xfId="0" applyNumberFormat="1" applyBorder="1"/>
    <xf numFmtId="168" fontId="0" fillId="0" borderId="10" xfId="0" applyNumberFormat="1" applyBorder="1" applyAlignment="1">
      <alignment horizontal="center"/>
    </xf>
    <xf numFmtId="7" fontId="0" fillId="0" borderId="0" xfId="0" applyNumberForma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2</xdr:col>
      <xdr:colOff>0</xdr:colOff>
      <xdr:row>15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6022AF08-8291-A49E-F2A4-4334B6F801E8}"/>
            </a:ext>
          </a:extLst>
        </xdr:cNvPr>
        <xdr:cNvSpPr>
          <a:spLocks noChangeArrowheads="1"/>
        </xdr:cNvSpPr>
      </xdr:nvSpPr>
      <xdr:spPr bwMode="auto">
        <a:xfrm>
          <a:off x="0" y="523875"/>
          <a:ext cx="2647950" cy="1943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5</xdr:col>
      <xdr:colOff>19050</xdr:colOff>
      <xdr:row>22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5F56BD50-0761-3C95-F308-0B6B3CB15526}"/>
            </a:ext>
          </a:extLst>
        </xdr:cNvPr>
        <xdr:cNvSpPr>
          <a:spLocks noChangeArrowheads="1"/>
        </xdr:cNvSpPr>
      </xdr:nvSpPr>
      <xdr:spPr bwMode="auto">
        <a:xfrm>
          <a:off x="0" y="2628900"/>
          <a:ext cx="5943600" cy="9715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"/>
  <sheetViews>
    <sheetView showGridLines="0" tabSelected="1" zoomScale="75" workbookViewId="0"/>
  </sheetViews>
  <sheetFormatPr defaultRowHeight="12.75" x14ac:dyDescent="0.2"/>
  <cols>
    <col min="1" max="1" width="11.6640625" customWidth="1"/>
    <col min="2" max="2" width="2.1640625" customWidth="1"/>
    <col min="3" max="3" width="11.5" customWidth="1"/>
    <col min="4" max="4" width="2.5" customWidth="1"/>
    <col min="5" max="5" width="28.6640625" customWidth="1"/>
    <col min="6" max="6" width="2.5" customWidth="1"/>
    <col min="7" max="7" width="28.6640625" bestFit="1" customWidth="1"/>
    <col min="8" max="8" width="2.5" customWidth="1"/>
    <col min="9" max="9" width="26.5" customWidth="1"/>
    <col min="10" max="10" width="2.5" customWidth="1"/>
    <col min="11" max="11" width="26.5" customWidth="1"/>
  </cols>
  <sheetData>
    <row r="1" spans="1:11" ht="15.75" x14ac:dyDescent="0.25">
      <c r="A1" s="37" t="s">
        <v>30</v>
      </c>
    </row>
    <row r="2" spans="1:11" x14ac:dyDescent="0.2">
      <c r="A2" s="36">
        <v>36920</v>
      </c>
    </row>
    <row r="3" spans="1:11" ht="13.5" thickBot="1" x14ac:dyDescent="0.25"/>
    <row r="4" spans="1:11" s="1" customFormat="1" x14ac:dyDescent="0.2">
      <c r="A4" s="22" t="s">
        <v>1</v>
      </c>
      <c r="B4" s="7"/>
      <c r="C4" s="7"/>
      <c r="D4" s="7"/>
      <c r="E4" s="7" t="s">
        <v>28</v>
      </c>
      <c r="F4" s="7"/>
      <c r="G4" s="7" t="str">
        <f>"Put Premium (Strike = $"&amp;'Put Pricing'!$B$10&amp;")"</f>
        <v>Put Premium (Strike = $225)</v>
      </c>
      <c r="H4" s="7"/>
      <c r="I4" s="52">
        <v>10000</v>
      </c>
      <c r="J4" s="23"/>
      <c r="K4" s="60">
        <f>I4</f>
        <v>10000</v>
      </c>
    </row>
    <row r="5" spans="1:11" s="1" customFormat="1" ht="13.5" thickBot="1" x14ac:dyDescent="0.25">
      <c r="A5" s="8"/>
      <c r="B5" s="9"/>
      <c r="C5" s="9"/>
      <c r="D5" s="9"/>
      <c r="E5" s="9" t="s">
        <v>29</v>
      </c>
      <c r="F5" s="9"/>
      <c r="G5" s="9" t="s">
        <v>0</v>
      </c>
      <c r="H5" s="9"/>
      <c r="I5" s="9" t="str">
        <f>" NT/Mo"</f>
        <v xml:space="preserve"> NT/Mo</v>
      </c>
      <c r="J5" s="9"/>
      <c r="K5" s="10" t="str">
        <f>TEXT(K4,"0,000")&amp;" NT/Mo"</f>
        <v>10,000 NT/Mo</v>
      </c>
    </row>
    <row r="6" spans="1:11" s="1" customFormat="1" ht="6" customHeight="1" x14ac:dyDescent="0.2">
      <c r="A6" s="24"/>
      <c r="B6" s="26"/>
      <c r="C6" s="27"/>
      <c r="D6" s="27"/>
      <c r="E6" s="28"/>
      <c r="F6" s="27"/>
      <c r="G6" s="28"/>
      <c r="H6" s="27"/>
      <c r="I6" s="29"/>
      <c r="J6" s="30"/>
      <c r="K6" s="31"/>
    </row>
    <row r="7" spans="1:11" x14ac:dyDescent="0.2">
      <c r="A7" s="45">
        <f>'Put Pricing'!A26</f>
        <v>37011</v>
      </c>
      <c r="B7" s="46">
        <v>1</v>
      </c>
      <c r="C7" s="47"/>
      <c r="D7" s="47"/>
      <c r="E7" s="53">
        <v>115000</v>
      </c>
      <c r="F7" s="47"/>
      <c r="G7" s="48">
        <f>VLOOKUP(A7,'Put Pricing'!$D$26:$E$39,2,FALSE)</f>
        <v>6.5059874831132589</v>
      </c>
      <c r="H7" s="47"/>
      <c r="I7" s="49">
        <f t="shared" ref="I7:I15" si="0">E7*G7</f>
        <v>748188.56055802479</v>
      </c>
      <c r="J7" s="50"/>
      <c r="K7" s="54">
        <f>VLOOKUP($A7,'Put Pricing'!$G$26:$H$39,2,FALSE)*K$4</f>
        <v>-34513712.22226277</v>
      </c>
    </row>
    <row r="8" spans="1:11" x14ac:dyDescent="0.2">
      <c r="A8" s="45">
        <f>'Put Pricing'!A27</f>
        <v>37042</v>
      </c>
      <c r="B8" s="32">
        <v>2</v>
      </c>
      <c r="C8" s="33"/>
      <c r="D8" s="33"/>
      <c r="E8" s="53">
        <v>115000</v>
      </c>
      <c r="F8" s="33"/>
      <c r="G8" s="48">
        <f>VLOOKUP(A8,'Put Pricing'!$D$26:$E$39,2,FALSE)</f>
        <v>7.261812419645139</v>
      </c>
      <c r="H8" s="33"/>
      <c r="I8" s="49">
        <f t="shared" si="0"/>
        <v>835108.42825919099</v>
      </c>
      <c r="J8" s="35"/>
      <c r="K8" s="54">
        <f>VLOOKUP($A8,'Put Pricing'!$G$26:$H$39,2,FALSE)*$K$4</f>
        <v>-32225908.817525383</v>
      </c>
    </row>
    <row r="9" spans="1:11" x14ac:dyDescent="0.2">
      <c r="A9" s="45">
        <f>'Put Pricing'!A28</f>
        <v>37072</v>
      </c>
      <c r="B9" s="32">
        <v>3</v>
      </c>
      <c r="C9" s="33"/>
      <c r="D9" s="33"/>
      <c r="E9" s="53">
        <v>115000</v>
      </c>
      <c r="F9" s="33"/>
      <c r="G9" s="48">
        <f>VLOOKUP(A9,'Put Pricing'!$D$26:$E$39,2,FALSE)</f>
        <v>7.8514575048918687</v>
      </c>
      <c r="H9" s="33"/>
      <c r="I9" s="49">
        <f t="shared" si="0"/>
        <v>902917.61306256487</v>
      </c>
      <c r="J9" s="35"/>
      <c r="K9" s="54">
        <f>VLOOKUP($A9,'Put Pricing'!$G$26:$H$39,2,FALSE)*$K$4</f>
        <v>-30327495.594392646</v>
      </c>
    </row>
    <row r="10" spans="1:11" x14ac:dyDescent="0.2">
      <c r="A10" s="45">
        <f>'Put Pricing'!A29</f>
        <v>37103</v>
      </c>
      <c r="B10" s="32">
        <v>4</v>
      </c>
      <c r="C10" s="33"/>
      <c r="D10" s="33"/>
      <c r="E10" s="53">
        <v>85000</v>
      </c>
      <c r="F10" s="33"/>
      <c r="G10" s="48">
        <f>VLOOKUP(A10,'Put Pricing'!$D$26:$E$39,2,FALSE)</f>
        <v>8.3581416139398641</v>
      </c>
      <c r="H10" s="33"/>
      <c r="I10" s="49">
        <f t="shared" si="0"/>
        <v>710442.0371848885</v>
      </c>
      <c r="J10" s="35"/>
      <c r="K10" s="54">
        <f>VLOOKUP($A10,'Put Pricing'!$G$26:$H$39,2,FALSE)*$K$4</f>
        <v>-28600753.068677884</v>
      </c>
    </row>
    <row r="11" spans="1:11" x14ac:dyDescent="0.2">
      <c r="A11" s="45">
        <f>'Put Pricing'!A30</f>
        <v>37134</v>
      </c>
      <c r="B11" s="32">
        <v>5</v>
      </c>
      <c r="C11" s="33"/>
      <c r="D11" s="33"/>
      <c r="E11" s="53">
        <v>85000</v>
      </c>
      <c r="F11" s="33"/>
      <c r="G11" s="48">
        <f>VLOOKUP(A11,'Put Pricing'!$D$26:$E$39,2,FALSE)</f>
        <v>8.7868502698545541</v>
      </c>
      <c r="H11" s="33"/>
      <c r="I11" s="49">
        <f t="shared" si="0"/>
        <v>746882.27293763706</v>
      </c>
      <c r="J11" s="35"/>
      <c r="K11" s="54">
        <f>VLOOKUP($A11,'Put Pricing'!$G$26:$H$39,2,FALSE)*$K$4</f>
        <v>-27057419.940962259</v>
      </c>
    </row>
    <row r="12" spans="1:11" x14ac:dyDescent="0.2">
      <c r="A12" s="45">
        <f>'Put Pricing'!A31</f>
        <v>37164</v>
      </c>
      <c r="B12" s="32">
        <v>6</v>
      </c>
      <c r="C12" s="33"/>
      <c r="D12" s="33"/>
      <c r="E12" s="53">
        <v>85000</v>
      </c>
      <c r="F12" s="33"/>
      <c r="G12" s="48">
        <f>VLOOKUP(A12,'Put Pricing'!$D$26:$E$39,2,FALSE)</f>
        <v>9.1437747378977008</v>
      </c>
      <c r="H12" s="33"/>
      <c r="I12" s="49">
        <f t="shared" si="0"/>
        <v>777220.85272130452</v>
      </c>
      <c r="J12" s="35"/>
      <c r="K12" s="54">
        <f>VLOOKUP($A12,'Put Pricing'!$G$26:$H$39,2,FALSE)*$K$4</f>
        <v>-25703754.960231617</v>
      </c>
    </row>
    <row r="13" spans="1:11" x14ac:dyDescent="0.2">
      <c r="A13" s="45">
        <f>'Put Pricing'!A32</f>
        <v>37195</v>
      </c>
      <c r="B13" s="32">
        <v>7</v>
      </c>
      <c r="C13" s="33"/>
      <c r="D13" s="33"/>
      <c r="E13" s="53">
        <v>55000</v>
      </c>
      <c r="F13" s="33"/>
      <c r="G13" s="48">
        <f>VLOOKUP(A13,'Put Pricing'!$D$26:$E$39,2,FALSE)</f>
        <v>9.4643344862514169</v>
      </c>
      <c r="H13" s="33"/>
      <c r="I13" s="49">
        <f t="shared" si="0"/>
        <v>520538.39674382791</v>
      </c>
      <c r="J13" s="35"/>
      <c r="K13" s="54">
        <f>VLOOKUP($A13,'Put Pricing'!$G$26:$H$39,2,FALSE)*$K$4</f>
        <v>-24424368.487800535</v>
      </c>
    </row>
    <row r="14" spans="1:11" x14ac:dyDescent="0.2">
      <c r="A14" s="45">
        <f>'Put Pricing'!A33</f>
        <v>37225</v>
      </c>
      <c r="B14" s="32">
        <v>8</v>
      </c>
      <c r="C14" s="33"/>
      <c r="D14" s="33"/>
      <c r="E14" s="53">
        <v>55000</v>
      </c>
      <c r="F14" s="33"/>
      <c r="G14" s="48">
        <f>VLOOKUP(A14,'Put Pricing'!$D$26:$E$39,2,FALSE)</f>
        <v>9.7359283311260185</v>
      </c>
      <c r="H14" s="33"/>
      <c r="I14" s="49">
        <f t="shared" si="0"/>
        <v>535476.05821193103</v>
      </c>
      <c r="J14" s="35"/>
      <c r="K14" s="54">
        <f>VLOOKUP($A14,'Put Pricing'!$G$26:$H$39,2,FALSE)*$K$4</f>
        <v>-23284078.56375898</v>
      </c>
    </row>
    <row r="15" spans="1:11" x14ac:dyDescent="0.2">
      <c r="A15" s="45">
        <f>'Put Pricing'!A34</f>
        <v>37256</v>
      </c>
      <c r="B15" s="32">
        <v>9</v>
      </c>
      <c r="C15" s="33"/>
      <c r="D15" s="33"/>
      <c r="E15" s="56">
        <v>55000</v>
      </c>
      <c r="F15" s="62"/>
      <c r="G15" s="61">
        <f>VLOOKUP(A15,'Put Pricing'!$D$26:$E$39,2,FALSE)</f>
        <v>9.9830193493098704</v>
      </c>
      <c r="H15" s="62"/>
      <c r="I15" s="59">
        <f t="shared" si="0"/>
        <v>549066.06421204284</v>
      </c>
      <c r="J15" s="57"/>
      <c r="K15" s="58">
        <f>VLOOKUP($A15,'Put Pricing'!$G$26:$H$39,2,FALSE)*$K$4</f>
        <v>-22192726.771706235</v>
      </c>
    </row>
    <row r="16" spans="1:11" x14ac:dyDescent="0.2">
      <c r="A16" s="25"/>
      <c r="B16" s="32"/>
      <c r="C16" s="33"/>
      <c r="D16" s="33"/>
      <c r="E16" s="53">
        <f>SUM(E7:E15)</f>
        <v>765000</v>
      </c>
      <c r="F16" s="33"/>
      <c r="G16" s="64">
        <f>SUM(G7:G15)</f>
        <v>77.091306196029691</v>
      </c>
      <c r="H16" s="33"/>
      <c r="I16" s="34">
        <f>SUM(I7:I15)</f>
        <v>6325840.2838914124</v>
      </c>
      <c r="J16" s="35"/>
      <c r="K16" s="55">
        <f>SUM(K7:K15)</f>
        <v>-248330218.42731827</v>
      </c>
    </row>
    <row r="17" spans="1:11" ht="13.5" thickBot="1" x14ac:dyDescent="0.25">
      <c r="A17" s="3"/>
      <c r="B17" s="4"/>
      <c r="C17" s="4"/>
      <c r="D17" s="4"/>
      <c r="E17" s="63"/>
      <c r="F17" s="4"/>
      <c r="G17" s="4"/>
      <c r="H17" s="4"/>
      <c r="I17" s="4"/>
      <c r="J17" s="4"/>
      <c r="K17" s="5"/>
    </row>
  </sheetData>
  <pageMargins left="0.75" right="0.75" top="1" bottom="1" header="0.5" footer="0.5"/>
  <pageSetup scale="78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showGridLines="0" zoomScale="75" workbookViewId="0"/>
  </sheetViews>
  <sheetFormatPr defaultRowHeight="12.75" x14ac:dyDescent="0.2"/>
  <cols>
    <col min="1" max="1" width="29" customWidth="1"/>
    <col min="2" max="2" width="17.33203125" customWidth="1"/>
    <col min="3" max="3" width="16.5" customWidth="1"/>
    <col min="4" max="4" width="14.6640625" bestFit="1" customWidth="1"/>
    <col min="5" max="5" width="26.1640625" bestFit="1" customWidth="1"/>
    <col min="7" max="8" width="23.5" customWidth="1"/>
    <col min="9" max="9" width="12.33203125" customWidth="1"/>
    <col min="11" max="11" width="9.5" hidden="1" customWidth="1"/>
    <col min="12" max="12" width="0" hidden="1" customWidth="1"/>
  </cols>
  <sheetData>
    <row r="1" spans="1:6" ht="15.75" x14ac:dyDescent="0.25">
      <c r="A1" s="37" t="str">
        <f>Pricing!A1</f>
        <v>Huntco Option Pricing Scenarios</v>
      </c>
    </row>
    <row r="2" spans="1:6" x14ac:dyDescent="0.2">
      <c r="A2" s="36">
        <f>Pricing!A2</f>
        <v>36920</v>
      </c>
      <c r="D2" s="11" t="s">
        <v>2</v>
      </c>
      <c r="E2" s="11" t="s">
        <v>3</v>
      </c>
      <c r="F2" s="11" t="s">
        <v>4</v>
      </c>
    </row>
    <row r="3" spans="1:6" x14ac:dyDescent="0.2">
      <c r="D3" s="11" t="s">
        <v>5</v>
      </c>
      <c r="E3" s="11" t="s">
        <v>6</v>
      </c>
    </row>
    <row r="4" spans="1:6" x14ac:dyDescent="0.2">
      <c r="A4" s="66" t="s">
        <v>7</v>
      </c>
      <c r="B4" s="66"/>
    </row>
    <row r="5" spans="1:6" x14ac:dyDescent="0.2">
      <c r="A5" t="s">
        <v>8</v>
      </c>
      <c r="B5" s="13" t="s">
        <v>2</v>
      </c>
    </row>
    <row r="6" spans="1:6" x14ac:dyDescent="0.2">
      <c r="A6" t="s">
        <v>9</v>
      </c>
      <c r="B6" s="14">
        <f ca="1">IF(B7="No",225,VLOOKUP(B14,A26:B39,2))</f>
        <v>233.03118149896272</v>
      </c>
    </row>
    <row r="7" spans="1:6" x14ac:dyDescent="0.2">
      <c r="A7" t="s">
        <v>10</v>
      </c>
      <c r="B7" s="13" t="s">
        <v>5</v>
      </c>
    </row>
    <row r="8" spans="1:6" x14ac:dyDescent="0.2">
      <c r="A8" t="s">
        <v>34</v>
      </c>
      <c r="B8" s="13" t="s">
        <v>32</v>
      </c>
    </row>
    <row r="9" spans="1:6" x14ac:dyDescent="0.2">
      <c r="A9" t="s">
        <v>11</v>
      </c>
      <c r="B9" s="15">
        <v>7.0000000000000007E-2</v>
      </c>
      <c r="D9" s="21"/>
    </row>
    <row r="10" spans="1:6" x14ac:dyDescent="0.2">
      <c r="A10" t="s">
        <v>12</v>
      </c>
      <c r="B10" s="14">
        <v>225</v>
      </c>
    </row>
    <row r="11" spans="1:6" x14ac:dyDescent="0.2">
      <c r="A11" t="s">
        <v>13</v>
      </c>
      <c r="B11" s="15">
        <v>0.18</v>
      </c>
    </row>
    <row r="12" spans="1:6" x14ac:dyDescent="0.2">
      <c r="A12" t="s">
        <v>14</v>
      </c>
      <c r="B12" s="16">
        <v>10000</v>
      </c>
    </row>
    <row r="13" spans="1:6" x14ac:dyDescent="0.2">
      <c r="A13" t="s">
        <v>15</v>
      </c>
      <c r="B13" s="17">
        <f ca="1">TODAY()</f>
        <v>36920</v>
      </c>
    </row>
    <row r="14" spans="1:6" x14ac:dyDescent="0.2">
      <c r="A14" t="s">
        <v>16</v>
      </c>
      <c r="B14" s="17">
        <v>37103</v>
      </c>
      <c r="D14" s="18"/>
      <c r="E14" s="18"/>
    </row>
    <row r="15" spans="1:6" x14ac:dyDescent="0.2">
      <c r="A15" t="s">
        <v>17</v>
      </c>
      <c r="B15" s="15">
        <v>5.7500000000000002E-2</v>
      </c>
      <c r="D15" s="18"/>
      <c r="E15" s="18"/>
    </row>
    <row r="17" spans="1:12" x14ac:dyDescent="0.2">
      <c r="B17" s="12" t="s">
        <v>18</v>
      </c>
      <c r="C17" s="12" t="s">
        <v>19</v>
      </c>
      <c r="D17" s="12" t="s">
        <v>20</v>
      </c>
      <c r="E17" s="12" t="s">
        <v>21</v>
      </c>
    </row>
    <row r="18" spans="1:12" x14ac:dyDescent="0.2">
      <c r="A18" t="s">
        <v>22</v>
      </c>
      <c r="B18" s="2">
        <f ca="1">IF($B$7="No",_xll.EURO($B$6,$B$10,$B$15,0,$B$11,$B$14-$B$13,1,0),_xll.EURO($B$6,$B$10,$B$15,$B$9,$B$11,$B$14-$B$13,1,0))</f>
        <v>14.747694130502708</v>
      </c>
      <c r="C18" s="2">
        <f ca="1">B18*$B$12</f>
        <v>147476.94130502708</v>
      </c>
      <c r="D18" s="19">
        <f ca="1">_xll.EURO($B$6,$B$10,$B$15,0,$B$11,$B$14-$B$13,1,1)</f>
        <v>0.71399246931322113</v>
      </c>
      <c r="E18" s="20">
        <f ca="1">D18*$B$12</f>
        <v>7139.9246931322114</v>
      </c>
    </row>
    <row r="19" spans="1:12" x14ac:dyDescent="0.2">
      <c r="A19" t="s">
        <v>23</v>
      </c>
      <c r="B19" s="2">
        <f ca="1">IF($B$7="No",_xll.AMER($B$6,$B$10,$B$15,0,$B$11,($B$14-$B$13),1,0),_xll.AMER($B$6,$B$10,$B$15,$B$9,$B$11,($B$14-$B$13),1,0))</f>
        <v>15.050903190554259</v>
      </c>
      <c r="C19" s="2">
        <f ca="1">B19*$B$12</f>
        <v>150509.03190554259</v>
      </c>
      <c r="D19" s="19">
        <f ca="1">_xll.AMER($B$6,$B$10,$B$15,0,$B$11,$B$14-$B$13,1,1)</f>
        <v>0.71397551895582101</v>
      </c>
      <c r="E19" s="20">
        <f ca="1">D19*$B$12</f>
        <v>7139.7551895582101</v>
      </c>
    </row>
    <row r="21" spans="1:12" x14ac:dyDescent="0.2">
      <c r="A21" t="s">
        <v>24</v>
      </c>
      <c r="B21" s="2">
        <f ca="1">IF($B$7="No",_xll.EURO($B$6,$B$10,$B$15,0,$B$11,($B$14-$B$13),0,0),_xll.EURO($B$6,$B$10,$B$15,$B$9,$B$11,$B$14-$B$13,0,0))</f>
        <v>8.3581416139398641</v>
      </c>
      <c r="C21" s="2">
        <f ca="1">B21*$B$12</f>
        <v>83581.416139398643</v>
      </c>
      <c r="D21" s="19">
        <f ca="1">_xll.EURO($B$6,$B$10,$B$15,0,$B$11,$B$14-$B$13,0,1)</f>
        <v>-0.28600753068677881</v>
      </c>
      <c r="E21" s="20">
        <f ca="1">D21*$B$12</f>
        <v>-2860.0753068677882</v>
      </c>
    </row>
    <row r="22" spans="1:12" x14ac:dyDescent="0.2">
      <c r="A22" t="s">
        <v>25</v>
      </c>
      <c r="B22" s="2">
        <f ca="1">IF($B$7="No",_xll.AMER($B$6,$B$10,$B$15,0,$B$11,($B$14-$B$13),0,0),_xll.AMER($B$6,$B$10,$B$15,$B$9,$B$11,($B$14-$B$13),0,0))</f>
        <v>8.3766063894760716</v>
      </c>
      <c r="C22" s="2">
        <f ca="1">B22*$B$12</f>
        <v>83766.063894760722</v>
      </c>
      <c r="D22" s="19">
        <f ca="1">_xll.AMER($B$6,$B$10,$B$15,0,$B$11,$B$14-$B$13,0,1)</f>
        <v>-0.30773441171668198</v>
      </c>
      <c r="E22" s="20">
        <f ca="1">D22*$B$12</f>
        <v>-3077.3441171668196</v>
      </c>
    </row>
    <row r="23" spans="1:12" ht="13.5" thickBot="1" x14ac:dyDescent="0.25"/>
    <row r="24" spans="1:12" ht="13.5" thickBot="1" x14ac:dyDescent="0.25">
      <c r="B24" s="21"/>
      <c r="D24" s="6" t="s">
        <v>26</v>
      </c>
      <c r="E24" s="42" t="s">
        <v>31</v>
      </c>
      <c r="G24" s="6" t="s">
        <v>26</v>
      </c>
      <c r="H24" s="42" t="s">
        <v>20</v>
      </c>
    </row>
    <row r="25" spans="1:12" ht="13.5" thickBot="1" x14ac:dyDescent="0.25">
      <c r="A25" s="40" t="s">
        <v>26</v>
      </c>
      <c r="B25" s="39" t="s">
        <v>27</v>
      </c>
      <c r="D25" s="43">
        <f ca="1">B21</f>
        <v>8.3581416139398641</v>
      </c>
      <c r="E25" s="44">
        <v>225</v>
      </c>
      <c r="G25" s="43">
        <f ca="1">E21</f>
        <v>-2860.0753068677882</v>
      </c>
      <c r="H25" s="44">
        <v>225</v>
      </c>
      <c r="K25" s="12" t="s">
        <v>32</v>
      </c>
      <c r="L25" s="12" t="s">
        <v>33</v>
      </c>
    </row>
    <row r="26" spans="1:12" x14ac:dyDescent="0.2">
      <c r="A26" s="41">
        <v>37011</v>
      </c>
      <c r="B26" s="38">
        <f ca="1">IF($B$8="COC",K26,IF($B$8="Curve",L26,0))</f>
        <v>228.95844214092466</v>
      </c>
      <c r="D26" s="41">
        <f>A26</f>
        <v>37011</v>
      </c>
      <c r="E26" s="38">
        <f t="dataTable" ref="E26:E39" dt2D="1" dtr="0" r1="B10" r2="B14" ca="1"/>
        <v>6.5059874831132589</v>
      </c>
      <c r="G26" s="41">
        <f>D26</f>
        <v>37011</v>
      </c>
      <c r="H26" s="51">
        <f t="dataTable" ref="H26:H39" dt2D="1" dtr="0" r1="B10" r2="B14" ca="1"/>
        <v>-3451.371222226277</v>
      </c>
      <c r="K26" s="21">
        <f ca="1">225*EXP($B$9*((A26-$B$13)/365.25))</f>
        <v>228.95844214092466</v>
      </c>
      <c r="L26" s="65">
        <v>245</v>
      </c>
    </row>
    <row r="27" spans="1:12" x14ac:dyDescent="0.2">
      <c r="A27" s="41">
        <f t="shared" ref="A27:A39" si="0">EOMONTH(A26,1)</f>
        <v>37042</v>
      </c>
      <c r="B27" s="38">
        <f t="shared" ref="B27:B39" ca="1" si="1">IF($B$8="COC",K27,IF($B$8="Curve",L27,0))</f>
        <v>230.32276423030663</v>
      </c>
      <c r="D27" s="41">
        <f t="shared" ref="D27:D39" si="2">A27</f>
        <v>37042</v>
      </c>
      <c r="E27" s="38">
        <v>7.261812419645139</v>
      </c>
      <c r="G27" s="41">
        <f t="shared" ref="G27:G39" si="3">D27</f>
        <v>37042</v>
      </c>
      <c r="H27" s="51">
        <v>-3222.5908817525383</v>
      </c>
      <c r="K27" s="21">
        <f t="shared" ref="K27:K39" ca="1" si="4">225*EXP($B$9*((A27-$B$13)/365.25))</f>
        <v>230.32276423030663</v>
      </c>
      <c r="L27" s="65">
        <v>250</v>
      </c>
    </row>
    <row r="28" spans="1:12" x14ac:dyDescent="0.2">
      <c r="A28" s="41">
        <f t="shared" si="0"/>
        <v>37072</v>
      </c>
      <c r="B28" s="38">
        <f t="shared" ca="1" si="1"/>
        <v>231.65081603879523</v>
      </c>
      <c r="D28" s="41">
        <f t="shared" si="2"/>
        <v>37072</v>
      </c>
      <c r="E28" s="38">
        <v>7.8514575048918687</v>
      </c>
      <c r="G28" s="41">
        <f t="shared" si="3"/>
        <v>37072</v>
      </c>
      <c r="H28" s="51">
        <v>-3032.7495594392644</v>
      </c>
      <c r="K28" s="21">
        <f t="shared" ca="1" si="4"/>
        <v>231.65081603879523</v>
      </c>
      <c r="L28" s="65">
        <v>260</v>
      </c>
    </row>
    <row r="29" spans="1:12" x14ac:dyDescent="0.2">
      <c r="A29" s="41">
        <f t="shared" si="0"/>
        <v>37103</v>
      </c>
      <c r="B29" s="38">
        <f t="shared" ca="1" si="1"/>
        <v>233.03118149896272</v>
      </c>
      <c r="D29" s="41">
        <f t="shared" si="2"/>
        <v>37103</v>
      </c>
      <c r="E29" s="38">
        <v>8.3581416139398641</v>
      </c>
      <c r="G29" s="41">
        <f t="shared" si="3"/>
        <v>37103</v>
      </c>
      <c r="H29" s="51">
        <v>-2860.0753068677882</v>
      </c>
      <c r="K29" s="21">
        <f t="shared" ca="1" si="4"/>
        <v>233.03118149896272</v>
      </c>
      <c r="L29" s="65">
        <v>260</v>
      </c>
    </row>
    <row r="30" spans="1:12" x14ac:dyDescent="0.2">
      <c r="A30" s="41">
        <f t="shared" si="0"/>
        <v>37134</v>
      </c>
      <c r="B30" s="38">
        <f t="shared" ca="1" si="1"/>
        <v>234.41977230811102</v>
      </c>
      <c r="D30" s="41">
        <f t="shared" si="2"/>
        <v>37134</v>
      </c>
      <c r="E30" s="38">
        <v>8.7868502698545541</v>
      </c>
      <c r="G30" s="41">
        <f t="shared" si="3"/>
        <v>37134</v>
      </c>
      <c r="H30" s="51">
        <v>-2705.7419940962259</v>
      </c>
      <c r="K30" s="21">
        <f t="shared" ca="1" si="4"/>
        <v>234.41977230811102</v>
      </c>
      <c r="L30" s="65">
        <v>265</v>
      </c>
    </row>
    <row r="31" spans="1:12" x14ac:dyDescent="0.2">
      <c r="A31" s="41">
        <f t="shared" si="0"/>
        <v>37164</v>
      </c>
      <c r="B31" s="38">
        <f t="shared" ca="1" si="1"/>
        <v>235.77144765639741</v>
      </c>
      <c r="D31" s="41">
        <f t="shared" si="2"/>
        <v>37164</v>
      </c>
      <c r="E31" s="38">
        <v>9.1437747378977008</v>
      </c>
      <c r="G31" s="41">
        <f t="shared" si="3"/>
        <v>37164</v>
      </c>
      <c r="H31" s="51">
        <v>-2570.3754960231618</v>
      </c>
      <c r="K31" s="21">
        <f t="shared" ca="1" si="4"/>
        <v>235.77144765639741</v>
      </c>
      <c r="L31" s="65">
        <v>270</v>
      </c>
    </row>
    <row r="32" spans="1:12" x14ac:dyDescent="0.2">
      <c r="A32" s="41">
        <f t="shared" si="0"/>
        <v>37195</v>
      </c>
      <c r="B32" s="38">
        <f t="shared" ca="1" si="1"/>
        <v>237.17636721767391</v>
      </c>
      <c r="D32" s="41">
        <f t="shared" si="2"/>
        <v>37195</v>
      </c>
      <c r="E32" s="38">
        <v>9.4643344862514169</v>
      </c>
      <c r="G32" s="41">
        <f t="shared" si="3"/>
        <v>37195</v>
      </c>
      <c r="H32" s="51">
        <v>-2442.4368487800534</v>
      </c>
      <c r="K32" s="21">
        <f t="shared" ca="1" si="4"/>
        <v>237.17636721767391</v>
      </c>
      <c r="L32" s="65">
        <v>280</v>
      </c>
    </row>
    <row r="33" spans="1:12" x14ac:dyDescent="0.2">
      <c r="A33" s="41">
        <f t="shared" si="0"/>
        <v>37225</v>
      </c>
      <c r="B33" s="38">
        <f t="shared" ca="1" si="1"/>
        <v>238.54393722086834</v>
      </c>
      <c r="D33" s="41">
        <f t="shared" si="2"/>
        <v>37225</v>
      </c>
      <c r="E33" s="38">
        <v>9.7359283311260185</v>
      </c>
      <c r="G33" s="41">
        <f t="shared" si="3"/>
        <v>37225</v>
      </c>
      <c r="H33" s="51">
        <v>-2328.4078563758981</v>
      </c>
      <c r="K33" s="21">
        <f t="shared" ca="1" si="4"/>
        <v>238.54393722086834</v>
      </c>
      <c r="L33" s="65">
        <v>285</v>
      </c>
    </row>
    <row r="34" spans="1:12" x14ac:dyDescent="0.2">
      <c r="A34" s="41">
        <f t="shared" si="0"/>
        <v>37256</v>
      </c>
      <c r="B34" s="38">
        <f t="shared" ca="1" si="1"/>
        <v>239.96537754774764</v>
      </c>
      <c r="D34" s="41">
        <f t="shared" si="2"/>
        <v>37256</v>
      </c>
      <c r="E34" s="38">
        <v>9.9830193493098704</v>
      </c>
      <c r="G34" s="41">
        <f t="shared" si="3"/>
        <v>37256</v>
      </c>
      <c r="H34" s="51">
        <v>-2219.2726771706234</v>
      </c>
      <c r="K34" s="21">
        <f t="shared" ca="1" si="4"/>
        <v>239.96537754774764</v>
      </c>
      <c r="L34" s="65">
        <v>290</v>
      </c>
    </row>
    <row r="35" spans="1:12" x14ac:dyDescent="0.2">
      <c r="A35" s="41">
        <f t="shared" si="0"/>
        <v>37287</v>
      </c>
      <c r="B35" s="38">
        <f t="shared" ca="1" si="1"/>
        <v>241.39528798133526</v>
      </c>
      <c r="D35" s="41">
        <f t="shared" si="2"/>
        <v>37287</v>
      </c>
      <c r="E35" s="38">
        <v>10.201000011185926</v>
      </c>
      <c r="G35" s="41">
        <f t="shared" si="3"/>
        <v>37287</v>
      </c>
      <c r="H35" s="51">
        <v>-2117.8478593973218</v>
      </c>
      <c r="K35" s="21">
        <f t="shared" ca="1" si="4"/>
        <v>241.39528798133526</v>
      </c>
      <c r="L35" s="65">
        <v>290</v>
      </c>
    </row>
    <row r="36" spans="1:12" x14ac:dyDescent="0.2">
      <c r="A36" s="41">
        <f t="shared" si="0"/>
        <v>37315</v>
      </c>
      <c r="B36" s="38">
        <f t="shared" ca="1" si="1"/>
        <v>242.6941421994365</v>
      </c>
      <c r="D36" s="41">
        <f t="shared" si="2"/>
        <v>37315</v>
      </c>
      <c r="E36" s="38">
        <v>10.376206937447918</v>
      </c>
      <c r="G36" s="41">
        <f t="shared" si="3"/>
        <v>37315</v>
      </c>
      <c r="H36" s="51">
        <v>-2032.1011524511148</v>
      </c>
      <c r="K36" s="21">
        <f t="shared" ca="1" si="4"/>
        <v>242.6941421994365</v>
      </c>
      <c r="L36" s="65">
        <v>290</v>
      </c>
    </row>
    <row r="37" spans="1:12" x14ac:dyDescent="0.2">
      <c r="A37" s="41">
        <f t="shared" si="0"/>
        <v>37346</v>
      </c>
      <c r="B37" s="38">
        <f t="shared" ca="1" si="1"/>
        <v>244.14031284975255</v>
      </c>
      <c r="D37" s="41">
        <f t="shared" si="2"/>
        <v>37346</v>
      </c>
      <c r="E37" s="38">
        <v>10.549179340109688</v>
      </c>
      <c r="G37" s="41">
        <f t="shared" si="3"/>
        <v>37346</v>
      </c>
      <c r="H37" s="51">
        <v>-1942.9637074323805</v>
      </c>
      <c r="K37" s="21">
        <f t="shared" ca="1" si="4"/>
        <v>244.14031284975255</v>
      </c>
      <c r="L37" s="65">
        <v>290</v>
      </c>
    </row>
    <row r="38" spans="1:12" x14ac:dyDescent="0.2">
      <c r="A38" s="41">
        <f t="shared" si="0"/>
        <v>37376</v>
      </c>
      <c r="B38" s="38">
        <f t="shared" ca="1" si="1"/>
        <v>245.54803728849225</v>
      </c>
      <c r="D38" s="41">
        <f t="shared" si="2"/>
        <v>37376</v>
      </c>
      <c r="E38" s="38">
        <v>10.697994907543148</v>
      </c>
      <c r="G38" s="41">
        <f t="shared" si="3"/>
        <v>37376</v>
      </c>
      <c r="H38" s="51">
        <v>-1861.9273161824581</v>
      </c>
      <c r="K38" s="21">
        <f t="shared" ca="1" si="4"/>
        <v>245.54803728849225</v>
      </c>
      <c r="L38" s="65">
        <v>285</v>
      </c>
    </row>
    <row r="39" spans="1:12" x14ac:dyDescent="0.2">
      <c r="A39" s="41">
        <f t="shared" si="0"/>
        <v>37407</v>
      </c>
      <c r="B39" s="38">
        <f t="shared" ca="1" si="1"/>
        <v>247.0112137852596</v>
      </c>
      <c r="D39" s="41">
        <f t="shared" si="2"/>
        <v>37407</v>
      </c>
      <c r="E39" s="38">
        <v>10.834752383198023</v>
      </c>
      <c r="G39" s="41">
        <f t="shared" si="3"/>
        <v>37407</v>
      </c>
      <c r="H39" s="51">
        <v>-1783.07055993019</v>
      </c>
      <c r="K39" s="21">
        <f t="shared" ca="1" si="4"/>
        <v>247.0112137852596</v>
      </c>
      <c r="L39" s="65">
        <v>280</v>
      </c>
    </row>
    <row r="40" spans="1:12" ht="13.5" thickBot="1" x14ac:dyDescent="0.25">
      <c r="A40" s="3"/>
      <c r="B40" s="5"/>
      <c r="D40" s="3"/>
      <c r="E40" s="5"/>
      <c r="G40" s="3"/>
      <c r="H40" s="5"/>
    </row>
  </sheetData>
  <mergeCells count="1">
    <mergeCell ref="A4:B4"/>
  </mergeCells>
  <dataValidations count="3">
    <dataValidation type="list" allowBlank="1" showInputMessage="1" showErrorMessage="1" sqref="B5">
      <formula1>$D$2:$F$2</formula1>
    </dataValidation>
    <dataValidation type="list" allowBlank="1" showInputMessage="1" showErrorMessage="1" sqref="B7">
      <formula1>$D$3:$E$3</formula1>
    </dataValidation>
    <dataValidation type="list" allowBlank="1" showInputMessage="1" showErrorMessage="1" sqref="B8">
      <formula1>$K$25:$L$25</formula1>
    </dataValidation>
  </dataValidations>
  <pageMargins left="0.75" right="0.75" top="1" bottom="1" header="0.5" footer="0.5"/>
  <pageSetup scale="84" orientation="landscape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Pricing</vt:lpstr>
      <vt:lpstr>Put Pricing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Keenan</dc:creator>
  <cp:lastModifiedBy>Jan Havlíček</cp:lastModifiedBy>
  <cp:lastPrinted>2001-01-18T16:55:36Z</cp:lastPrinted>
  <dcterms:created xsi:type="dcterms:W3CDTF">2000-12-28T16:43:49Z</dcterms:created>
  <dcterms:modified xsi:type="dcterms:W3CDTF">2023-09-11T02:03:17Z</dcterms:modified>
</cp:coreProperties>
</file>