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F7DB3D-0CFB-4B66-BE0A-E6BBED32BBEF}" xr6:coauthVersionLast="47" xr6:coauthVersionMax="47" xr10:uidLastSave="{00000000-0000-0000-0000-000000000000}"/>
  <bookViews>
    <workbookView xWindow="-120" yWindow="-120" windowWidth="23280" windowHeight="12480"/>
  </bookViews>
  <sheets>
    <sheet name="Summary" sheetId="4" r:id="rId1"/>
    <sheet name="Annex 1.02" sheetId="5" r:id="rId2"/>
    <sheet name="Contingent" sheetId="1" r:id="rId3"/>
    <sheet name="Quarterly" sheetId="2" r:id="rId4"/>
    <sheet name="Expenses" sheetId="6" r:id="rId5"/>
  </sheets>
  <definedNames>
    <definedName name="_xlnm.Print_Area" localSheetId="1">'Annex 1.02'!$A$1:$K$46</definedName>
    <definedName name="_xlnm.Print_Area" localSheetId="2">Contingent!$A$1:$R$44</definedName>
    <definedName name="_xlnm.Print_Area" localSheetId="3">Quarterly!$A$1:$Q$14</definedName>
    <definedName name="_xlnm.Print_Area" localSheetId="0">Summary!$A$1:$R$57</definedName>
    <definedName name="solver_adj" localSheetId="3" hidden="1">Quarterly!$E$11</definedName>
    <definedName name="solver_cvg" localSheetId="3" hidden="1">0.001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Quarterly!$AE$16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0</definedName>
  </definedNames>
  <calcPr calcId="0" calcMode="manual" iterate="1"/>
</workbook>
</file>

<file path=xl/calcChain.xml><?xml version="1.0" encoding="utf-8"?>
<calcChain xmlns="http://schemas.openxmlformats.org/spreadsheetml/2006/main">
  <c r="F6" i="5" l="1"/>
  <c r="H6" i="5"/>
  <c r="J6" i="5"/>
  <c r="E8" i="5"/>
  <c r="F8" i="5"/>
  <c r="G8" i="5"/>
  <c r="H8" i="5"/>
  <c r="I8" i="5"/>
  <c r="J8" i="5"/>
  <c r="K8" i="5"/>
  <c r="A9" i="5"/>
  <c r="E9" i="5"/>
  <c r="F9" i="5"/>
  <c r="G9" i="5"/>
  <c r="H9" i="5"/>
  <c r="I9" i="5"/>
  <c r="J9" i="5"/>
  <c r="K9" i="5"/>
  <c r="A10" i="5"/>
  <c r="E10" i="5"/>
  <c r="F10" i="5"/>
  <c r="G10" i="5"/>
  <c r="H10" i="5"/>
  <c r="I10" i="5"/>
  <c r="J10" i="5"/>
  <c r="K10" i="5"/>
  <c r="A11" i="5"/>
  <c r="E11" i="5"/>
  <c r="F11" i="5"/>
  <c r="G11" i="5"/>
  <c r="H11" i="5"/>
  <c r="I11" i="5"/>
  <c r="J11" i="5"/>
  <c r="K11" i="5"/>
  <c r="A12" i="5"/>
  <c r="E12" i="5"/>
  <c r="F12" i="5"/>
  <c r="G12" i="5"/>
  <c r="H12" i="5"/>
  <c r="I12" i="5"/>
  <c r="J12" i="5"/>
  <c r="K12" i="5"/>
  <c r="A13" i="5"/>
  <c r="E13" i="5"/>
  <c r="F13" i="5"/>
  <c r="G13" i="5"/>
  <c r="H13" i="5"/>
  <c r="I13" i="5"/>
  <c r="J13" i="5"/>
  <c r="K13" i="5"/>
  <c r="A14" i="5"/>
  <c r="E14" i="5"/>
  <c r="F14" i="5"/>
  <c r="G14" i="5"/>
  <c r="H14" i="5"/>
  <c r="I14" i="5"/>
  <c r="J14" i="5"/>
  <c r="K14" i="5"/>
  <c r="A15" i="5"/>
  <c r="E15" i="5"/>
  <c r="F15" i="5"/>
  <c r="G15" i="5"/>
  <c r="H15" i="5"/>
  <c r="I15" i="5"/>
  <c r="J15" i="5"/>
  <c r="K15" i="5"/>
  <c r="A16" i="5"/>
  <c r="E16" i="5"/>
  <c r="F16" i="5"/>
  <c r="G16" i="5"/>
  <c r="H16" i="5"/>
  <c r="I16" i="5"/>
  <c r="J16" i="5"/>
  <c r="K16" i="5"/>
  <c r="A17" i="5"/>
  <c r="E17" i="5"/>
  <c r="F17" i="5"/>
  <c r="G17" i="5"/>
  <c r="H17" i="5"/>
  <c r="I17" i="5"/>
  <c r="J17" i="5"/>
  <c r="K17" i="5"/>
  <c r="A18" i="5"/>
  <c r="E18" i="5"/>
  <c r="F18" i="5"/>
  <c r="G18" i="5"/>
  <c r="H18" i="5"/>
  <c r="I18" i="5"/>
  <c r="J18" i="5"/>
  <c r="K18" i="5"/>
  <c r="A19" i="5"/>
  <c r="E19" i="5"/>
  <c r="F19" i="5"/>
  <c r="G19" i="5"/>
  <c r="H19" i="5"/>
  <c r="I19" i="5"/>
  <c r="J19" i="5"/>
  <c r="K19" i="5"/>
  <c r="A20" i="5"/>
  <c r="E20" i="5"/>
  <c r="F20" i="5"/>
  <c r="G20" i="5"/>
  <c r="H20" i="5"/>
  <c r="I20" i="5"/>
  <c r="J20" i="5"/>
  <c r="K20" i="5"/>
  <c r="A21" i="5"/>
  <c r="E21" i="5"/>
  <c r="F21" i="5"/>
  <c r="G21" i="5"/>
  <c r="H21" i="5"/>
  <c r="I21" i="5"/>
  <c r="J21" i="5"/>
  <c r="K21" i="5"/>
  <c r="A22" i="5"/>
  <c r="E22" i="5"/>
  <c r="F22" i="5"/>
  <c r="G22" i="5"/>
  <c r="H22" i="5"/>
  <c r="I22" i="5"/>
  <c r="J22" i="5"/>
  <c r="K22" i="5"/>
  <c r="A23" i="5"/>
  <c r="E23" i="5"/>
  <c r="F23" i="5"/>
  <c r="G23" i="5"/>
  <c r="H23" i="5"/>
  <c r="I23" i="5"/>
  <c r="J23" i="5"/>
  <c r="K23" i="5"/>
  <c r="A24" i="5"/>
  <c r="E24" i="5"/>
  <c r="F24" i="5"/>
  <c r="G24" i="5"/>
  <c r="H24" i="5"/>
  <c r="I24" i="5"/>
  <c r="J24" i="5"/>
  <c r="K24" i="5"/>
  <c r="A25" i="5"/>
  <c r="E25" i="5"/>
  <c r="F25" i="5"/>
  <c r="G25" i="5"/>
  <c r="H25" i="5"/>
  <c r="I25" i="5"/>
  <c r="J25" i="5"/>
  <c r="K25" i="5"/>
  <c r="A26" i="5"/>
  <c r="E26" i="5"/>
  <c r="F26" i="5"/>
  <c r="G26" i="5"/>
  <c r="H26" i="5"/>
  <c r="I26" i="5"/>
  <c r="J26" i="5"/>
  <c r="K26" i="5"/>
  <c r="A27" i="5"/>
  <c r="E27" i="5"/>
  <c r="F27" i="5"/>
  <c r="G27" i="5"/>
  <c r="H27" i="5"/>
  <c r="I27" i="5"/>
  <c r="J27" i="5"/>
  <c r="K27" i="5"/>
  <c r="A28" i="5"/>
  <c r="E28" i="5"/>
  <c r="F28" i="5"/>
  <c r="G28" i="5"/>
  <c r="H28" i="5"/>
  <c r="I28" i="5"/>
  <c r="J28" i="5"/>
  <c r="K28" i="5"/>
  <c r="A29" i="5"/>
  <c r="E29" i="5"/>
  <c r="F29" i="5"/>
  <c r="G29" i="5"/>
  <c r="H29" i="5"/>
  <c r="I29" i="5"/>
  <c r="J29" i="5"/>
  <c r="K29" i="5"/>
  <c r="A30" i="5"/>
  <c r="E30" i="5"/>
  <c r="F30" i="5"/>
  <c r="G30" i="5"/>
  <c r="H30" i="5"/>
  <c r="I30" i="5"/>
  <c r="J30" i="5"/>
  <c r="K30" i="5"/>
  <c r="A31" i="5"/>
  <c r="E31" i="5"/>
  <c r="F31" i="5"/>
  <c r="G31" i="5"/>
  <c r="H31" i="5"/>
  <c r="I31" i="5"/>
  <c r="J31" i="5"/>
  <c r="K31" i="5"/>
  <c r="A32" i="5"/>
  <c r="E32" i="5"/>
  <c r="F32" i="5"/>
  <c r="G32" i="5"/>
  <c r="H32" i="5"/>
  <c r="I32" i="5"/>
  <c r="J32" i="5"/>
  <c r="K32" i="5"/>
  <c r="A33" i="5"/>
  <c r="E33" i="5"/>
  <c r="F33" i="5"/>
  <c r="G33" i="5"/>
  <c r="H33" i="5"/>
  <c r="I33" i="5"/>
  <c r="J33" i="5"/>
  <c r="K33" i="5"/>
  <c r="A34" i="5"/>
  <c r="E34" i="5"/>
  <c r="F34" i="5"/>
  <c r="G34" i="5"/>
  <c r="H34" i="5"/>
  <c r="I34" i="5"/>
  <c r="J34" i="5"/>
  <c r="K34" i="5"/>
  <c r="A35" i="5"/>
  <c r="E35" i="5"/>
  <c r="F35" i="5"/>
  <c r="G35" i="5"/>
  <c r="H35" i="5"/>
  <c r="I35" i="5"/>
  <c r="J35" i="5"/>
  <c r="K35" i="5"/>
  <c r="F37" i="5"/>
  <c r="G37" i="5"/>
  <c r="H37" i="5"/>
  <c r="I37" i="5"/>
  <c r="J37" i="5"/>
  <c r="K37" i="5"/>
  <c r="A44" i="5"/>
  <c r="A45" i="5"/>
  <c r="R1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D12" i="1"/>
  <c r="E12" i="1"/>
  <c r="D17" i="1"/>
  <c r="E17" i="1"/>
  <c r="E20" i="1"/>
  <c r="Q20" i="1"/>
  <c r="F26" i="1"/>
  <c r="G26" i="1"/>
  <c r="H26" i="1"/>
  <c r="I26" i="1"/>
  <c r="J26" i="1"/>
  <c r="K26" i="1"/>
  <c r="L26" i="1"/>
  <c r="M26" i="1"/>
  <c r="N26" i="1"/>
  <c r="O26" i="1"/>
  <c r="P26" i="1"/>
  <c r="Q26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D34" i="1"/>
  <c r="F34" i="1"/>
  <c r="G34" i="1"/>
  <c r="H34" i="1"/>
  <c r="I34" i="1"/>
  <c r="J34" i="1"/>
  <c r="K34" i="1"/>
  <c r="L34" i="1"/>
  <c r="M34" i="1"/>
  <c r="N34" i="1"/>
  <c r="O34" i="1"/>
  <c r="P34" i="1"/>
  <c r="Q34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D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F49" i="1"/>
  <c r="G49" i="1"/>
  <c r="H49" i="1"/>
  <c r="I49" i="1"/>
  <c r="J49" i="1"/>
  <c r="K49" i="1"/>
  <c r="L49" i="1"/>
  <c r="M49" i="1"/>
  <c r="N49" i="1"/>
  <c r="O49" i="1"/>
  <c r="P49" i="1"/>
  <c r="Q49" i="1"/>
  <c r="G50" i="1"/>
  <c r="H50" i="1"/>
  <c r="I50" i="1"/>
  <c r="J50" i="1"/>
  <c r="K50" i="1"/>
  <c r="L50" i="1"/>
  <c r="M50" i="1"/>
  <c r="N50" i="1"/>
  <c r="O50" i="1"/>
  <c r="P50" i="1"/>
  <c r="Q50" i="1"/>
  <c r="H51" i="1"/>
  <c r="I51" i="1"/>
  <c r="J51" i="1"/>
  <c r="K51" i="1"/>
  <c r="L51" i="1"/>
  <c r="M51" i="1"/>
  <c r="N51" i="1"/>
  <c r="O51" i="1"/>
  <c r="P51" i="1"/>
  <c r="Q51" i="1"/>
  <c r="I52" i="1"/>
  <c r="J52" i="1"/>
  <c r="K52" i="1"/>
  <c r="L52" i="1"/>
  <c r="M52" i="1"/>
  <c r="N52" i="1"/>
  <c r="O52" i="1"/>
  <c r="P52" i="1"/>
  <c r="Q52" i="1"/>
  <c r="J53" i="1"/>
  <c r="K53" i="1"/>
  <c r="L53" i="1"/>
  <c r="M53" i="1"/>
  <c r="N53" i="1"/>
  <c r="O53" i="1"/>
  <c r="P53" i="1"/>
  <c r="Q53" i="1"/>
  <c r="K54" i="1"/>
  <c r="L54" i="1"/>
  <c r="M54" i="1"/>
  <c r="N54" i="1"/>
  <c r="O54" i="1"/>
  <c r="P54" i="1"/>
  <c r="Q54" i="1"/>
  <c r="L55" i="1"/>
  <c r="M55" i="1"/>
  <c r="N55" i="1"/>
  <c r="O55" i="1"/>
  <c r="P55" i="1"/>
  <c r="Q55" i="1"/>
  <c r="M56" i="1"/>
  <c r="N56" i="1"/>
  <c r="O56" i="1"/>
  <c r="P56" i="1"/>
  <c r="Q56" i="1"/>
  <c r="N57" i="1"/>
  <c r="O57" i="1"/>
  <c r="P57" i="1"/>
  <c r="Q57" i="1"/>
  <c r="O58" i="1"/>
  <c r="P58" i="1"/>
  <c r="Q58" i="1"/>
  <c r="P59" i="1"/>
  <c r="Q59" i="1"/>
  <c r="Q60" i="1"/>
  <c r="E64" i="1"/>
  <c r="F64" i="1"/>
  <c r="G64" i="1"/>
  <c r="H64" i="1"/>
  <c r="I64" i="1"/>
  <c r="J64" i="1"/>
  <c r="K64" i="1"/>
  <c r="L64" i="1"/>
  <c r="M64" i="1"/>
  <c r="N64" i="1"/>
  <c r="O64" i="1"/>
  <c r="P64" i="1"/>
  <c r="E7" i="6"/>
  <c r="G7" i="6"/>
  <c r="E8" i="6"/>
  <c r="G8" i="6"/>
  <c r="E10" i="6"/>
  <c r="F10" i="6"/>
  <c r="G10" i="6"/>
  <c r="D4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8" i="2"/>
  <c r="E8" i="2"/>
  <c r="D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K6" i="4"/>
  <c r="U6" i="4"/>
  <c r="U6" i="4" a="1"/>
  <c r="V6" i="4"/>
  <c r="V6" i="4" a="1"/>
  <c r="W6" i="4"/>
  <c r="W6" i="4" a="1"/>
  <c r="U7" i="4"/>
  <c r="V7" i="4"/>
  <c r="W7" i="4"/>
  <c r="L8" i="4"/>
  <c r="M8" i="4"/>
  <c r="N8" i="4"/>
  <c r="O8" i="4"/>
  <c r="P8" i="4"/>
  <c r="Q8" i="4"/>
  <c r="U8" i="4"/>
  <c r="V8" i="4"/>
  <c r="W8" i="4"/>
  <c r="U9" i="4"/>
  <c r="V9" i="4"/>
  <c r="W9" i="4"/>
  <c r="U10" i="4"/>
  <c r="V10" i="4"/>
  <c r="W10" i="4"/>
  <c r="U11" i="4"/>
  <c r="V11" i="4"/>
  <c r="W11" i="4"/>
  <c r="L12" i="4"/>
  <c r="M12" i="4"/>
  <c r="N12" i="4"/>
  <c r="O12" i="4"/>
  <c r="P12" i="4"/>
  <c r="Q12" i="4"/>
  <c r="R12" i="4"/>
  <c r="U12" i="4"/>
  <c r="V12" i="4"/>
  <c r="W12" i="4"/>
  <c r="K13" i="4"/>
  <c r="L14" i="4"/>
  <c r="M14" i="4"/>
  <c r="N14" i="4"/>
  <c r="O14" i="4"/>
  <c r="P14" i="4"/>
  <c r="Q14" i="4"/>
  <c r="R14" i="4"/>
  <c r="G15" i="4"/>
  <c r="G18" i="4"/>
  <c r="G24" i="4"/>
  <c r="H24" i="4"/>
  <c r="I24" i="4"/>
  <c r="G25" i="4"/>
  <c r="H25" i="4"/>
  <c r="I25" i="4"/>
  <c r="N25" i="4"/>
  <c r="P25" i="4"/>
  <c r="R25" i="4"/>
  <c r="N26" i="4"/>
  <c r="P26" i="4"/>
  <c r="R26" i="4"/>
  <c r="G27" i="4"/>
  <c r="H27" i="4"/>
  <c r="I27" i="4"/>
  <c r="P27" i="4"/>
  <c r="R27" i="4"/>
  <c r="G28" i="4"/>
  <c r="H28" i="4"/>
  <c r="I28" i="4"/>
  <c r="N29" i="4"/>
  <c r="P29" i="4"/>
  <c r="R29" i="4"/>
  <c r="H30" i="4"/>
  <c r="I30" i="4"/>
  <c r="N30" i="4"/>
  <c r="R30" i="4"/>
  <c r="G31" i="4"/>
  <c r="H31" i="4"/>
  <c r="I31" i="4"/>
  <c r="G32" i="4"/>
  <c r="I32" i="4"/>
  <c r="N32" i="4"/>
  <c r="P32" i="4"/>
  <c r="R32" i="4"/>
  <c r="G33" i="4"/>
  <c r="I33" i="4"/>
  <c r="N33" i="4"/>
  <c r="P33" i="4"/>
  <c r="R33" i="4"/>
  <c r="G34" i="4"/>
  <c r="H34" i="4"/>
  <c r="I34" i="4"/>
  <c r="N35" i="4"/>
  <c r="P35" i="4"/>
  <c r="R35" i="4"/>
  <c r="G36" i="4"/>
  <c r="H36" i="4"/>
  <c r="I36" i="4"/>
  <c r="G39" i="4"/>
  <c r="I39" i="4"/>
  <c r="G41" i="4"/>
  <c r="H41" i="4"/>
  <c r="I41" i="4"/>
  <c r="G46" i="4"/>
  <c r="H46" i="4"/>
  <c r="I46" i="4"/>
  <c r="G48" i="4"/>
  <c r="H48" i="4"/>
  <c r="I48" i="4"/>
  <c r="G49" i="4"/>
  <c r="I49" i="4"/>
  <c r="G50" i="4"/>
  <c r="I50" i="4"/>
  <c r="G52" i="4"/>
  <c r="H52" i="4"/>
  <c r="I52" i="4"/>
</calcChain>
</file>

<file path=xl/sharedStrings.xml><?xml version="1.0" encoding="utf-8"?>
<sst xmlns="http://schemas.openxmlformats.org/spreadsheetml/2006/main" count="142" uniqueCount="119">
  <si>
    <t>Payment Dates</t>
  </si>
  <si>
    <t>Payment Escalator</t>
  </si>
  <si>
    <t>PV</t>
  </si>
  <si>
    <t>Implied Exercise Price Immediately</t>
  </si>
  <si>
    <t>Following Payment</t>
  </si>
  <si>
    <t>Exercie Price Computation</t>
  </si>
  <si>
    <t>El Paso Offer Analysis</t>
  </si>
  <si>
    <t>Scheduled Payments</t>
  </si>
  <si>
    <t>New Contingent Payment Dates</t>
  </si>
  <si>
    <t>New Contingent Payments</t>
  </si>
  <si>
    <t>Total Offer Value</t>
  </si>
  <si>
    <t>Deferred Payments</t>
  </si>
  <si>
    <t>Probability</t>
  </si>
  <si>
    <t>Probablilty Adjusted</t>
  </si>
  <si>
    <t>Available Restructuring MW's</t>
  </si>
  <si>
    <t>Linden</t>
  </si>
  <si>
    <t>Bayonne</t>
  </si>
  <si>
    <t>Camden</t>
  </si>
  <si>
    <t>Total</t>
  </si>
  <si>
    <t>Restructuring Payment $/kw</t>
  </si>
  <si>
    <t>9/25/2000</t>
  </si>
  <si>
    <t>Deferred Payment Schedule</t>
  </si>
  <si>
    <t>Deferred Payment Discount Rate</t>
  </si>
  <si>
    <t>Contingent Payment Discount Rate</t>
  </si>
  <si>
    <t>JEDI II</t>
  </si>
  <si>
    <t>SubNotes</t>
  </si>
  <si>
    <t>Expenses</t>
  </si>
  <si>
    <t>Expenses as a % of Total Offering</t>
  </si>
  <si>
    <t>Net Proceeds</t>
  </si>
  <si>
    <t>Contingent Payments</t>
  </si>
  <si>
    <t>Probability Adjusted</t>
  </si>
  <si>
    <t>Enron</t>
  </si>
  <si>
    <t>50% JEDI II</t>
  </si>
  <si>
    <t>JEDI II Carrying Value</t>
  </si>
  <si>
    <t>Discount Rate</t>
  </si>
  <si>
    <t>Transaction Value</t>
  </si>
  <si>
    <t>Annual Proposal</t>
  </si>
  <si>
    <t>Quarterly Deferred Payment Proposal</t>
  </si>
  <si>
    <t>Inputs</t>
  </si>
  <si>
    <t>Transaction Analysis</t>
  </si>
  <si>
    <t>Contingent Payment $/kw (Linden Only - 678MW)</t>
  </si>
  <si>
    <t>($000's except where noted)</t>
  </si>
  <si>
    <t>2001 Contingent Payment</t>
  </si>
  <si>
    <t>Carrying Value</t>
  </si>
  <si>
    <t>JEDI II Placement Advisory Fee</t>
  </si>
  <si>
    <t>Placement Advisory Fee</t>
  </si>
  <si>
    <t>Placement Advisory Fee Income</t>
  </si>
  <si>
    <t>Subordinated Note Carrying Value</t>
  </si>
  <si>
    <t>Date</t>
  </si>
  <si>
    <t>Payment</t>
  </si>
  <si>
    <t>7 year</t>
  </si>
  <si>
    <t>Initial Deferred Payment (7 years - 27 payments)</t>
  </si>
  <si>
    <t>10bps</t>
  </si>
  <si>
    <t>Sensitivity Analysis - 7 years</t>
  </si>
  <si>
    <t>Profit (Loss) (c)</t>
  </si>
  <si>
    <t>(c)  Includes interest income on the SubNotes for the period through closing (assumed to be 15-Dec-00 or $3,521).</t>
  </si>
  <si>
    <t>Enron Profit (Loss) (c)</t>
  </si>
  <si>
    <t>Thereafter</t>
  </si>
  <si>
    <t>If restructuring of Linden occurs:</t>
  </si>
  <si>
    <t>After</t>
  </si>
  <si>
    <t>Closing</t>
  </si>
  <si>
    <t>JEDI II Accrued Interest thru 15-Dec</t>
  </si>
  <si>
    <t>Placement Fee as a % of Total Offering</t>
  </si>
  <si>
    <t>Allocation of Gross Proceeds</t>
  </si>
  <si>
    <t>M&amp;A Advisory Fee</t>
  </si>
  <si>
    <t>no</t>
  </si>
  <si>
    <t>JEDI II M&amp;A Advisory fee</t>
  </si>
  <si>
    <t>Gross Proceeds (a)</t>
  </si>
  <si>
    <t>EPG Accrued Interest thru 15-Dec (b)</t>
  </si>
  <si>
    <t>(b)  To be paid in cash by Mesquite at closing.</t>
  </si>
  <si>
    <t>(a)  Proceeds to be prorated to reflect JEDI II share of accrued interest on SubNotes through closing.</t>
  </si>
  <si>
    <t>Placement Fees</t>
  </si>
  <si>
    <t>M&amp;A Advisory Fee Income</t>
  </si>
  <si>
    <t>On or Before</t>
  </si>
  <si>
    <t>Beginning Principal Balance</t>
  </si>
  <si>
    <t>Interest</t>
  </si>
  <si>
    <t>Principal</t>
  </si>
  <si>
    <t>Ending Principal Balance</t>
  </si>
  <si>
    <t>Totals</t>
  </si>
  <si>
    <t>Coupon</t>
  </si>
  <si>
    <t>Offering Proceeds</t>
  </si>
  <si>
    <t>Issue Date</t>
  </si>
  <si>
    <t>XNPV</t>
  </si>
  <si>
    <t>XIRR</t>
  </si>
  <si>
    <t>Payments</t>
  </si>
  <si>
    <t>Implied Coupon</t>
  </si>
  <si>
    <t>Premium</t>
  </si>
  <si>
    <t>Percentage</t>
  </si>
  <si>
    <t>Initial Premium ($/MMBtu)</t>
  </si>
  <si>
    <t>Notional Volume (MMBtu/d)</t>
  </si>
  <si>
    <t>ENA</t>
  </si>
  <si>
    <t>ECPH</t>
  </si>
  <si>
    <t>Volume</t>
  </si>
  <si>
    <t>MMBtu/d</t>
  </si>
  <si>
    <t>Number</t>
  </si>
  <si>
    <t>Period</t>
  </si>
  <si>
    <t>Begin</t>
  </si>
  <si>
    <t>End</t>
  </si>
  <si>
    <t>Current</t>
  </si>
  <si>
    <t>Out of pockets</t>
  </si>
  <si>
    <t>Difference</t>
  </si>
  <si>
    <t>Placement fees</t>
  </si>
  <si>
    <t>144A (a)</t>
  </si>
  <si>
    <t>(a)  Includes the higher volume for full SubNote monetization ($187.9mm).</t>
  </si>
  <si>
    <t>Swap #1</t>
  </si>
  <si>
    <t>Swap #2</t>
  </si>
  <si>
    <t>JEDI II Equity</t>
  </si>
  <si>
    <t>ENA Sub Note</t>
  </si>
  <si>
    <t>Gross Proceeds</t>
  </si>
  <si>
    <t>Fair Value</t>
  </si>
  <si>
    <t>Total Proceeds</t>
  </si>
  <si>
    <t>P&amp;L</t>
  </si>
  <si>
    <t>Accrued Interest</t>
  </si>
  <si>
    <t>Net to Enron</t>
  </si>
  <si>
    <t>Proceeds</t>
  </si>
  <si>
    <t>Contingent Payment</t>
  </si>
  <si>
    <t>Fees and Expenses</t>
  </si>
  <si>
    <t>Swap Analysis</t>
  </si>
  <si>
    <t>Proceeds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</si>
</sst>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(* #,##0_);_(* \(#,##0\);_(* &quot;-&quot;_);_(@_)"/>
    <numFmt numFmtId="43" formatCode="_(* #,##0.00_);_(* \(#,##0.00\);_(* &quot;-&quot;??_);_(@_)"/>
    <numFmt numFmtId="167" formatCode="_(* #,##0_);_(* \(#,##0\);_(* &quot;-&quot;??_);_(@_)"/>
    <numFmt numFmtId="168" formatCode="_(* #,##0.0000_);_(* \(#,##0.0000\);_(* &quot;-&quot;??_);_(@_)"/>
    <numFmt numFmtId="169" formatCode="0.000%"/>
    <numFmt numFmtId="178" formatCode="0.0000%"/>
    <numFmt numFmtId="182" formatCode="_(* #,##0.0000_);_(* \(#,##0.0000\);_(* &quot;-&quot;_);_(@_)"/>
  </numFmts>
  <fonts count="12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6">
    <xf numFmtId="0" fontId="0" fillId="0" borderId="0" xfId="0"/>
    <xf numFmtId="167" fontId="0" fillId="0" borderId="0" xfId="1" applyNumberFormat="1" applyFont="1"/>
    <xf numFmtId="15" fontId="0" fillId="0" borderId="0" xfId="0" applyNumberFormat="1"/>
    <xf numFmtId="167" fontId="2" fillId="0" borderId="0" xfId="1" applyNumberFormat="1" applyFont="1"/>
    <xf numFmtId="10" fontId="2" fillId="0" borderId="0" xfId="3" applyNumberFormat="1" applyFont="1"/>
    <xf numFmtId="167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10" fontId="2" fillId="0" borderId="2" xfId="3" applyNumberFormat="1" applyFont="1" applyBorder="1"/>
    <xf numFmtId="167" fontId="0" fillId="0" borderId="2" xfId="1" applyNumberFormat="1" applyFont="1" applyBorder="1"/>
    <xf numFmtId="167" fontId="0" fillId="0" borderId="2" xfId="0" applyNumberFormat="1" applyBorder="1"/>
    <xf numFmtId="167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2" fillId="0" borderId="0" xfId="3" applyNumberFormat="1" applyFont="1" applyBorder="1"/>
    <xf numFmtId="167" fontId="0" fillId="0" borderId="0" xfId="1" applyNumberFormat="1" applyFont="1" applyBorder="1"/>
    <xf numFmtId="167" fontId="0" fillId="0" borderId="0" xfId="0" applyNumberFormat="1" applyBorder="1"/>
    <xf numFmtId="167" fontId="0" fillId="0" borderId="5" xfId="0" applyNumberFormat="1" applyBorder="1"/>
    <xf numFmtId="167" fontId="0" fillId="0" borderId="4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3" applyNumberFormat="1" applyFont="1" applyBorder="1"/>
    <xf numFmtId="167" fontId="0" fillId="0" borderId="7" xfId="1" applyNumberFormat="1" applyFont="1" applyBorder="1"/>
    <xf numFmtId="167" fontId="0" fillId="0" borderId="7" xfId="0" applyNumberFormat="1" applyBorder="1"/>
    <xf numFmtId="167" fontId="0" fillId="0" borderId="8" xfId="0" applyNumberFormat="1" applyBorder="1"/>
    <xf numFmtId="0" fontId="3" fillId="0" borderId="0" xfId="0" applyFont="1"/>
    <xf numFmtId="15" fontId="4" fillId="0" borderId="0" xfId="0" applyNumberFormat="1" applyFont="1"/>
    <xf numFmtId="0" fontId="4" fillId="0" borderId="0" xfId="0" applyFont="1"/>
    <xf numFmtId="43" fontId="0" fillId="0" borderId="0" xfId="0" applyNumberFormat="1"/>
    <xf numFmtId="14" fontId="0" fillId="0" borderId="0" xfId="0" applyNumberFormat="1"/>
    <xf numFmtId="9" fontId="0" fillId="0" borderId="0" xfId="3" applyFont="1"/>
    <xf numFmtId="9" fontId="0" fillId="0" borderId="0" xfId="0" applyNumberFormat="1"/>
    <xf numFmtId="167" fontId="5" fillId="0" borderId="0" xfId="0" applyNumberFormat="1" applyFont="1"/>
    <xf numFmtId="167" fontId="0" fillId="0" borderId="9" xfId="0" applyNumberFormat="1" applyBorder="1"/>
    <xf numFmtId="14" fontId="0" fillId="0" borderId="0" xfId="0" quotePrefix="1" applyNumberFormat="1"/>
    <xf numFmtId="15" fontId="0" fillId="2" borderId="0" xfId="0" applyNumberFormat="1" applyFill="1"/>
    <xf numFmtId="167" fontId="0" fillId="2" borderId="0" xfId="1" applyNumberFormat="1" applyFont="1" applyFill="1"/>
    <xf numFmtId="167" fontId="0" fillId="2" borderId="0" xfId="0" applyNumberFormat="1" applyFill="1"/>
    <xf numFmtId="0" fontId="6" fillId="0" borderId="0" xfId="0" applyFont="1"/>
    <xf numFmtId="10" fontId="8" fillId="0" borderId="0" xfId="3" applyNumberFormat="1" applyFont="1"/>
    <xf numFmtId="167" fontId="2" fillId="0" borderId="0" xfId="0" applyNumberFormat="1" applyFont="1"/>
    <xf numFmtId="10" fontId="0" fillId="0" borderId="2" xfId="0" applyNumberFormat="1" applyBorder="1"/>
    <xf numFmtId="10" fontId="0" fillId="0" borderId="2" xfId="3" applyNumberFormat="1" applyFont="1" applyBorder="1"/>
    <xf numFmtId="10" fontId="0" fillId="0" borderId="3" xfId="3" applyNumberFormat="1" applyFont="1" applyBorder="1"/>
    <xf numFmtId="167" fontId="9" fillId="0" borderId="7" xfId="1" applyNumberFormat="1" applyFont="1" applyBorder="1"/>
    <xf numFmtId="167" fontId="0" fillId="0" borderId="8" xfId="1" applyNumberFormat="1" applyFont="1" applyBorder="1"/>
    <xf numFmtId="169" fontId="2" fillId="0" borderId="5" xfId="3" applyNumberFormat="1" applyFont="1" applyBorder="1"/>
    <xf numFmtId="167" fontId="2" fillId="0" borderId="5" xfId="0" applyNumberFormat="1" applyFont="1" applyBorder="1"/>
    <xf numFmtId="0" fontId="4" fillId="0" borderId="0" xfId="0" applyFont="1" applyBorder="1"/>
    <xf numFmtId="169" fontId="2" fillId="0" borderId="3" xfId="3" applyNumberFormat="1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5" xfId="0" applyBorder="1"/>
    <xf numFmtId="167" fontId="0" fillId="0" borderId="5" xfId="1" applyNumberFormat="1" applyFont="1" applyBorder="1"/>
    <xf numFmtId="167" fontId="5" fillId="0" borderId="0" xfId="0" applyNumberFormat="1" applyFont="1" applyBorder="1"/>
    <xf numFmtId="167" fontId="5" fillId="0" borderId="5" xfId="0" applyNumberFormat="1" applyFont="1" applyBorder="1"/>
    <xf numFmtId="43" fontId="5" fillId="0" borderId="0" xfId="1" applyFont="1" applyBorder="1"/>
    <xf numFmtId="0" fontId="8" fillId="0" borderId="4" xfId="0" applyFont="1" applyBorder="1"/>
    <xf numFmtId="0" fontId="8" fillId="0" borderId="6" xfId="0" applyFont="1" applyBorder="1"/>
    <xf numFmtId="43" fontId="8" fillId="0" borderId="0" xfId="0" applyNumberFormat="1" applyFont="1"/>
    <xf numFmtId="0" fontId="10" fillId="0" borderId="0" xfId="0" applyFont="1"/>
    <xf numFmtId="167" fontId="8" fillId="0" borderId="0" xfId="0" applyNumberFormat="1" applyFont="1" applyBorder="1"/>
    <xf numFmtId="167" fontId="8" fillId="0" borderId="0" xfId="1" applyNumberFormat="1" applyFont="1" applyBorder="1"/>
    <xf numFmtId="0" fontId="0" fillId="0" borderId="0" xfId="0" quotePrefix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7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10" fontId="0" fillId="0" borderId="0" xfId="0" applyNumberFormat="1" applyBorder="1"/>
    <xf numFmtId="10" fontId="0" fillId="0" borderId="0" xfId="3" applyNumberFormat="1" applyFont="1" applyBorder="1"/>
    <xf numFmtId="167" fontId="9" fillId="0" borderId="0" xfId="1" applyNumberFormat="1" applyFont="1" applyBorder="1"/>
    <xf numFmtId="167" fontId="5" fillId="0" borderId="5" xfId="1" applyNumberFormat="1" applyFont="1" applyBorder="1"/>
    <xf numFmtId="16" fontId="0" fillId="0" borderId="0" xfId="0" applyNumberFormat="1"/>
    <xf numFmtId="0" fontId="0" fillId="0" borderId="4" xfId="0" applyBorder="1" applyAlignment="1">
      <alignment horizontal="center"/>
    </xf>
    <xf numFmtId="43" fontId="2" fillId="0" borderId="5" xfId="0" applyNumberFormat="1" applyFont="1" applyBorder="1"/>
    <xf numFmtId="167" fontId="8" fillId="0" borderId="8" xfId="0" applyNumberFormat="1" applyFont="1" applyBorder="1"/>
    <xf numFmtId="15" fontId="2" fillId="0" borderId="5" xfId="3" applyNumberFormat="1" applyFont="1" applyBorder="1"/>
    <xf numFmtId="167" fontId="8" fillId="0" borderId="0" xfId="3" applyNumberFormat="1" applyFont="1"/>
    <xf numFmtId="178" fontId="8" fillId="0" borderId="0" xfId="3" applyNumberFormat="1" applyFont="1"/>
    <xf numFmtId="178" fontId="0" fillId="0" borderId="0" xfId="1" applyNumberFormat="1" applyFont="1"/>
    <xf numFmtId="178" fontId="0" fillId="0" borderId="0" xfId="0" applyNumberFormat="1"/>
    <xf numFmtId="1" fontId="0" fillId="0" borderId="0" xfId="0" applyNumberFormat="1" applyBorder="1"/>
    <xf numFmtId="168" fontId="8" fillId="0" borderId="0" xfId="1" applyNumberFormat="1" applyFont="1" applyBorder="1"/>
    <xf numFmtId="169" fontId="0" fillId="0" borderId="0" xfId="3" applyNumberFormat="1" applyFont="1"/>
    <xf numFmtId="169" fontId="0" fillId="0" borderId="0" xfId="3" applyNumberFormat="1" applyFont="1" applyBorder="1"/>
    <xf numFmtId="169" fontId="0" fillId="0" borderId="5" xfId="3" applyNumberFormat="1" applyFont="1" applyBorder="1"/>
    <xf numFmtId="168" fontId="8" fillId="0" borderId="5" xfId="0" applyNumberFormat="1" applyFont="1" applyBorder="1"/>
    <xf numFmtId="0" fontId="7" fillId="0" borderId="5" xfId="0" applyFont="1" applyBorder="1" applyAlignment="1">
      <alignment horizontal="center"/>
    </xf>
    <xf numFmtId="182" fontId="4" fillId="0" borderId="5" xfId="2" applyNumberFormat="1" applyFont="1" applyBorder="1"/>
    <xf numFmtId="0" fontId="0" fillId="0" borderId="8" xfId="0" applyBorder="1"/>
    <xf numFmtId="167" fontId="0" fillId="0" borderId="4" xfId="1" applyNumberFormat="1" applyFont="1" applyBorder="1"/>
    <xf numFmtId="167" fontId="0" fillId="0" borderId="6" xfId="1" applyNumberFormat="1" applyFont="1" applyBorder="1"/>
    <xf numFmtId="0" fontId="7" fillId="0" borderId="0" xfId="0" applyFont="1" applyAlignment="1">
      <alignment horizontal="center"/>
    </xf>
    <xf numFmtId="167" fontId="5" fillId="0" borderId="0" xfId="1" applyNumberFormat="1" applyFont="1"/>
    <xf numFmtId="0" fontId="4" fillId="0" borderId="9" xfId="0" applyFont="1" applyBorder="1" applyAlignment="1">
      <alignment horizontal="center"/>
    </xf>
    <xf numFmtId="10" fontId="0" fillId="0" borderId="9" xfId="3" applyNumberFormat="1" applyFont="1" applyBorder="1" applyAlignment="1">
      <alignment horizontal="center"/>
    </xf>
    <xf numFmtId="167" fontId="0" fillId="0" borderId="9" xfId="1" applyNumberFormat="1" applyFont="1" applyBorder="1" applyAlignment="1">
      <alignment horizontal="center"/>
    </xf>
    <xf numFmtId="0" fontId="8" fillId="0" borderId="0" xfId="0" applyFont="1"/>
    <xf numFmtId="167" fontId="8" fillId="0" borderId="0" xfId="0" applyNumberFormat="1" applyFont="1"/>
    <xf numFmtId="0" fontId="11" fillId="0" borderId="0" xfId="0" applyNumberFormat="1" applyFont="1" applyBorder="1"/>
    <xf numFmtId="41" fontId="11" fillId="0" borderId="0" xfId="0" applyNumberFormat="1" applyFont="1" applyBorder="1"/>
    <xf numFmtId="41" fontId="0" fillId="0" borderId="0" xfId="0" applyNumberFormat="1" applyBorder="1"/>
    <xf numFmtId="41" fontId="11" fillId="0" borderId="7" xfId="0" quotePrefix="1" applyNumberFormat="1" applyFont="1" applyBorder="1" applyAlignment="1">
      <alignment horizontal="left"/>
    </xf>
    <xf numFmtId="41" fontId="11" fillId="0" borderId="7" xfId="0" applyNumberFormat="1" applyFont="1" applyBorder="1"/>
    <xf numFmtId="43" fontId="11" fillId="0" borderId="7" xfId="1" applyNumberFormat="1" applyFont="1" applyBorder="1"/>
    <xf numFmtId="41" fontId="11" fillId="0" borderId="7" xfId="1" applyNumberFormat="1" applyFont="1" applyBorder="1"/>
    <xf numFmtId="0" fontId="8" fillId="0" borderId="0" xfId="0" applyFont="1" applyBorder="1"/>
    <xf numFmtId="10" fontId="8" fillId="0" borderId="0" xfId="0" applyNumberFormat="1" applyFont="1" applyBorder="1"/>
    <xf numFmtId="10" fontId="8" fillId="0" borderId="0" xfId="3" applyNumberFormat="1" applyFont="1" applyBorder="1"/>
    <xf numFmtId="0" fontId="8" fillId="0" borderId="2" xfId="0" applyFont="1" applyBorder="1"/>
    <xf numFmtId="167" fontId="8" fillId="0" borderId="2" xfId="1" applyNumberFormat="1" applyFont="1" applyBorder="1"/>
    <xf numFmtId="10" fontId="8" fillId="0" borderId="2" xfId="0" applyNumberFormat="1" applyFont="1" applyBorder="1"/>
    <xf numFmtId="10" fontId="8" fillId="0" borderId="3" xfId="0" applyNumberFormat="1" applyFont="1" applyBorder="1"/>
    <xf numFmtId="167" fontId="8" fillId="0" borderId="5" xfId="0" applyNumberFormat="1" applyFont="1" applyBorder="1"/>
    <xf numFmtId="0" fontId="8" fillId="0" borderId="7" xfId="0" applyFont="1" applyBorder="1"/>
    <xf numFmtId="169" fontId="8" fillId="0" borderId="7" xfId="3" applyNumberFormat="1" applyFont="1" applyBorder="1"/>
    <xf numFmtId="169" fontId="8" fillId="0" borderId="8" xfId="3" applyNumberFormat="1" applyFont="1" applyBorder="1"/>
    <xf numFmtId="41" fontId="8" fillId="0" borderId="4" xfId="0" applyNumberFormat="1" applyFont="1" applyBorder="1"/>
    <xf numFmtId="41" fontId="8" fillId="0" borderId="4" xfId="0" quotePrefix="1" applyNumberFormat="1" applyFont="1" applyBorder="1" applyAlignment="1">
      <alignment horizontal="left"/>
    </xf>
    <xf numFmtId="41" fontId="8" fillId="0" borderId="0" xfId="1" applyNumberFormat="1" applyFont="1" applyBorder="1"/>
    <xf numFmtId="41" fontId="8" fillId="0" borderId="5" xfId="1" applyNumberFormat="1" applyFont="1" applyBorder="1"/>
    <xf numFmtId="41" fontId="5" fillId="0" borderId="0" xfId="1" applyNumberFormat="1" applyFont="1" applyBorder="1"/>
    <xf numFmtId="41" fontId="5" fillId="0" borderId="5" xfId="1" applyNumberFormat="1" applyFont="1" applyBorder="1"/>
    <xf numFmtId="0" fontId="8" fillId="0" borderId="5" xfId="0" applyFont="1" applyBorder="1"/>
    <xf numFmtId="0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7"/>
  <sheetViews>
    <sheetView tabSelected="1" zoomScale="80" workbookViewId="0"/>
  </sheetViews>
  <sheetFormatPr defaultRowHeight="12.75" x14ac:dyDescent="0.2"/>
  <cols>
    <col min="1" max="3" width="3.7109375" customWidth="1"/>
    <col min="4" max="6" width="11.28515625" customWidth="1"/>
    <col min="7" max="9" width="14.7109375" customWidth="1"/>
    <col min="10" max="11" width="4.5703125" customWidth="1"/>
    <col min="12" max="15" width="9.5703125" customWidth="1"/>
    <col min="16" max="16" width="9.5703125" bestFit="1" customWidth="1"/>
    <col min="17" max="18" width="9.5703125" customWidth="1"/>
    <col min="21" max="21" width="14.42578125" customWidth="1"/>
    <col min="22" max="22" width="11.28515625" customWidth="1"/>
    <col min="23" max="23" width="10.7109375" customWidth="1"/>
  </cols>
  <sheetData>
    <row r="1" spans="1:23" ht="30" x14ac:dyDescent="0.4">
      <c r="A1" s="26" t="s">
        <v>6</v>
      </c>
    </row>
    <row r="2" spans="1:23" ht="18" customHeight="1" x14ac:dyDescent="0.25">
      <c r="A2" s="61" t="s">
        <v>41</v>
      </c>
      <c r="G2" s="81"/>
    </row>
    <row r="3" spans="1:23" ht="18" customHeight="1" x14ac:dyDescent="0.4">
      <c r="A3" s="26"/>
    </row>
    <row r="4" spans="1:23" x14ac:dyDescent="0.2">
      <c r="A4" s="49" t="s">
        <v>38</v>
      </c>
      <c r="B4" s="14"/>
      <c r="C4" s="14"/>
      <c r="D4" s="14"/>
      <c r="E4" s="14"/>
      <c r="F4" s="14"/>
      <c r="G4" s="14"/>
      <c r="I4" s="28" t="s">
        <v>53</v>
      </c>
    </row>
    <row r="5" spans="1:23" x14ac:dyDescent="0.2">
      <c r="A5" s="7" t="s">
        <v>22</v>
      </c>
      <c r="B5" s="8"/>
      <c r="C5" s="8"/>
      <c r="D5" s="8"/>
      <c r="E5" s="8"/>
      <c r="F5" s="8"/>
      <c r="G5" s="50">
        <v>8.5000000000000006E-2</v>
      </c>
      <c r="I5" s="7" t="s">
        <v>34</v>
      </c>
      <c r="J5" s="8"/>
      <c r="K5" s="8"/>
      <c r="L5" s="42">
        <v>0.08</v>
      </c>
      <c r="M5" s="43">
        <v>8.2500000000000004E-2</v>
      </c>
      <c r="N5" s="43">
        <v>8.5000000000000006E-2</v>
      </c>
      <c r="O5" s="43">
        <v>8.7499999999999994E-2</v>
      </c>
      <c r="P5" s="43">
        <v>0.09</v>
      </c>
      <c r="Q5" s="43">
        <v>9.2499999999999999E-2</v>
      </c>
      <c r="R5" s="44">
        <v>9.5000000000000001E-2</v>
      </c>
      <c r="U5" s="103" t="s">
        <v>34</v>
      </c>
      <c r="V5" s="103" t="s">
        <v>114</v>
      </c>
      <c r="W5" s="103" t="s">
        <v>111</v>
      </c>
    </row>
    <row r="6" spans="1:23" x14ac:dyDescent="0.2">
      <c r="A6" s="13" t="s">
        <v>81</v>
      </c>
      <c r="G6" s="85">
        <v>36887</v>
      </c>
      <c r="I6" s="20" t="s">
        <v>56</v>
      </c>
      <c r="J6" s="21"/>
      <c r="K6" s="45">
        <f>+I52</f>
        <v>7985.636414814624</v>
      </c>
      <c r="L6" s="23">
        <f t="dataTable" ref="L6:R6" dt2D="0" dtr="1" r1="G5"/>
        <v>10924.282526003291</v>
      </c>
      <c r="M6" s="23">
        <v>9445.1878225479431</v>
      </c>
      <c r="N6" s="23">
        <v>7985.636414814624</v>
      </c>
      <c r="O6" s="23">
        <v>6545.3030700846602</v>
      </c>
      <c r="P6" s="23">
        <v>5123.8689254300507</v>
      </c>
      <c r="Q6" s="23">
        <v>3721.0213457627051</v>
      </c>
      <c r="R6" s="46">
        <v>2336.4537854087939</v>
      </c>
      <c r="U6" s="104">
        <f t="array" ref="U6:U12">TRANSPOSE(L5:R5)</f>
        <v>0.08</v>
      </c>
      <c r="V6" s="105">
        <f t="array" ref="V6:V12">TRANSPOSE(L13:R13)</f>
        <v>353217.05864167365</v>
      </c>
      <c r="W6" s="105">
        <f t="array" ref="W6:W12">TRANSPOSE(L6:R6)</f>
        <v>10924.282526003291</v>
      </c>
    </row>
    <row r="7" spans="1:23" x14ac:dyDescent="0.2">
      <c r="A7" s="13" t="s">
        <v>23</v>
      </c>
      <c r="B7" s="14"/>
      <c r="C7" s="14"/>
      <c r="D7" s="14"/>
      <c r="E7" s="14"/>
      <c r="F7" s="14"/>
      <c r="G7" s="47">
        <v>0.11600000000000001</v>
      </c>
      <c r="L7" s="5"/>
      <c r="M7" s="5"/>
      <c r="N7" s="5"/>
      <c r="O7" s="5"/>
      <c r="P7" s="5"/>
      <c r="Q7" s="5"/>
      <c r="R7" s="5"/>
      <c r="U7" s="104">
        <v>8.2500000000000004E-2</v>
      </c>
      <c r="V7" s="105">
        <v>350253.31221020391</v>
      </c>
      <c r="W7" s="105">
        <v>9445.1878225479431</v>
      </c>
    </row>
    <row r="8" spans="1:23" x14ac:dyDescent="0.2">
      <c r="A8" s="13" t="s">
        <v>27</v>
      </c>
      <c r="B8" s="14"/>
      <c r="C8" s="14"/>
      <c r="D8" s="14"/>
      <c r="E8" s="14"/>
      <c r="F8" s="14"/>
      <c r="G8" s="47">
        <v>1.8749999999999999E-3</v>
      </c>
      <c r="I8" t="s">
        <v>52</v>
      </c>
      <c r="L8" s="107">
        <f t="shared" ref="L8:Q8" si="0">(+L6-M6)/((M5-L5)*1000)</f>
        <v>591.63788138213874</v>
      </c>
      <c r="M8" s="107">
        <f t="shared" si="0"/>
        <v>583.82056309332711</v>
      </c>
      <c r="N8" s="107">
        <f t="shared" si="0"/>
        <v>576.13333789198816</v>
      </c>
      <c r="O8" s="107">
        <f t="shared" si="0"/>
        <v>568.57365786184334</v>
      </c>
      <c r="P8" s="107">
        <f t="shared" si="0"/>
        <v>561.13903186693778</v>
      </c>
      <c r="Q8" s="107">
        <f t="shared" si="0"/>
        <v>553.82702414156392</v>
      </c>
      <c r="U8" s="104">
        <v>8.5000000000000006E-2</v>
      </c>
      <c r="V8" s="105">
        <v>347328.72579520923</v>
      </c>
      <c r="W8" s="105">
        <v>7985.636414814624</v>
      </c>
    </row>
    <row r="9" spans="1:23" x14ac:dyDescent="0.2">
      <c r="A9" s="13" t="s">
        <v>62</v>
      </c>
      <c r="B9" s="14"/>
      <c r="C9" s="14"/>
      <c r="D9" s="14"/>
      <c r="E9" s="14"/>
      <c r="F9" s="14"/>
      <c r="G9" s="47">
        <v>6.0000000000000001E-3</v>
      </c>
      <c r="U9" s="104">
        <v>8.7499999999999994E-2</v>
      </c>
      <c r="V9" s="105">
        <v>344442.64770933823</v>
      </c>
      <c r="W9" s="105">
        <v>6545.3030700846602</v>
      </c>
    </row>
    <row r="10" spans="1:23" x14ac:dyDescent="0.2">
      <c r="A10" s="13" t="s">
        <v>44</v>
      </c>
      <c r="B10" s="14"/>
      <c r="C10" s="14"/>
      <c r="D10" s="14"/>
      <c r="E10" s="14"/>
      <c r="F10" s="14"/>
      <c r="G10" s="47">
        <v>6.0000000000000001E-3</v>
      </c>
      <c r="U10" s="104">
        <v>0.09</v>
      </c>
      <c r="V10" s="105">
        <v>341594.43902875291</v>
      </c>
      <c r="W10" s="105">
        <v>5123.8689254300507</v>
      </c>
    </row>
    <row r="11" spans="1:23" x14ac:dyDescent="0.2">
      <c r="A11" s="13" t="s">
        <v>66</v>
      </c>
      <c r="B11" s="14"/>
      <c r="C11" s="14"/>
      <c r="D11" s="14"/>
      <c r="E11" s="14"/>
      <c r="F11" s="14"/>
      <c r="G11" s="48">
        <v>3000</v>
      </c>
      <c r="I11" s="28" t="s">
        <v>118</v>
      </c>
      <c r="J11" s="115"/>
      <c r="K11" s="115"/>
      <c r="L11" s="116"/>
      <c r="M11" s="117"/>
      <c r="N11" s="117"/>
      <c r="O11" s="117"/>
      <c r="P11" s="117"/>
      <c r="Q11" s="117"/>
      <c r="R11" s="106"/>
      <c r="U11" s="104">
        <v>9.2499999999999999E-2</v>
      </c>
      <c r="V11" s="105">
        <v>338783.47330869309</v>
      </c>
      <c r="W11" s="105">
        <v>3721.0213457627051</v>
      </c>
    </row>
    <row r="12" spans="1:23" x14ac:dyDescent="0.2">
      <c r="A12" s="13" t="s">
        <v>33</v>
      </c>
      <c r="B12" s="14"/>
      <c r="C12" s="14"/>
      <c r="D12" s="14"/>
      <c r="E12" s="14"/>
      <c r="F12" s="14"/>
      <c r="G12" s="48">
        <v>202212</v>
      </c>
      <c r="I12" s="70" t="s">
        <v>34</v>
      </c>
      <c r="J12" s="118"/>
      <c r="K12" s="119"/>
      <c r="L12" s="120">
        <f t="shared" ref="L12:R12" si="1">+L5</f>
        <v>0.08</v>
      </c>
      <c r="M12" s="120">
        <f t="shared" si="1"/>
        <v>8.2500000000000004E-2</v>
      </c>
      <c r="N12" s="120">
        <f t="shared" si="1"/>
        <v>8.5000000000000006E-2</v>
      </c>
      <c r="O12" s="120">
        <f t="shared" si="1"/>
        <v>8.7499999999999994E-2</v>
      </c>
      <c r="P12" s="120">
        <f t="shared" si="1"/>
        <v>0.09</v>
      </c>
      <c r="Q12" s="120">
        <f t="shared" si="1"/>
        <v>9.2499999999999999E-2</v>
      </c>
      <c r="R12" s="121">
        <f t="shared" si="1"/>
        <v>9.5000000000000001E-2</v>
      </c>
      <c r="U12" s="104">
        <v>9.5000000000000001E-2</v>
      </c>
      <c r="V12" s="105">
        <v>336009.13630610547</v>
      </c>
      <c r="W12" s="105">
        <v>2336.4537854087939</v>
      </c>
    </row>
    <row r="13" spans="1:23" x14ac:dyDescent="0.2">
      <c r="A13" s="13" t="s">
        <v>47</v>
      </c>
      <c r="B13" s="14"/>
      <c r="C13" s="14"/>
      <c r="D13" s="14"/>
      <c r="E13" s="14"/>
      <c r="F13" s="14"/>
      <c r="G13" s="48">
        <v>157900</v>
      </c>
      <c r="I13" s="58" t="s">
        <v>80</v>
      </c>
      <c r="J13" s="115"/>
      <c r="K13" s="79">
        <f>+I24</f>
        <v>347328.72579520923</v>
      </c>
      <c r="L13" s="62">
        <f t="dataTable" ref="L13:R13" dt2D="0" dtr="1" r1="G5" ca="1"/>
        <v>353217.05864167365</v>
      </c>
      <c r="M13" s="62">
        <v>350253.31221020391</v>
      </c>
      <c r="N13" s="62">
        <v>347328.72579520923</v>
      </c>
      <c r="O13" s="62">
        <v>344442.64770933823</v>
      </c>
      <c r="P13" s="62">
        <v>341594.43902875291</v>
      </c>
      <c r="Q13" s="62">
        <v>338783.47330869309</v>
      </c>
      <c r="R13" s="122">
        <v>336009.13630610547</v>
      </c>
    </row>
    <row r="14" spans="1:23" x14ac:dyDescent="0.2">
      <c r="A14" s="13" t="s">
        <v>51</v>
      </c>
      <c r="B14" s="14"/>
      <c r="C14" s="14"/>
      <c r="D14" s="14"/>
      <c r="E14" s="14"/>
      <c r="F14" s="14"/>
      <c r="G14" s="48">
        <v>14225.86206041986</v>
      </c>
      <c r="I14" s="59" t="s">
        <v>85</v>
      </c>
      <c r="J14" s="123"/>
      <c r="K14" s="123"/>
      <c r="L14" s="124">
        <f>LOOKUP(L12,Quarterly!$D$22:$E$28)</f>
        <v>7.7762029693947285E-2</v>
      </c>
      <c r="M14" s="124">
        <f>LOOKUP(M12,Quarterly!$D$22:$E$28)</f>
        <v>8.0123334998153814E-2</v>
      </c>
      <c r="N14" s="124">
        <f>LOOKUP(N12,Quarterly!$D$22:$E$28)</f>
        <v>8.2480672127756366E-2</v>
      </c>
      <c r="O14" s="124">
        <f>LOOKUP(O12,Quarterly!$D$22:$E$28)</f>
        <v>8.4834057693107451E-2</v>
      </c>
      <c r="P14" s="124">
        <f>LOOKUP(P12,Quarterly!$D$22:$E$28)</f>
        <v>8.7183508202736418E-2</v>
      </c>
      <c r="Q14" s="124">
        <f>LOOKUP(Q12,Quarterly!$D$22:$E$28)</f>
        <v>8.9529040064172588E-2</v>
      </c>
      <c r="R14" s="125">
        <f>LOOKUP(R12,Quarterly!$D$22:$E$28)</f>
        <v>9.1870669584912926E-2</v>
      </c>
    </row>
    <row r="15" spans="1:23" x14ac:dyDescent="0.2">
      <c r="A15" s="13"/>
      <c r="B15" s="14" t="s">
        <v>88</v>
      </c>
      <c r="C15" s="14"/>
      <c r="D15" s="14"/>
      <c r="E15" s="14"/>
      <c r="F15" s="14"/>
      <c r="G15" s="95">
        <f>+'Annex 1.02'!E8</f>
        <v>0.52688378001555036</v>
      </c>
      <c r="I15" s="14"/>
      <c r="J15" s="14"/>
      <c r="K15" s="14"/>
      <c r="L15" s="93"/>
      <c r="M15" s="93"/>
      <c r="N15" s="93"/>
      <c r="O15" s="93"/>
      <c r="P15" s="93"/>
      <c r="Q15" s="93"/>
      <c r="R15" s="93"/>
    </row>
    <row r="16" spans="1:23" x14ac:dyDescent="0.2">
      <c r="A16" s="13" t="s">
        <v>89</v>
      </c>
      <c r="B16" s="14"/>
      <c r="C16" s="14"/>
      <c r="D16" s="14"/>
      <c r="E16" s="14"/>
      <c r="F16" s="14"/>
      <c r="G16" s="48">
        <v>300000</v>
      </c>
      <c r="I16" s="14"/>
      <c r="J16" s="14"/>
      <c r="K16" s="14"/>
      <c r="L16" s="93"/>
      <c r="M16" s="93"/>
      <c r="N16" s="93"/>
      <c r="O16" s="93"/>
      <c r="P16" s="93"/>
      <c r="Q16" s="93"/>
      <c r="R16" s="93"/>
    </row>
    <row r="17" spans="1:18" x14ac:dyDescent="0.2">
      <c r="A17" s="13" t="s">
        <v>40</v>
      </c>
      <c r="B17" s="14"/>
      <c r="C17" s="14"/>
      <c r="D17" s="14"/>
      <c r="E17" s="14"/>
      <c r="F17" s="14"/>
      <c r="G17" s="83">
        <v>38.5</v>
      </c>
      <c r="I17" s="14"/>
      <c r="J17" s="14"/>
      <c r="K17" s="14"/>
      <c r="L17" s="17"/>
      <c r="M17" s="17"/>
      <c r="N17" s="17"/>
      <c r="O17" s="17"/>
      <c r="P17" s="17"/>
      <c r="Q17" s="17"/>
      <c r="R17" s="90"/>
    </row>
    <row r="18" spans="1:18" x14ac:dyDescent="0.2">
      <c r="A18" s="20" t="s">
        <v>42</v>
      </c>
      <c r="B18" s="21"/>
      <c r="C18" s="21"/>
      <c r="D18" s="21"/>
      <c r="E18" s="21"/>
      <c r="F18" s="21"/>
      <c r="G18" s="84">
        <f>+Contingent!F32</f>
        <v>26103</v>
      </c>
      <c r="I18" s="14"/>
      <c r="J18" s="14"/>
      <c r="K18" s="14"/>
      <c r="L18" s="91"/>
      <c r="M18" s="91"/>
      <c r="N18" s="91"/>
      <c r="O18" s="91"/>
      <c r="P18" s="91"/>
      <c r="Q18" s="91"/>
      <c r="R18" s="91"/>
    </row>
    <row r="19" spans="1:18" x14ac:dyDescent="0.2">
      <c r="I19" s="14"/>
      <c r="J19" s="14"/>
      <c r="K19" s="14"/>
      <c r="L19" s="77"/>
      <c r="M19" s="78"/>
      <c r="N19" s="78"/>
      <c r="O19" s="78"/>
      <c r="P19" s="78"/>
      <c r="Q19" s="78"/>
    </row>
    <row r="20" spans="1:18" x14ac:dyDescent="0.2">
      <c r="G20" s="41"/>
    </row>
    <row r="21" spans="1:18" x14ac:dyDescent="0.2">
      <c r="A21" s="28" t="s">
        <v>39</v>
      </c>
      <c r="G21" s="4"/>
      <c r="K21" s="28" t="s">
        <v>117</v>
      </c>
    </row>
    <row r="22" spans="1:18" x14ac:dyDescent="0.2">
      <c r="A22" s="7"/>
      <c r="B22" s="8"/>
      <c r="C22" s="8"/>
      <c r="D22" s="8"/>
      <c r="E22" s="8"/>
      <c r="F22" s="8"/>
      <c r="G22" s="51" t="s">
        <v>24</v>
      </c>
      <c r="H22" s="51" t="s">
        <v>25</v>
      </c>
      <c r="I22" s="52" t="s">
        <v>18</v>
      </c>
      <c r="K22" s="7"/>
      <c r="L22" s="8"/>
      <c r="M22" s="11"/>
      <c r="N22" s="133" t="s">
        <v>104</v>
      </c>
      <c r="O22" s="133"/>
      <c r="P22" s="133" t="s">
        <v>105</v>
      </c>
      <c r="Q22" s="134"/>
      <c r="R22" s="135"/>
    </row>
    <row r="23" spans="1:18" x14ac:dyDescent="0.2">
      <c r="A23" s="58" t="s">
        <v>11</v>
      </c>
      <c r="B23" s="14"/>
      <c r="C23" s="14"/>
      <c r="D23" s="14"/>
      <c r="E23" s="14"/>
      <c r="G23" s="14"/>
      <c r="H23" s="14"/>
      <c r="I23" s="53"/>
      <c r="K23" s="13"/>
      <c r="L23" s="108"/>
      <c r="M23" s="108"/>
      <c r="N23" s="136" t="s">
        <v>106</v>
      </c>
      <c r="O23" s="137"/>
      <c r="P23" s="136" t="s">
        <v>107</v>
      </c>
      <c r="Q23" s="138"/>
      <c r="R23" s="139" t="s">
        <v>113</v>
      </c>
    </row>
    <row r="24" spans="1:18" x14ac:dyDescent="0.2">
      <c r="A24" s="13"/>
      <c r="B24" s="14" t="s">
        <v>67</v>
      </c>
      <c r="C24" s="14"/>
      <c r="D24" s="14"/>
      <c r="E24" s="14"/>
      <c r="G24" s="17">
        <f>+I24-H24</f>
        <v>189428.72579520923</v>
      </c>
      <c r="H24" s="63">
        <f>+G13</f>
        <v>157900</v>
      </c>
      <c r="I24" s="54">
        <f>+Quarterly!E8/1000</f>
        <v>347328.72579520923</v>
      </c>
      <c r="K24" s="13"/>
      <c r="L24" s="108"/>
      <c r="M24" s="108"/>
      <c r="N24" s="14"/>
      <c r="O24" s="14"/>
      <c r="P24" s="14"/>
      <c r="Q24" s="14"/>
      <c r="R24" s="53"/>
    </row>
    <row r="25" spans="1:18" ht="15" x14ac:dyDescent="0.35">
      <c r="A25" s="13"/>
      <c r="B25" s="14" t="s">
        <v>61</v>
      </c>
      <c r="C25" s="14"/>
      <c r="D25" s="14"/>
      <c r="E25" s="14"/>
      <c r="G25" s="33">
        <f>-H25</f>
        <v>-1747.3689863013699</v>
      </c>
      <c r="H25" s="55">
        <f>+G13*0.09*($G$6-DATE(2000,9,30))/365*0.51</f>
        <v>1747.3689863013699</v>
      </c>
      <c r="I25" s="80">
        <f>+G25+H25</f>
        <v>0</v>
      </c>
      <c r="K25" s="126" t="s">
        <v>108</v>
      </c>
      <c r="L25" s="115"/>
      <c r="M25" s="109"/>
      <c r="N25" s="128">
        <f>+G27</f>
        <v>187681.35680890788</v>
      </c>
      <c r="O25" s="128"/>
      <c r="P25" s="128">
        <f>+H24</f>
        <v>157900</v>
      </c>
      <c r="Q25" s="115"/>
      <c r="R25" s="129">
        <f>N25/2+P25</f>
        <v>251740.67840445394</v>
      </c>
    </row>
    <row r="26" spans="1:18" ht="15" x14ac:dyDescent="0.35">
      <c r="A26" s="13"/>
      <c r="B26" s="14"/>
      <c r="C26" s="14"/>
      <c r="D26" s="14"/>
      <c r="E26" s="14"/>
      <c r="G26" s="33"/>
      <c r="H26" s="55"/>
      <c r="I26" s="80"/>
      <c r="K26" s="127" t="s">
        <v>116</v>
      </c>
      <c r="L26" s="115"/>
      <c r="M26" s="109"/>
      <c r="N26" s="128">
        <f>SUM(G31:G34)</f>
        <v>-5604.0788257235972</v>
      </c>
      <c r="O26" s="128"/>
      <c r="P26" s="128">
        <f>SUM(H31:H34)-G32-G33</f>
        <v>2868.8651100863244</v>
      </c>
      <c r="Q26" s="115"/>
      <c r="R26" s="129">
        <f>N26/2+P26</f>
        <v>66.825697224525811</v>
      </c>
    </row>
    <row r="27" spans="1:18" ht="15" x14ac:dyDescent="0.35">
      <c r="A27" s="13"/>
      <c r="B27" s="14" t="s">
        <v>63</v>
      </c>
      <c r="D27" s="14"/>
      <c r="E27" s="14"/>
      <c r="G27" s="5">
        <f>+G24+G25</f>
        <v>187681.35680890788</v>
      </c>
      <c r="H27" s="17">
        <f>+H24+H25</f>
        <v>159647.36898630136</v>
      </c>
      <c r="I27" s="54">
        <f>+G27+H27</f>
        <v>347328.72579520923</v>
      </c>
      <c r="K27" s="127" t="s">
        <v>112</v>
      </c>
      <c r="L27" s="115"/>
      <c r="M27" s="109"/>
      <c r="N27" s="130">
        <v>0</v>
      </c>
      <c r="O27" s="128"/>
      <c r="P27" s="130">
        <f>+H25+H30</f>
        <v>3426.2136986301371</v>
      </c>
      <c r="Q27" s="115"/>
      <c r="R27" s="131">
        <f>+P27</f>
        <v>3426.2136986301371</v>
      </c>
    </row>
    <row r="28" spans="1:18" x14ac:dyDescent="0.2">
      <c r="A28" s="13"/>
      <c r="B28" s="14"/>
      <c r="C28" t="s">
        <v>87</v>
      </c>
      <c r="D28" s="14"/>
      <c r="E28" s="14"/>
      <c r="G28" s="92">
        <f>+G27/I27</f>
        <v>0.54035656388400166</v>
      </c>
      <c r="H28" s="93">
        <f>+H27/I27</f>
        <v>0.45964343611599834</v>
      </c>
      <c r="I28" s="94">
        <f>+G28+H28</f>
        <v>1</v>
      </c>
      <c r="K28" s="58"/>
      <c r="L28" s="115"/>
      <c r="M28" s="14"/>
      <c r="N28" s="115"/>
      <c r="O28" s="115"/>
      <c r="P28" s="115"/>
      <c r="Q28" s="115"/>
      <c r="R28" s="132"/>
    </row>
    <row r="29" spans="1:18" x14ac:dyDescent="0.2">
      <c r="A29" s="13"/>
      <c r="B29" s="14"/>
      <c r="C29" s="14"/>
      <c r="D29" s="14"/>
      <c r="E29" s="14"/>
      <c r="G29" s="5"/>
      <c r="H29" s="17"/>
      <c r="I29" s="54"/>
      <c r="K29" s="126" t="s">
        <v>28</v>
      </c>
      <c r="L29" s="115"/>
      <c r="M29" s="109"/>
      <c r="N29" s="128">
        <f>SUM(N25:N27)</f>
        <v>182077.27798318429</v>
      </c>
      <c r="O29" s="128"/>
      <c r="P29" s="128">
        <f>SUM(P25:P27)</f>
        <v>164195.07880871647</v>
      </c>
      <c r="Q29" s="115"/>
      <c r="R29" s="129">
        <f>SUM(R25:R27)</f>
        <v>255233.7178003086</v>
      </c>
    </row>
    <row r="30" spans="1:18" ht="15" x14ac:dyDescent="0.35">
      <c r="A30" s="13"/>
      <c r="B30" s="14" t="s">
        <v>68</v>
      </c>
      <c r="C30" s="14"/>
      <c r="D30" s="14"/>
      <c r="E30" s="14"/>
      <c r="G30" s="17">
        <v>0</v>
      </c>
      <c r="H30" s="63">
        <f>G13*0.09*($G$6-DATE(2000,9,30))/365*0.49</f>
        <v>1678.8447123287672</v>
      </c>
      <c r="I30" s="54">
        <f>+G30+H30</f>
        <v>1678.8447123287672</v>
      </c>
      <c r="K30" s="127" t="s">
        <v>115</v>
      </c>
      <c r="L30" s="115"/>
      <c r="M30" s="109"/>
      <c r="N30" s="130">
        <f>+I39</f>
        <v>23515.837229012148</v>
      </c>
      <c r="O30" s="128"/>
      <c r="P30" s="130">
        <v>0</v>
      </c>
      <c r="Q30" s="115"/>
      <c r="R30" s="131">
        <f>+N30/2</f>
        <v>11757.918614506074</v>
      </c>
    </row>
    <row r="31" spans="1:18" x14ac:dyDescent="0.2">
      <c r="A31" s="13"/>
      <c r="B31" s="14" t="s">
        <v>71</v>
      </c>
      <c r="C31" s="14"/>
      <c r="D31" s="14"/>
      <c r="E31" s="14"/>
      <c r="G31" s="17">
        <f>-G27*$G$9</f>
        <v>-1126.0881408534474</v>
      </c>
      <c r="H31" s="17">
        <f>-H27*$G$9</f>
        <v>-957.88421391780821</v>
      </c>
      <c r="I31" s="18">
        <f>+G31+H31</f>
        <v>-2083.9723547712556</v>
      </c>
      <c r="K31" s="126"/>
      <c r="L31" s="115"/>
      <c r="M31" s="110"/>
      <c r="N31" s="128"/>
      <c r="O31" s="128"/>
      <c r="P31" s="128"/>
      <c r="Q31" s="115"/>
      <c r="R31" s="132"/>
    </row>
    <row r="32" spans="1:18" x14ac:dyDescent="0.2">
      <c r="A32" s="13"/>
      <c r="B32" s="14" t="s">
        <v>45</v>
      </c>
      <c r="C32" s="14"/>
      <c r="D32" s="14"/>
      <c r="E32" s="14"/>
      <c r="G32" s="17">
        <f>-G27*$G$10</f>
        <v>-1126.0881408534474</v>
      </c>
      <c r="H32" s="17">
        <v>0</v>
      </c>
      <c r="I32" s="18">
        <f>+G32+H32</f>
        <v>-1126.0881408534474</v>
      </c>
      <c r="K32" s="127" t="s">
        <v>110</v>
      </c>
      <c r="L32" s="115"/>
      <c r="M32" s="109"/>
      <c r="N32" s="128">
        <f>+N29+N30</f>
        <v>205593.11521219643</v>
      </c>
      <c r="O32" s="128"/>
      <c r="P32" s="128">
        <f>+P29+P30</f>
        <v>164195.07880871647</v>
      </c>
      <c r="Q32" s="115"/>
      <c r="R32" s="129">
        <f>+R29+R30</f>
        <v>266991.63641481468</v>
      </c>
    </row>
    <row r="33" spans="1:18" ht="15" x14ac:dyDescent="0.35">
      <c r="A33" s="13"/>
      <c r="B33" s="14" t="s">
        <v>64</v>
      </c>
      <c r="C33" s="14"/>
      <c r="D33" s="14"/>
      <c r="E33" s="14"/>
      <c r="G33" s="17">
        <f>-G11</f>
        <v>-3000</v>
      </c>
      <c r="H33" s="17">
        <v>0</v>
      </c>
      <c r="I33" s="18">
        <f>+G33+H33</f>
        <v>-3000</v>
      </c>
      <c r="K33" s="126" t="s">
        <v>109</v>
      </c>
      <c r="L33" s="115"/>
      <c r="M33" s="109"/>
      <c r="N33" s="130">
        <f>+G12</f>
        <v>202212</v>
      </c>
      <c r="O33" s="128"/>
      <c r="P33" s="130">
        <f>+G13</f>
        <v>157900</v>
      </c>
      <c r="Q33" s="115"/>
      <c r="R33" s="131">
        <f>N33/2+P33</f>
        <v>259006</v>
      </c>
    </row>
    <row r="34" spans="1:18" ht="15" x14ac:dyDescent="0.35">
      <c r="A34" s="13"/>
      <c r="B34" s="14" t="s">
        <v>26</v>
      </c>
      <c r="C34" s="14"/>
      <c r="D34" s="14"/>
      <c r="E34" s="14"/>
      <c r="G34" s="55">
        <f>-G27*$G$8</f>
        <v>-351.90254401670228</v>
      </c>
      <c r="H34" s="55">
        <f>-H27*$G$8</f>
        <v>-299.33881684931504</v>
      </c>
      <c r="I34" s="56">
        <f>+G34+H34</f>
        <v>-651.24136086601732</v>
      </c>
      <c r="K34" s="58"/>
      <c r="L34" s="115"/>
      <c r="M34" s="14"/>
      <c r="N34" s="115"/>
      <c r="O34" s="115"/>
      <c r="P34" s="115"/>
      <c r="Q34" s="115"/>
      <c r="R34" s="132"/>
    </row>
    <row r="35" spans="1:18" x14ac:dyDescent="0.2">
      <c r="A35" s="13"/>
      <c r="B35" s="14"/>
      <c r="C35" s="14"/>
      <c r="D35" s="14"/>
      <c r="E35" s="14"/>
      <c r="G35" s="14"/>
      <c r="H35" s="14"/>
      <c r="I35" s="53"/>
      <c r="K35" s="126" t="s">
        <v>111</v>
      </c>
      <c r="L35" s="115"/>
      <c r="M35" s="109"/>
      <c r="N35" s="128">
        <f>+N32-N33</f>
        <v>3381.115212196426</v>
      </c>
      <c r="O35" s="128"/>
      <c r="P35" s="128">
        <f>+P32-P33</f>
        <v>6295.0788087164692</v>
      </c>
      <c r="Q35" s="115"/>
      <c r="R35" s="129">
        <f>+R32-R33</f>
        <v>7985.6364148146822</v>
      </c>
    </row>
    <row r="36" spans="1:18" x14ac:dyDescent="0.2">
      <c r="A36" s="13"/>
      <c r="B36" s="14" t="s">
        <v>28</v>
      </c>
      <c r="C36" s="14"/>
      <c r="D36" s="14"/>
      <c r="E36" s="14"/>
      <c r="G36" s="17">
        <f>SUM(G30:G34)+G27</f>
        <v>182077.27798318429</v>
      </c>
      <c r="H36" s="17">
        <f>SUM(H30:H34)+H27</f>
        <v>160068.99066786299</v>
      </c>
      <c r="I36" s="18">
        <f>SUM(I30:I34)+I27</f>
        <v>342146.26865104726</v>
      </c>
      <c r="K36" s="20"/>
      <c r="L36" s="111"/>
      <c r="M36" s="112"/>
      <c r="N36" s="113"/>
      <c r="O36" s="114"/>
      <c r="P36" s="114"/>
      <c r="Q36" s="21"/>
      <c r="R36" s="98"/>
    </row>
    <row r="37" spans="1:18" x14ac:dyDescent="0.2">
      <c r="A37" s="13"/>
      <c r="B37" s="14"/>
      <c r="C37" s="14"/>
      <c r="D37" s="14"/>
      <c r="E37" s="14"/>
      <c r="G37" s="14"/>
      <c r="H37" s="14"/>
      <c r="I37" s="53"/>
    </row>
    <row r="38" spans="1:18" x14ac:dyDescent="0.2">
      <c r="A38" s="58" t="s">
        <v>29</v>
      </c>
      <c r="B38" s="14"/>
      <c r="C38" s="14"/>
      <c r="D38" s="14"/>
      <c r="E38" s="14"/>
      <c r="G38" s="14"/>
      <c r="H38" s="14"/>
      <c r="I38" s="53"/>
    </row>
    <row r="39" spans="1:18" ht="15" x14ac:dyDescent="0.35">
      <c r="A39" s="13"/>
      <c r="B39" s="14" t="s">
        <v>30</v>
      </c>
      <c r="C39" s="14"/>
      <c r="D39" s="14"/>
      <c r="E39" s="67" t="s">
        <v>65</v>
      </c>
      <c r="G39" s="55">
        <f>+Contingent!E36</f>
        <v>23515.837229012148</v>
      </c>
      <c r="H39" s="57">
        <v>0</v>
      </c>
      <c r="I39" s="56">
        <f>+G39+H39</f>
        <v>23515.837229012148</v>
      </c>
    </row>
    <row r="40" spans="1:18" x14ac:dyDescent="0.2">
      <c r="A40" s="13"/>
      <c r="B40" s="14"/>
      <c r="C40" s="14"/>
      <c r="D40" s="14"/>
      <c r="E40" s="14"/>
      <c r="G40" s="14"/>
      <c r="H40" s="14"/>
      <c r="I40" s="53"/>
    </row>
    <row r="41" spans="1:18" x14ac:dyDescent="0.2">
      <c r="A41" s="59" t="s">
        <v>35</v>
      </c>
      <c r="B41" s="21"/>
      <c r="C41" s="21"/>
      <c r="D41" s="21"/>
      <c r="E41" s="21"/>
      <c r="F41" s="21"/>
      <c r="G41" s="24">
        <f>+G36+G39</f>
        <v>205593.11521219643</v>
      </c>
      <c r="H41" s="24">
        <f>+H36+H39</f>
        <v>160068.99066786299</v>
      </c>
      <c r="I41" s="25">
        <f>+I36+I39</f>
        <v>365662.10588005942</v>
      </c>
    </row>
    <row r="42" spans="1:18" x14ac:dyDescent="0.2">
      <c r="A42" s="14"/>
      <c r="B42" s="14"/>
      <c r="C42" s="14"/>
      <c r="D42" s="14"/>
      <c r="E42" s="14"/>
      <c r="G42" s="14"/>
      <c r="H42" s="14"/>
      <c r="I42" s="14"/>
    </row>
    <row r="43" spans="1:18" x14ac:dyDescent="0.2">
      <c r="B43" s="14"/>
      <c r="C43" s="14"/>
      <c r="D43" s="14"/>
      <c r="E43" s="14"/>
      <c r="G43" s="14"/>
      <c r="H43" s="14"/>
      <c r="I43" s="14"/>
    </row>
    <row r="44" spans="1:18" x14ac:dyDescent="0.2">
      <c r="A44" s="28" t="s">
        <v>31</v>
      </c>
      <c r="B44" s="14"/>
      <c r="C44" s="14"/>
      <c r="D44" s="14"/>
      <c r="E44" s="14"/>
      <c r="G44" s="14"/>
      <c r="H44" s="14"/>
      <c r="I44" s="14"/>
    </row>
    <row r="45" spans="1:18" x14ac:dyDescent="0.2">
      <c r="A45" s="7"/>
      <c r="B45" s="8"/>
      <c r="C45" s="8"/>
      <c r="D45" s="8"/>
      <c r="E45" s="8"/>
      <c r="F45" s="8"/>
      <c r="G45" s="51" t="s">
        <v>24</v>
      </c>
      <c r="H45" s="51" t="s">
        <v>25</v>
      </c>
      <c r="I45" s="52" t="s">
        <v>18</v>
      </c>
    </row>
    <row r="46" spans="1:18" x14ac:dyDescent="0.2">
      <c r="A46" s="13" t="s">
        <v>32</v>
      </c>
      <c r="B46" s="14"/>
      <c r="C46" s="14"/>
      <c r="D46" s="14"/>
      <c r="E46" s="14"/>
      <c r="G46" s="17">
        <f>+G41*0.5</f>
        <v>102796.55760609821</v>
      </c>
      <c r="H46" s="17">
        <f>+H41</f>
        <v>160068.99066786299</v>
      </c>
      <c r="I46" s="18">
        <f>+G46+H46</f>
        <v>262865.54827396118</v>
      </c>
    </row>
    <row r="47" spans="1:18" x14ac:dyDescent="0.2">
      <c r="A47" s="13"/>
      <c r="B47" s="14"/>
      <c r="C47" s="14"/>
      <c r="D47" s="14"/>
      <c r="E47" s="14"/>
      <c r="G47" s="14"/>
      <c r="H47" s="14"/>
      <c r="I47" s="53"/>
    </row>
    <row r="48" spans="1:18" x14ac:dyDescent="0.2">
      <c r="A48" s="13" t="s">
        <v>43</v>
      </c>
      <c r="B48" s="14"/>
      <c r="C48" s="14"/>
      <c r="D48" s="14"/>
      <c r="E48" s="14"/>
      <c r="G48" s="17">
        <f>-G12*0.5</f>
        <v>-101106</v>
      </c>
      <c r="H48" s="17">
        <f>-G13</f>
        <v>-157900</v>
      </c>
      <c r="I48" s="18">
        <f>+G48+H48</f>
        <v>-259006</v>
      </c>
    </row>
    <row r="49" spans="1:9" x14ac:dyDescent="0.2">
      <c r="A49" s="13" t="s">
        <v>46</v>
      </c>
      <c r="B49" s="14"/>
      <c r="C49" s="14"/>
      <c r="D49" s="14"/>
      <c r="E49" s="14"/>
      <c r="G49" s="17">
        <f>-G32</f>
        <v>1126.0881408534474</v>
      </c>
      <c r="H49" s="17">
        <v>0</v>
      </c>
      <c r="I49" s="18">
        <f>+G49+H49</f>
        <v>1126.0881408534474</v>
      </c>
    </row>
    <row r="50" spans="1:9" ht="15" x14ac:dyDescent="0.35">
      <c r="A50" s="13" t="s">
        <v>72</v>
      </c>
      <c r="B50" s="14"/>
      <c r="C50" s="14"/>
      <c r="D50" s="14"/>
      <c r="E50" s="14"/>
      <c r="G50" s="55">
        <f>-G33</f>
        <v>3000</v>
      </c>
      <c r="H50" s="55">
        <v>0</v>
      </c>
      <c r="I50" s="56">
        <f>+G50+H50</f>
        <v>3000</v>
      </c>
    </row>
    <row r="51" spans="1:9" x14ac:dyDescent="0.2">
      <c r="A51" s="13"/>
      <c r="B51" s="14"/>
      <c r="C51" s="14"/>
      <c r="D51" s="14"/>
      <c r="E51" s="14"/>
      <c r="G51" s="14"/>
      <c r="H51" s="14"/>
      <c r="I51" s="53"/>
    </row>
    <row r="52" spans="1:9" x14ac:dyDescent="0.2">
      <c r="A52" s="20" t="s">
        <v>54</v>
      </c>
      <c r="B52" s="21"/>
      <c r="C52" s="21"/>
      <c r="D52" s="21"/>
      <c r="E52" s="21"/>
      <c r="F52" s="21"/>
      <c r="G52" s="24">
        <f>SUM(G46:G50)</f>
        <v>5816.6457469516608</v>
      </c>
      <c r="H52" s="24">
        <f>SUM(H46:H50)</f>
        <v>2168.9906678629923</v>
      </c>
      <c r="I52" s="25">
        <f>SUM(I46:I50)</f>
        <v>7985.636414814624</v>
      </c>
    </row>
    <row r="53" spans="1:9" x14ac:dyDescent="0.2">
      <c r="A53" s="14"/>
      <c r="B53" s="14"/>
      <c r="C53" s="14"/>
      <c r="D53" s="14"/>
      <c r="E53" s="14"/>
      <c r="F53" s="17"/>
      <c r="G53" s="17"/>
      <c r="H53" s="17"/>
    </row>
    <row r="55" spans="1:9" x14ac:dyDescent="0.2">
      <c r="A55" s="64" t="s">
        <v>70</v>
      </c>
      <c r="B55" s="14"/>
      <c r="C55" s="14"/>
      <c r="D55" s="14"/>
      <c r="E55" s="14"/>
      <c r="F55" s="14"/>
      <c r="G55" s="14"/>
    </row>
    <row r="56" spans="1:9" x14ac:dyDescent="0.2">
      <c r="A56" s="66" t="s">
        <v>69</v>
      </c>
      <c r="B56" s="14"/>
      <c r="C56" s="14"/>
      <c r="D56" s="14"/>
      <c r="E56" s="14"/>
      <c r="F56" s="17"/>
      <c r="G56" s="14"/>
    </row>
    <row r="57" spans="1:9" x14ac:dyDescent="0.2">
      <c r="A57" s="64" t="s">
        <v>55</v>
      </c>
      <c r="B57" s="14"/>
      <c r="C57" s="14"/>
      <c r="D57" s="14"/>
      <c r="E57" s="14"/>
      <c r="F57" s="17"/>
      <c r="G57" s="14"/>
    </row>
    <row r="58" spans="1:9" ht="15" x14ac:dyDescent="0.35">
      <c r="A58" s="14"/>
      <c r="B58" s="14"/>
      <c r="C58" s="14"/>
      <c r="D58" s="14"/>
      <c r="E58" s="14"/>
      <c r="F58" s="55"/>
      <c r="G58" s="14"/>
    </row>
    <row r="59" spans="1:9" x14ac:dyDescent="0.2">
      <c r="A59" s="14"/>
      <c r="B59" s="14"/>
      <c r="C59" s="14"/>
      <c r="D59" s="14"/>
      <c r="E59" s="14"/>
      <c r="F59" s="14"/>
      <c r="G59" s="14"/>
    </row>
    <row r="60" spans="1:9" x14ac:dyDescent="0.2">
      <c r="A60" s="14"/>
      <c r="B60" s="14"/>
      <c r="C60" s="14"/>
      <c r="D60" s="14"/>
      <c r="E60" s="14"/>
      <c r="F60" s="17"/>
      <c r="G60" s="14"/>
    </row>
    <row r="61" spans="1:9" x14ac:dyDescent="0.2">
      <c r="A61" s="14"/>
      <c r="B61" s="14"/>
      <c r="C61" s="14"/>
      <c r="D61" s="14"/>
      <c r="E61" s="14"/>
      <c r="F61" s="14"/>
      <c r="G61" s="14"/>
    </row>
    <row r="62" spans="1:9" x14ac:dyDescent="0.2">
      <c r="A62" s="14"/>
      <c r="B62" s="14"/>
      <c r="C62" s="14"/>
      <c r="D62" s="14"/>
      <c r="E62" s="14"/>
      <c r="F62" s="62"/>
      <c r="G62" s="14"/>
    </row>
    <row r="63" spans="1:9" x14ac:dyDescent="0.2">
      <c r="A63" s="14"/>
      <c r="B63" s="14"/>
      <c r="C63" s="14"/>
      <c r="D63" s="14"/>
      <c r="E63" s="14"/>
      <c r="F63" s="62"/>
      <c r="G63" s="14"/>
    </row>
    <row r="64" spans="1:9" ht="15" x14ac:dyDescent="0.35">
      <c r="A64" s="14"/>
      <c r="B64" s="14"/>
      <c r="C64" s="14"/>
      <c r="D64" s="14"/>
      <c r="E64" s="14"/>
      <c r="F64" s="55"/>
      <c r="G64" s="14"/>
    </row>
    <row r="65" spans="1:7" x14ac:dyDescent="0.2">
      <c r="A65" s="14"/>
      <c r="B65" s="14"/>
      <c r="C65" s="14"/>
      <c r="D65" s="14"/>
      <c r="E65" s="14"/>
      <c r="F65" s="14"/>
      <c r="G65" s="14"/>
    </row>
    <row r="66" spans="1:7" x14ac:dyDescent="0.2">
      <c r="A66" s="14"/>
      <c r="B66" s="14"/>
      <c r="C66" s="14"/>
      <c r="D66" s="14"/>
      <c r="E66" s="14"/>
      <c r="F66" s="17"/>
      <c r="G66" s="14"/>
    </row>
    <row r="67" spans="1:7" x14ac:dyDescent="0.2">
      <c r="A67" s="14"/>
      <c r="B67" s="14"/>
      <c r="C67" s="14"/>
      <c r="D67" s="14"/>
      <c r="E67" s="14"/>
      <c r="F67" s="14"/>
      <c r="G67" s="14"/>
    </row>
  </sheetData>
  <pageMargins left="0.75" right="0.75" top="0.75" bottom="0.75" header="0.5" footer="0.5"/>
  <pageSetup scale="67"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workbookViewId="0"/>
  </sheetViews>
  <sheetFormatPr defaultRowHeight="12.75" x14ac:dyDescent="0.2"/>
  <cols>
    <col min="2" max="4" width="12.5703125" customWidth="1"/>
    <col min="5" max="5" width="12.140625" style="65" customWidth="1"/>
    <col min="6" max="6" width="13.85546875" customWidth="1"/>
    <col min="7" max="7" width="12.85546875" customWidth="1"/>
    <col min="8" max="8" width="14.42578125" customWidth="1"/>
    <col min="9" max="9" width="12.5703125" customWidth="1"/>
    <col min="10" max="13" width="12.28515625" customWidth="1"/>
  </cols>
  <sheetData>
    <row r="1" spans="1:13" x14ac:dyDescent="0.2">
      <c r="D1" s="65"/>
      <c r="E1"/>
    </row>
    <row r="2" spans="1:13" x14ac:dyDescent="0.2">
      <c r="A2" s="28" t="s">
        <v>11</v>
      </c>
      <c r="D2" s="65"/>
      <c r="E2"/>
    </row>
    <row r="3" spans="1:13" x14ac:dyDescent="0.2">
      <c r="A3" s="142" t="s">
        <v>49</v>
      </c>
      <c r="B3" s="144"/>
      <c r="C3" s="144"/>
      <c r="D3" s="144"/>
      <c r="E3" s="143"/>
      <c r="F3" s="142" t="s">
        <v>90</v>
      </c>
      <c r="G3" s="143"/>
      <c r="H3" s="142" t="s">
        <v>91</v>
      </c>
      <c r="I3" s="143"/>
      <c r="J3" s="144" t="s">
        <v>18</v>
      </c>
      <c r="K3" s="143"/>
    </row>
    <row r="4" spans="1:13" x14ac:dyDescent="0.2">
      <c r="A4" s="13"/>
      <c r="B4" s="145" t="s">
        <v>95</v>
      </c>
      <c r="C4" s="145"/>
      <c r="D4" s="67"/>
      <c r="E4" s="53"/>
      <c r="G4" s="53"/>
      <c r="I4" s="53"/>
      <c r="K4" s="53"/>
    </row>
    <row r="5" spans="1:13" x14ac:dyDescent="0.2">
      <c r="A5" s="73" t="s">
        <v>94</v>
      </c>
      <c r="B5" s="69" t="s">
        <v>96</v>
      </c>
      <c r="C5" s="69" t="s">
        <v>97</v>
      </c>
      <c r="D5" s="69" t="s">
        <v>48</v>
      </c>
      <c r="E5" s="96" t="s">
        <v>86</v>
      </c>
      <c r="F5" s="73" t="s">
        <v>92</v>
      </c>
      <c r="G5" s="96" t="s">
        <v>49</v>
      </c>
      <c r="H5" s="73" t="s">
        <v>92</v>
      </c>
      <c r="I5" s="96" t="s">
        <v>49</v>
      </c>
      <c r="J5" s="69" t="s">
        <v>92</v>
      </c>
      <c r="K5" s="96" t="s">
        <v>49</v>
      </c>
    </row>
    <row r="6" spans="1:13" x14ac:dyDescent="0.2">
      <c r="A6" s="82" t="s">
        <v>93</v>
      </c>
      <c r="B6" s="14"/>
      <c r="C6" s="14"/>
      <c r="D6" s="67"/>
      <c r="E6" s="53"/>
      <c r="F6" s="99">
        <f>ROUND(+Summary!H28*J6,0)</f>
        <v>137893</v>
      </c>
      <c r="G6" s="53"/>
      <c r="H6" s="99">
        <f>+J6-F6</f>
        <v>162107</v>
      </c>
      <c r="I6" s="53"/>
      <c r="J6" s="1">
        <f>+Summary!G16</f>
        <v>300000</v>
      </c>
      <c r="K6" s="53"/>
    </row>
    <row r="7" spans="1:13" x14ac:dyDescent="0.2">
      <c r="A7" s="13"/>
      <c r="D7" s="65"/>
      <c r="E7" s="53"/>
      <c r="G7" s="53"/>
      <c r="I7" s="53"/>
      <c r="K7" s="53"/>
      <c r="M7" s="1">
        <v>0</v>
      </c>
    </row>
    <row r="8" spans="1:13" x14ac:dyDescent="0.2">
      <c r="A8" s="82">
        <v>1</v>
      </c>
      <c r="B8" s="68">
        <v>36892</v>
      </c>
      <c r="C8" s="68">
        <v>36981</v>
      </c>
      <c r="D8" s="68">
        <v>37026</v>
      </c>
      <c r="E8" s="97">
        <f>+M8/J8</f>
        <v>0.52688378001555036</v>
      </c>
      <c r="F8" s="99">
        <f>+$F$6*($C8-$B8+1)</f>
        <v>12410370</v>
      </c>
      <c r="G8" s="54">
        <f>+F8*$E8</f>
        <v>6538822.6569915861</v>
      </c>
      <c r="H8" s="99">
        <f>+$H$6*($C8-$B8+1)</f>
        <v>14589630</v>
      </c>
      <c r="I8" s="54">
        <f>+H8*$E8</f>
        <v>7687039.4034282742</v>
      </c>
      <c r="J8" s="5">
        <f>+H8+F8</f>
        <v>27000000</v>
      </c>
      <c r="K8" s="54">
        <f>+I8+G8</f>
        <v>14225862.060419861</v>
      </c>
      <c r="M8" s="1">
        <v>14225862.060419861</v>
      </c>
    </row>
    <row r="9" spans="1:13" x14ac:dyDescent="0.2">
      <c r="A9" s="82">
        <f>+A8+1</f>
        <v>2</v>
      </c>
      <c r="B9" s="68">
        <v>36982</v>
      </c>
      <c r="C9" s="68">
        <v>37072</v>
      </c>
      <c r="D9" s="68">
        <v>37118</v>
      </c>
      <c r="E9" s="97">
        <f t="shared" ref="E9:E35" si="0">+M9/J9</f>
        <v>0.52760752147161571</v>
      </c>
      <c r="F9" s="99">
        <f t="shared" ref="F9:F35" si="1">+$F$6*($C9-$B9+1)</f>
        <v>12548263</v>
      </c>
      <c r="G9" s="54">
        <f t="shared" ref="G9:G35" si="2">+F9*$E9</f>
        <v>6620557.9402039815</v>
      </c>
      <c r="H9" s="99">
        <f t="shared" ref="H9:H35" si="3">+$H$6*($C9-$B9+1)</f>
        <v>14751737</v>
      </c>
      <c r="I9" s="54">
        <f t="shared" ref="I9:I35" si="4">+H9*$E9</f>
        <v>7783127.3959711278</v>
      </c>
      <c r="J9" s="5">
        <f t="shared" ref="J9:J35" si="5">+H9+F9</f>
        <v>27300000</v>
      </c>
      <c r="K9" s="54">
        <f t="shared" ref="K9:K35" si="6">+I9+G9</f>
        <v>14403685.33617511</v>
      </c>
      <c r="M9" s="1">
        <v>14403685.336175108</v>
      </c>
    </row>
    <row r="10" spans="1:13" x14ac:dyDescent="0.2">
      <c r="A10" s="82">
        <f t="shared" ref="A10:A34" si="7">+A9+1</f>
        <v>3</v>
      </c>
      <c r="B10" s="68">
        <v>37073</v>
      </c>
      <c r="C10" s="68">
        <v>37164</v>
      </c>
      <c r="D10" s="68">
        <v>37210</v>
      </c>
      <c r="E10" s="97">
        <f t="shared" si="0"/>
        <v>0.52839606532164118</v>
      </c>
      <c r="F10" s="99">
        <f t="shared" si="1"/>
        <v>12686156</v>
      </c>
      <c r="G10" s="54">
        <f t="shared" si="2"/>
        <v>6703314.9144565305</v>
      </c>
      <c r="H10" s="99">
        <f t="shared" si="3"/>
        <v>14913844</v>
      </c>
      <c r="I10" s="54">
        <f t="shared" si="4"/>
        <v>7880416.4884207668</v>
      </c>
      <c r="J10" s="5">
        <f t="shared" si="5"/>
        <v>27600000</v>
      </c>
      <c r="K10" s="54">
        <f t="shared" si="6"/>
        <v>14583731.402877297</v>
      </c>
      <c r="M10" s="1">
        <v>14583731.402877297</v>
      </c>
    </row>
    <row r="11" spans="1:13" x14ac:dyDescent="0.2">
      <c r="A11" s="82">
        <f t="shared" si="7"/>
        <v>4</v>
      </c>
      <c r="B11" s="68">
        <v>37165</v>
      </c>
      <c r="C11" s="68">
        <v>37256</v>
      </c>
      <c r="D11" s="68">
        <v>37302</v>
      </c>
      <c r="E11" s="97">
        <f t="shared" si="0"/>
        <v>0.53500101613816176</v>
      </c>
      <c r="F11" s="99">
        <f t="shared" si="1"/>
        <v>12686156</v>
      </c>
      <c r="G11" s="54">
        <f t="shared" si="2"/>
        <v>6787106.350887238</v>
      </c>
      <c r="H11" s="99">
        <f t="shared" si="3"/>
        <v>14913844</v>
      </c>
      <c r="I11" s="54">
        <f t="shared" si="4"/>
        <v>7978921.694526027</v>
      </c>
      <c r="J11" s="5">
        <f t="shared" si="5"/>
        <v>27600000</v>
      </c>
      <c r="K11" s="54">
        <f t="shared" si="6"/>
        <v>14766028.045413265</v>
      </c>
      <c r="M11" s="1">
        <v>14766028.045413263</v>
      </c>
    </row>
    <row r="12" spans="1:13" x14ac:dyDescent="0.2">
      <c r="A12" s="82">
        <f t="shared" si="7"/>
        <v>5</v>
      </c>
      <c r="B12" s="68">
        <v>37257</v>
      </c>
      <c r="C12" s="68">
        <v>37346</v>
      </c>
      <c r="D12" s="68">
        <v>37391</v>
      </c>
      <c r="E12" s="97">
        <f t="shared" si="0"/>
        <v>0.55372605170299738</v>
      </c>
      <c r="F12" s="99">
        <f t="shared" si="1"/>
        <v>12410370</v>
      </c>
      <c r="G12" s="54">
        <f t="shared" si="2"/>
        <v>6871945.180273328</v>
      </c>
      <c r="H12" s="99">
        <f t="shared" si="3"/>
        <v>14589630</v>
      </c>
      <c r="I12" s="54">
        <f t="shared" si="4"/>
        <v>8078658.215707602</v>
      </c>
      <c r="J12" s="5">
        <f t="shared" si="5"/>
        <v>27000000</v>
      </c>
      <c r="K12" s="54">
        <f t="shared" si="6"/>
        <v>14950603.39598093</v>
      </c>
      <c r="M12" s="1">
        <v>14950603.395980928</v>
      </c>
    </row>
    <row r="13" spans="1:13" x14ac:dyDescent="0.2">
      <c r="A13" s="82">
        <f t="shared" si="7"/>
        <v>6</v>
      </c>
      <c r="B13" s="68">
        <v>37347</v>
      </c>
      <c r="C13" s="68">
        <v>37437</v>
      </c>
      <c r="D13" s="68">
        <v>37483</v>
      </c>
      <c r="E13" s="97">
        <f t="shared" si="0"/>
        <v>0.55448666441138061</v>
      </c>
      <c r="F13" s="99">
        <f t="shared" si="1"/>
        <v>12548263</v>
      </c>
      <c r="G13" s="54">
        <f t="shared" si="2"/>
        <v>6957844.495026744</v>
      </c>
      <c r="H13" s="99">
        <f t="shared" si="3"/>
        <v>14751737</v>
      </c>
      <c r="I13" s="54">
        <f t="shared" si="4"/>
        <v>8179641.4434039462</v>
      </c>
      <c r="J13" s="5">
        <f t="shared" si="5"/>
        <v>27300000</v>
      </c>
      <c r="K13" s="54">
        <f t="shared" si="6"/>
        <v>15137485.938430689</v>
      </c>
      <c r="M13" s="1">
        <v>15137485.938430689</v>
      </c>
    </row>
    <row r="14" spans="1:13" x14ac:dyDescent="0.2">
      <c r="A14" s="82">
        <f t="shared" si="7"/>
        <v>7</v>
      </c>
      <c r="B14" s="68">
        <v>37438</v>
      </c>
      <c r="C14" s="68">
        <v>37529</v>
      </c>
      <c r="D14" s="68">
        <v>37575</v>
      </c>
      <c r="E14" s="97">
        <f t="shared" si="0"/>
        <v>0.55531538089351706</v>
      </c>
      <c r="F14" s="99">
        <f t="shared" si="1"/>
        <v>12686156</v>
      </c>
      <c r="G14" s="54">
        <f t="shared" si="2"/>
        <v>7044817.5512145767</v>
      </c>
      <c r="H14" s="99">
        <f t="shared" si="3"/>
        <v>14913844</v>
      </c>
      <c r="I14" s="54">
        <f t="shared" si="4"/>
        <v>8281886.9614464939</v>
      </c>
      <c r="J14" s="5">
        <f t="shared" si="5"/>
        <v>27600000</v>
      </c>
      <c r="K14" s="54">
        <f t="shared" si="6"/>
        <v>15326704.51266107</v>
      </c>
      <c r="M14" s="1">
        <v>15326704.512661071</v>
      </c>
    </row>
    <row r="15" spans="1:13" x14ac:dyDescent="0.2">
      <c r="A15" s="82">
        <f t="shared" si="7"/>
        <v>8</v>
      </c>
      <c r="B15" s="68">
        <v>37530</v>
      </c>
      <c r="C15" s="68">
        <v>37621</v>
      </c>
      <c r="D15" s="68">
        <v>37667</v>
      </c>
      <c r="E15" s="97">
        <f t="shared" si="0"/>
        <v>0.56225682315468595</v>
      </c>
      <c r="F15" s="99">
        <f t="shared" si="1"/>
        <v>12686156</v>
      </c>
      <c r="G15" s="54">
        <f t="shared" si="2"/>
        <v>7132877.7706047585</v>
      </c>
      <c r="H15" s="99">
        <f t="shared" si="3"/>
        <v>14913844</v>
      </c>
      <c r="I15" s="54">
        <f t="shared" si="4"/>
        <v>8385410.5484645739</v>
      </c>
      <c r="J15" s="5">
        <f t="shared" si="5"/>
        <v>27600000</v>
      </c>
      <c r="K15" s="54">
        <f t="shared" si="6"/>
        <v>15518288.319069333</v>
      </c>
      <c r="M15" s="1">
        <v>15518288.319069333</v>
      </c>
    </row>
    <row r="16" spans="1:13" x14ac:dyDescent="0.2">
      <c r="A16" s="82">
        <f t="shared" si="7"/>
        <v>9</v>
      </c>
      <c r="B16" s="68">
        <v>37622</v>
      </c>
      <c r="C16" s="68">
        <v>37711</v>
      </c>
      <c r="D16" s="68">
        <v>37756</v>
      </c>
      <c r="E16" s="97">
        <f t="shared" si="0"/>
        <v>0.58193581196510002</v>
      </c>
      <c r="F16" s="99">
        <f t="shared" si="1"/>
        <v>12410370</v>
      </c>
      <c r="G16" s="54">
        <f t="shared" si="2"/>
        <v>7222038.7427373184</v>
      </c>
      <c r="H16" s="99">
        <f t="shared" si="3"/>
        <v>14589630</v>
      </c>
      <c r="I16" s="54">
        <f t="shared" si="4"/>
        <v>8490228.1803203821</v>
      </c>
      <c r="J16" s="5">
        <f t="shared" si="5"/>
        <v>27000000</v>
      </c>
      <c r="K16" s="54">
        <f t="shared" si="6"/>
        <v>15712266.923057701</v>
      </c>
      <c r="M16" s="1">
        <v>15712266.9230577</v>
      </c>
    </row>
    <row r="17" spans="1:13" x14ac:dyDescent="0.2">
      <c r="A17" s="82">
        <f t="shared" si="7"/>
        <v>10</v>
      </c>
      <c r="B17" s="68">
        <v>37712</v>
      </c>
      <c r="C17" s="68">
        <v>37802</v>
      </c>
      <c r="D17" s="68">
        <v>37848</v>
      </c>
      <c r="E17" s="97">
        <f t="shared" si="0"/>
        <v>0.58273517434417288</v>
      </c>
      <c r="F17" s="99">
        <f t="shared" si="1"/>
        <v>12548263</v>
      </c>
      <c r="G17" s="54">
        <f t="shared" si="2"/>
        <v>7312314.227021534</v>
      </c>
      <c r="H17" s="99">
        <f t="shared" si="3"/>
        <v>14751737</v>
      </c>
      <c r="I17" s="54">
        <f t="shared" si="4"/>
        <v>8596356.0325743854</v>
      </c>
      <c r="J17" s="5">
        <f t="shared" si="5"/>
        <v>27300000</v>
      </c>
      <c r="K17" s="54">
        <f t="shared" si="6"/>
        <v>15908670.259595919</v>
      </c>
      <c r="M17" s="1">
        <v>15908670.259595919</v>
      </c>
    </row>
    <row r="18" spans="1:13" x14ac:dyDescent="0.2">
      <c r="A18" s="82">
        <f t="shared" si="7"/>
        <v>11</v>
      </c>
      <c r="B18" s="68">
        <v>37803</v>
      </c>
      <c r="C18" s="68">
        <v>37894</v>
      </c>
      <c r="D18" s="68">
        <v>37940</v>
      </c>
      <c r="E18" s="97">
        <f t="shared" si="0"/>
        <v>0.58360611006669805</v>
      </c>
      <c r="F18" s="99">
        <f t="shared" si="1"/>
        <v>12686156</v>
      </c>
      <c r="G18" s="54">
        <f t="shared" si="2"/>
        <v>7403718.1548593016</v>
      </c>
      <c r="H18" s="99">
        <f t="shared" si="3"/>
        <v>14913844</v>
      </c>
      <c r="I18" s="54">
        <f t="shared" si="4"/>
        <v>8703810.4829815645</v>
      </c>
      <c r="J18" s="5">
        <f t="shared" si="5"/>
        <v>27600000</v>
      </c>
      <c r="K18" s="54">
        <f t="shared" si="6"/>
        <v>16107528.637840867</v>
      </c>
      <c r="M18" s="1">
        <v>16107528.637840867</v>
      </c>
    </row>
    <row r="19" spans="1:13" x14ac:dyDescent="0.2">
      <c r="A19" s="82">
        <f t="shared" si="7"/>
        <v>12</v>
      </c>
      <c r="B19" s="68">
        <v>37895</v>
      </c>
      <c r="C19" s="68">
        <v>37986</v>
      </c>
      <c r="D19" s="68">
        <v>38032</v>
      </c>
      <c r="E19" s="97">
        <f t="shared" si="0"/>
        <v>0.59090118644253176</v>
      </c>
      <c r="F19" s="99">
        <f t="shared" si="1"/>
        <v>12686156</v>
      </c>
      <c r="G19" s="54">
        <f t="shared" si="2"/>
        <v>7496264.6317950431</v>
      </c>
      <c r="H19" s="99">
        <f t="shared" si="3"/>
        <v>14913844</v>
      </c>
      <c r="I19" s="54">
        <f t="shared" si="4"/>
        <v>8812608.1140188333</v>
      </c>
      <c r="J19" s="5">
        <f t="shared" si="5"/>
        <v>27600000</v>
      </c>
      <c r="K19" s="54">
        <f t="shared" si="6"/>
        <v>16308872.745813876</v>
      </c>
      <c r="M19" s="1">
        <v>16308872.745813876</v>
      </c>
    </row>
    <row r="20" spans="1:13" x14ac:dyDescent="0.2">
      <c r="A20" s="82">
        <f t="shared" si="7"/>
        <v>13</v>
      </c>
      <c r="B20" s="68">
        <v>37987</v>
      </c>
      <c r="C20" s="68">
        <v>38077</v>
      </c>
      <c r="D20" s="68">
        <v>38122</v>
      </c>
      <c r="E20" s="97">
        <f t="shared" si="0"/>
        <v>0.60486203864969046</v>
      </c>
      <c r="F20" s="99">
        <f t="shared" si="1"/>
        <v>12548263</v>
      </c>
      <c r="G20" s="54">
        <f t="shared" si="2"/>
        <v>7589967.9396924805</v>
      </c>
      <c r="H20" s="99">
        <f t="shared" si="3"/>
        <v>14751737</v>
      </c>
      <c r="I20" s="54">
        <f t="shared" si="4"/>
        <v>8922765.7154440694</v>
      </c>
      <c r="J20" s="5">
        <f t="shared" si="5"/>
        <v>27300000</v>
      </c>
      <c r="K20" s="54">
        <f t="shared" si="6"/>
        <v>16512733.65513655</v>
      </c>
      <c r="M20" s="1">
        <v>16512733.65513655</v>
      </c>
    </row>
    <row r="21" spans="1:13" x14ac:dyDescent="0.2">
      <c r="A21" s="82">
        <f t="shared" si="7"/>
        <v>14</v>
      </c>
      <c r="B21" s="68">
        <v>38078</v>
      </c>
      <c r="C21" s="68">
        <v>38168</v>
      </c>
      <c r="D21" s="68">
        <v>38214</v>
      </c>
      <c r="E21" s="97">
        <f t="shared" si="0"/>
        <v>0.61242281413281163</v>
      </c>
      <c r="F21" s="99">
        <f t="shared" si="1"/>
        <v>12548263</v>
      </c>
      <c r="G21" s="54">
        <f t="shared" si="2"/>
        <v>7684842.5389386369</v>
      </c>
      <c r="H21" s="99">
        <f t="shared" si="3"/>
        <v>14751737</v>
      </c>
      <c r="I21" s="54">
        <f t="shared" si="4"/>
        <v>9034300.2868871205</v>
      </c>
      <c r="J21" s="5">
        <f t="shared" si="5"/>
        <v>27300000</v>
      </c>
      <c r="K21" s="54">
        <f t="shared" si="6"/>
        <v>16719142.825825758</v>
      </c>
      <c r="M21" s="1">
        <v>16719142.825825756</v>
      </c>
    </row>
    <row r="22" spans="1:13" x14ac:dyDescent="0.2">
      <c r="A22" s="82">
        <f t="shared" si="7"/>
        <v>15</v>
      </c>
      <c r="B22" s="68">
        <v>38169</v>
      </c>
      <c r="C22" s="68">
        <v>38260</v>
      </c>
      <c r="D22" s="68">
        <v>38306</v>
      </c>
      <c r="E22" s="97">
        <f t="shared" si="0"/>
        <v>0.61333811815755712</v>
      </c>
      <c r="F22" s="99">
        <f t="shared" si="1"/>
        <v>12686156</v>
      </c>
      <c r="G22" s="54">
        <f t="shared" si="2"/>
        <v>7780903.0476932023</v>
      </c>
      <c r="H22" s="99">
        <f t="shared" si="3"/>
        <v>14913844</v>
      </c>
      <c r="I22" s="54">
        <f t="shared" si="4"/>
        <v>9147229.0134553742</v>
      </c>
      <c r="J22" s="5">
        <f t="shared" si="5"/>
        <v>27600000</v>
      </c>
      <c r="K22" s="54">
        <f t="shared" si="6"/>
        <v>16928132.061148576</v>
      </c>
      <c r="M22" s="1">
        <v>16928132.061148576</v>
      </c>
    </row>
    <row r="23" spans="1:13" x14ac:dyDescent="0.2">
      <c r="A23" s="82">
        <f t="shared" si="7"/>
        <v>16</v>
      </c>
      <c r="B23" s="68">
        <v>38261</v>
      </c>
      <c r="C23" s="68">
        <v>38352</v>
      </c>
      <c r="D23" s="68">
        <v>38398</v>
      </c>
      <c r="E23" s="97">
        <f t="shared" si="0"/>
        <v>0.62100484463452654</v>
      </c>
      <c r="F23" s="99">
        <f t="shared" si="1"/>
        <v>12686156</v>
      </c>
      <c r="G23" s="54">
        <f t="shared" si="2"/>
        <v>7878164.3357893666</v>
      </c>
      <c r="H23" s="99">
        <f t="shared" si="3"/>
        <v>14913844</v>
      </c>
      <c r="I23" s="54">
        <f t="shared" si="4"/>
        <v>9261569.3761235662</v>
      </c>
      <c r="J23" s="5">
        <f t="shared" si="5"/>
        <v>27600000</v>
      </c>
      <c r="K23" s="54">
        <f t="shared" si="6"/>
        <v>17139733.711912934</v>
      </c>
      <c r="M23" s="1">
        <v>17139733.711912934</v>
      </c>
    </row>
    <row r="24" spans="1:13" x14ac:dyDescent="0.2">
      <c r="A24" s="82">
        <f t="shared" si="7"/>
        <v>17</v>
      </c>
      <c r="B24" s="68">
        <v>38353</v>
      </c>
      <c r="C24" s="68">
        <v>38442</v>
      </c>
      <c r="D24" s="68">
        <v>38487</v>
      </c>
      <c r="E24" s="97">
        <f t="shared" si="0"/>
        <v>0.64274001419673499</v>
      </c>
      <c r="F24" s="99">
        <f t="shared" si="1"/>
        <v>12410370</v>
      </c>
      <c r="G24" s="54">
        <f t="shared" si="2"/>
        <v>7976641.3899867339</v>
      </c>
      <c r="H24" s="99">
        <f t="shared" si="3"/>
        <v>14589630</v>
      </c>
      <c r="I24" s="54">
        <f t="shared" si="4"/>
        <v>9377338.9933251105</v>
      </c>
      <c r="J24" s="5">
        <f t="shared" si="5"/>
        <v>27000000</v>
      </c>
      <c r="K24" s="54">
        <f t="shared" si="6"/>
        <v>17353980.383311845</v>
      </c>
      <c r="M24" s="1">
        <v>17353980.383311845</v>
      </c>
    </row>
    <row r="25" spans="1:13" x14ac:dyDescent="0.2">
      <c r="A25" s="82">
        <f t="shared" si="7"/>
        <v>18</v>
      </c>
      <c r="B25" s="68">
        <v>38443</v>
      </c>
      <c r="C25" s="68">
        <v>38533</v>
      </c>
      <c r="D25" s="68">
        <v>38579</v>
      </c>
      <c r="E25" s="97">
        <f t="shared" si="0"/>
        <v>0.6436228988316206</v>
      </c>
      <c r="F25" s="99">
        <f t="shared" si="1"/>
        <v>12548263</v>
      </c>
      <c r="G25" s="54">
        <f t="shared" si="2"/>
        <v>8076349.407361568</v>
      </c>
      <c r="H25" s="99">
        <f t="shared" si="3"/>
        <v>14751737</v>
      </c>
      <c r="I25" s="54">
        <f t="shared" si="4"/>
        <v>9494555.7307416741</v>
      </c>
      <c r="J25" s="5">
        <f t="shared" si="5"/>
        <v>27300000</v>
      </c>
      <c r="K25" s="54">
        <f t="shared" si="6"/>
        <v>17570905.138103243</v>
      </c>
      <c r="M25" s="1">
        <v>17570905.138103243</v>
      </c>
    </row>
    <row r="26" spans="1:13" x14ac:dyDescent="0.2">
      <c r="A26" s="82">
        <f t="shared" si="7"/>
        <v>19</v>
      </c>
      <c r="B26" s="68">
        <v>38534</v>
      </c>
      <c r="C26" s="68">
        <v>38625</v>
      </c>
      <c r="D26" s="68">
        <v>38671</v>
      </c>
      <c r="E26" s="97">
        <f t="shared" si="0"/>
        <v>0.64458483522933085</v>
      </c>
      <c r="F26" s="99">
        <f t="shared" si="1"/>
        <v>12686156</v>
      </c>
      <c r="G26" s="54">
        <f t="shared" si="2"/>
        <v>8177303.774953587</v>
      </c>
      <c r="H26" s="99">
        <f t="shared" si="3"/>
        <v>14913844</v>
      </c>
      <c r="I26" s="54">
        <f t="shared" si="4"/>
        <v>9613237.6773759443</v>
      </c>
      <c r="J26" s="5">
        <f t="shared" si="5"/>
        <v>27600000</v>
      </c>
      <c r="K26" s="54">
        <f t="shared" si="6"/>
        <v>17790541.452329531</v>
      </c>
      <c r="M26" s="1">
        <v>17790541.452329531</v>
      </c>
    </row>
    <row r="27" spans="1:13" x14ac:dyDescent="0.2">
      <c r="A27" s="82">
        <f t="shared" si="7"/>
        <v>20</v>
      </c>
      <c r="B27" s="68">
        <v>38626</v>
      </c>
      <c r="C27" s="68">
        <v>38717</v>
      </c>
      <c r="D27" s="68">
        <v>38763</v>
      </c>
      <c r="E27" s="97">
        <f t="shared" si="0"/>
        <v>0.65264214566969747</v>
      </c>
      <c r="F27" s="99">
        <f t="shared" si="1"/>
        <v>12686156</v>
      </c>
      <c r="G27" s="54">
        <f t="shared" si="2"/>
        <v>8279520.0721405065</v>
      </c>
      <c r="H27" s="99">
        <f t="shared" si="3"/>
        <v>14913844</v>
      </c>
      <c r="I27" s="54">
        <f t="shared" si="4"/>
        <v>9733403.148343144</v>
      </c>
      <c r="J27" s="5">
        <f t="shared" si="5"/>
        <v>27600000</v>
      </c>
      <c r="K27" s="54">
        <f t="shared" si="6"/>
        <v>18012923.22048365</v>
      </c>
      <c r="M27" s="1">
        <v>18012923.22048365</v>
      </c>
    </row>
    <row r="28" spans="1:13" x14ac:dyDescent="0.2">
      <c r="A28" s="82">
        <f t="shared" si="7"/>
        <v>21</v>
      </c>
      <c r="B28" s="68">
        <v>38718</v>
      </c>
      <c r="C28" s="68">
        <v>38807</v>
      </c>
      <c r="D28" s="68">
        <v>38852</v>
      </c>
      <c r="E28" s="97">
        <f t="shared" si="0"/>
        <v>0.67548462076813687</v>
      </c>
      <c r="F28" s="99">
        <f t="shared" si="1"/>
        <v>12410370</v>
      </c>
      <c r="G28" s="54">
        <f t="shared" si="2"/>
        <v>8383014.0730422623</v>
      </c>
      <c r="H28" s="99">
        <f t="shared" si="3"/>
        <v>14589630</v>
      </c>
      <c r="I28" s="54">
        <f t="shared" si="4"/>
        <v>9855070.6876974329</v>
      </c>
      <c r="J28" s="5">
        <f t="shared" si="5"/>
        <v>27000000</v>
      </c>
      <c r="K28" s="54">
        <f t="shared" si="6"/>
        <v>18238084.760739695</v>
      </c>
      <c r="M28" s="1">
        <v>18238084.760739695</v>
      </c>
    </row>
    <row r="29" spans="1:13" x14ac:dyDescent="0.2">
      <c r="A29" s="82">
        <f t="shared" si="7"/>
        <v>22</v>
      </c>
      <c r="B29" s="68">
        <v>38808</v>
      </c>
      <c r="C29" s="68">
        <v>38898</v>
      </c>
      <c r="D29" s="68">
        <v>38944</v>
      </c>
      <c r="E29" s="97">
        <f t="shared" si="0"/>
        <v>0.67641248425820288</v>
      </c>
      <c r="F29" s="99">
        <f t="shared" si="1"/>
        <v>12548263</v>
      </c>
      <c r="G29" s="54">
        <f t="shared" si="2"/>
        <v>8487801.7489552889</v>
      </c>
      <c r="H29" s="99">
        <f t="shared" si="3"/>
        <v>14751737</v>
      </c>
      <c r="I29" s="54">
        <f t="shared" si="4"/>
        <v>9978259.0712936483</v>
      </c>
      <c r="J29" s="5">
        <f t="shared" si="5"/>
        <v>27300000</v>
      </c>
      <c r="K29" s="54">
        <f t="shared" si="6"/>
        <v>18466060.820248939</v>
      </c>
      <c r="M29" s="1">
        <v>18466060.820248939</v>
      </c>
    </row>
    <row r="30" spans="1:13" x14ac:dyDescent="0.2">
      <c r="A30" s="82">
        <f t="shared" si="7"/>
        <v>23</v>
      </c>
      <c r="B30" s="68">
        <v>38899</v>
      </c>
      <c r="C30" s="68">
        <v>38990</v>
      </c>
      <c r="D30" s="68">
        <v>39036</v>
      </c>
      <c r="E30" s="97">
        <f t="shared" si="0"/>
        <v>0.67742342682978451</v>
      </c>
      <c r="F30" s="99">
        <f t="shared" si="1"/>
        <v>12686156</v>
      </c>
      <c r="G30" s="54">
        <f t="shared" si="2"/>
        <v>8593899.2708172314</v>
      </c>
      <c r="H30" s="99">
        <f t="shared" si="3"/>
        <v>14913844</v>
      </c>
      <c r="I30" s="54">
        <f t="shared" si="4"/>
        <v>10102987.30968482</v>
      </c>
      <c r="J30" s="5">
        <f t="shared" si="5"/>
        <v>27600000</v>
      </c>
      <c r="K30" s="54">
        <f t="shared" si="6"/>
        <v>18696886.580502052</v>
      </c>
      <c r="M30" s="1">
        <v>18696886.580502052</v>
      </c>
    </row>
    <row r="31" spans="1:13" x14ac:dyDescent="0.2">
      <c r="A31" s="82">
        <f t="shared" si="7"/>
        <v>24</v>
      </c>
      <c r="B31" s="68">
        <v>38991</v>
      </c>
      <c r="C31" s="68">
        <v>39082</v>
      </c>
      <c r="D31" s="68">
        <v>39128</v>
      </c>
      <c r="E31" s="97">
        <f t="shared" si="0"/>
        <v>0.68589121966515676</v>
      </c>
      <c r="F31" s="99">
        <f t="shared" si="1"/>
        <v>12686156</v>
      </c>
      <c r="G31" s="54">
        <f t="shared" si="2"/>
        <v>8701323.0117024463</v>
      </c>
      <c r="H31" s="99">
        <f t="shared" si="3"/>
        <v>14913844</v>
      </c>
      <c r="I31" s="54">
        <f t="shared" si="4"/>
        <v>10229274.65105588</v>
      </c>
      <c r="J31" s="5">
        <f t="shared" si="5"/>
        <v>27600000</v>
      </c>
      <c r="K31" s="54">
        <f t="shared" si="6"/>
        <v>18930597.662758328</v>
      </c>
      <c r="M31" s="1">
        <v>18930597.662758328</v>
      </c>
    </row>
    <row r="32" spans="1:13" x14ac:dyDescent="0.2">
      <c r="A32" s="82">
        <f t="shared" si="7"/>
        <v>25</v>
      </c>
      <c r="B32" s="68">
        <v>39083</v>
      </c>
      <c r="C32" s="68">
        <v>39172</v>
      </c>
      <c r="D32" s="68">
        <v>39217</v>
      </c>
      <c r="E32" s="97">
        <f t="shared" si="0"/>
        <v>0.70989741235343728</v>
      </c>
      <c r="F32" s="99">
        <f t="shared" si="1"/>
        <v>12410370</v>
      </c>
      <c r="G32" s="54">
        <f t="shared" si="2"/>
        <v>8810089.5493487269</v>
      </c>
      <c r="H32" s="99">
        <f t="shared" si="3"/>
        <v>14589630</v>
      </c>
      <c r="I32" s="54">
        <f t="shared" si="4"/>
        <v>10357140.584194079</v>
      </c>
      <c r="J32" s="5">
        <f t="shared" si="5"/>
        <v>27000000</v>
      </c>
      <c r="K32" s="54">
        <f t="shared" si="6"/>
        <v>19167230.133542806</v>
      </c>
      <c r="M32" s="1">
        <v>19167230.133542806</v>
      </c>
    </row>
    <row r="33" spans="1:13" x14ac:dyDescent="0.2">
      <c r="A33" s="82">
        <f t="shared" si="7"/>
        <v>26</v>
      </c>
      <c r="B33" s="68">
        <v>39173</v>
      </c>
      <c r="C33" s="68">
        <v>39263</v>
      </c>
      <c r="D33" s="68">
        <v>39309</v>
      </c>
      <c r="E33" s="97">
        <f t="shared" si="0"/>
        <v>0.71087254616161499</v>
      </c>
      <c r="F33" s="99">
        <f t="shared" si="1"/>
        <v>12548263</v>
      </c>
      <c r="G33" s="54">
        <f t="shared" si="2"/>
        <v>8920215.668715585</v>
      </c>
      <c r="H33" s="99">
        <f t="shared" si="3"/>
        <v>14751737</v>
      </c>
      <c r="I33" s="54">
        <f t="shared" si="4"/>
        <v>10486604.841496503</v>
      </c>
      <c r="J33" s="5">
        <f t="shared" si="5"/>
        <v>27300000</v>
      </c>
      <c r="K33" s="54">
        <f t="shared" si="6"/>
        <v>19406820.510212086</v>
      </c>
      <c r="M33" s="1">
        <v>19406820.51021209</v>
      </c>
    </row>
    <row r="34" spans="1:13" x14ac:dyDescent="0.2">
      <c r="A34" s="82">
        <f t="shared" si="7"/>
        <v>27</v>
      </c>
      <c r="B34" s="68">
        <v>39264</v>
      </c>
      <c r="C34" s="68">
        <v>39355</v>
      </c>
      <c r="D34" s="68">
        <v>39401</v>
      </c>
      <c r="E34" s="97">
        <f t="shared" si="0"/>
        <v>0.71193499154310647</v>
      </c>
      <c r="F34" s="99">
        <f t="shared" si="1"/>
        <v>12686156</v>
      </c>
      <c r="G34" s="54">
        <f t="shared" si="2"/>
        <v>9031718.3645745292</v>
      </c>
      <c r="H34" s="99">
        <f t="shared" si="3"/>
        <v>14913844</v>
      </c>
      <c r="I34" s="54">
        <f t="shared" si="4"/>
        <v>10617687.402015209</v>
      </c>
      <c r="J34" s="5">
        <f t="shared" si="5"/>
        <v>27600000</v>
      </c>
      <c r="K34" s="54">
        <f t="shared" si="6"/>
        <v>19649405.766589738</v>
      </c>
      <c r="M34" s="1">
        <v>19649405.766589738</v>
      </c>
    </row>
    <row r="35" spans="1:13" x14ac:dyDescent="0.2">
      <c r="A35" s="82">
        <f>+A34+1</f>
        <v>28</v>
      </c>
      <c r="B35" s="68">
        <v>39356</v>
      </c>
      <c r="C35" s="68">
        <v>39447</v>
      </c>
      <c r="D35" s="68">
        <v>39493</v>
      </c>
      <c r="E35" s="97">
        <f t="shared" si="0"/>
        <v>0.72083417893739521</v>
      </c>
      <c r="F35" s="99">
        <f t="shared" si="1"/>
        <v>12686156</v>
      </c>
      <c r="G35" s="54">
        <f t="shared" si="2"/>
        <v>9144614.84413171</v>
      </c>
      <c r="H35" s="99">
        <f t="shared" si="3"/>
        <v>14913844</v>
      </c>
      <c r="I35" s="54">
        <f t="shared" si="4"/>
        <v>10750408.494540397</v>
      </c>
      <c r="J35" s="5">
        <f t="shared" si="5"/>
        <v>27600000</v>
      </c>
      <c r="K35" s="54">
        <f t="shared" si="6"/>
        <v>19895023.338672109</v>
      </c>
      <c r="M35" s="1">
        <v>19895023.338672109</v>
      </c>
    </row>
    <row r="36" spans="1:13" x14ac:dyDescent="0.2">
      <c r="A36" s="82"/>
      <c r="D36" s="67"/>
      <c r="E36" s="53"/>
      <c r="F36" s="13"/>
      <c r="G36" s="53"/>
      <c r="H36" s="13"/>
      <c r="I36" s="53"/>
      <c r="K36" s="53"/>
    </row>
    <row r="37" spans="1:13" x14ac:dyDescent="0.2">
      <c r="A37" s="74" t="s">
        <v>78</v>
      </c>
      <c r="B37" s="75"/>
      <c r="C37" s="75"/>
      <c r="D37" s="75"/>
      <c r="E37" s="98"/>
      <c r="F37" s="100">
        <f t="shared" ref="F37:K37" si="8">SUM(F8:F35)</f>
        <v>352454508</v>
      </c>
      <c r="G37" s="23">
        <f t="shared" si="8"/>
        <v>217607991.65391579</v>
      </c>
      <c r="H37" s="100">
        <f t="shared" si="8"/>
        <v>414345492</v>
      </c>
      <c r="I37" s="46">
        <f t="shared" si="8"/>
        <v>255819937.94493797</v>
      </c>
      <c r="J37" s="100">
        <f t="shared" si="8"/>
        <v>766800000</v>
      </c>
      <c r="K37" s="25">
        <f t="shared" si="8"/>
        <v>473427929.59885377</v>
      </c>
    </row>
    <row r="39" spans="1:13" x14ac:dyDescent="0.2">
      <c r="J39" s="67"/>
    </row>
    <row r="40" spans="1:13" x14ac:dyDescent="0.2">
      <c r="A40" s="28" t="s">
        <v>29</v>
      </c>
      <c r="B40" s="65"/>
    </row>
    <row r="41" spans="1:13" x14ac:dyDescent="0.2">
      <c r="A41" s="70" t="s">
        <v>58</v>
      </c>
      <c r="B41" s="71"/>
      <c r="C41" s="72"/>
      <c r="G41" s="14"/>
    </row>
    <row r="42" spans="1:13" x14ac:dyDescent="0.2">
      <c r="A42" s="73" t="s">
        <v>59</v>
      </c>
      <c r="B42" s="69" t="s">
        <v>73</v>
      </c>
      <c r="C42" s="53"/>
      <c r="G42" s="14"/>
    </row>
    <row r="43" spans="1:13" x14ac:dyDescent="0.2">
      <c r="A43" s="76" t="s">
        <v>60</v>
      </c>
      <c r="B43" s="68">
        <v>37256</v>
      </c>
      <c r="C43" s="54">
        <v>26103000</v>
      </c>
      <c r="G43" s="16"/>
    </row>
    <row r="44" spans="1:13" x14ac:dyDescent="0.2">
      <c r="A44" s="76">
        <f>+B43</f>
        <v>37256</v>
      </c>
      <c r="B44" s="68">
        <v>37621</v>
      </c>
      <c r="C44" s="54">
        <v>29235360</v>
      </c>
      <c r="G44" s="16"/>
    </row>
    <row r="45" spans="1:13" x14ac:dyDescent="0.2">
      <c r="A45" s="76">
        <f>+B44</f>
        <v>37621</v>
      </c>
      <c r="B45" s="68">
        <v>37986</v>
      </c>
      <c r="C45" s="54">
        <v>32743603.20000001</v>
      </c>
      <c r="G45" s="16"/>
    </row>
    <row r="46" spans="1:13" x14ac:dyDescent="0.2">
      <c r="A46" s="140" t="s">
        <v>57</v>
      </c>
      <c r="B46" s="141"/>
      <c r="C46" s="46">
        <v>36672835.584000006</v>
      </c>
      <c r="G46" s="16"/>
    </row>
  </sheetData>
  <mergeCells count="6">
    <mergeCell ref="A46:B46"/>
    <mergeCell ref="F3:G3"/>
    <mergeCell ref="H3:I3"/>
    <mergeCell ref="J3:K3"/>
    <mergeCell ref="B4:C4"/>
    <mergeCell ref="A3:E3"/>
  </mergeCells>
  <printOptions horizontalCentered="1"/>
  <pageMargins left="0.75" right="0.75" top="1" bottom="1" header="0.5" footer="0.5"/>
  <pageSetup scale="82" orientation="landscape" r:id="rId1"/>
  <headerFooter alignWithMargins="0">
    <oddHeader>&amp;A</oddHeader>
    <oddFooter>&amp;R11-02-00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4"/>
  <sheetViews>
    <sheetView zoomScaleNormal="100" workbookViewId="0"/>
  </sheetViews>
  <sheetFormatPr defaultRowHeight="12.75" x14ac:dyDescent="0.2"/>
  <cols>
    <col min="1" max="1" width="4.7109375" customWidth="1"/>
    <col min="2" max="2" width="4.85546875" customWidth="1"/>
    <col min="3" max="3" width="11.140625" customWidth="1"/>
    <col min="4" max="4" width="12" customWidth="1"/>
    <col min="5" max="5" width="11.28515625" bestFit="1" customWidth="1"/>
    <col min="6" max="6" width="10.140625" bestFit="1" customWidth="1"/>
    <col min="7" max="7" width="10.85546875" customWidth="1"/>
    <col min="8" max="8" width="11" customWidth="1"/>
    <col min="9" max="9" width="10.140625" bestFit="1" customWidth="1"/>
    <col min="10" max="10" width="10.28515625" bestFit="1" customWidth="1"/>
    <col min="11" max="18" width="10.140625" bestFit="1" customWidth="1"/>
    <col min="48" max="48" width="10.5703125" customWidth="1"/>
    <col min="52" max="52" width="9.85546875" customWidth="1"/>
    <col min="53" max="53" width="10" customWidth="1"/>
  </cols>
  <sheetData>
    <row r="1" spans="1:53" ht="30" x14ac:dyDescent="0.4">
      <c r="A1" s="26" t="s">
        <v>6</v>
      </c>
      <c r="R1" s="27">
        <f ca="1">TODAY()</f>
        <v>36866</v>
      </c>
    </row>
    <row r="4" spans="1:53" x14ac:dyDescent="0.2">
      <c r="A4" s="28" t="s">
        <v>36</v>
      </c>
    </row>
    <row r="6" spans="1:53" x14ac:dyDescent="0.2">
      <c r="A6" t="s">
        <v>0</v>
      </c>
      <c r="E6" s="2">
        <v>36891</v>
      </c>
      <c r="F6" s="2">
        <v>37210</v>
      </c>
      <c r="G6" s="2">
        <v>37302</v>
      </c>
      <c r="H6" s="2">
        <v>37391</v>
      </c>
      <c r="I6" s="2">
        <v>37483</v>
      </c>
      <c r="J6" s="2">
        <v>37575</v>
      </c>
      <c r="K6" s="2">
        <v>37667</v>
      </c>
      <c r="L6" s="2">
        <v>37756</v>
      </c>
      <c r="M6" s="2">
        <v>37848</v>
      </c>
      <c r="N6" s="2">
        <v>37940</v>
      </c>
      <c r="O6" s="2">
        <v>38032</v>
      </c>
      <c r="P6" s="2">
        <v>38122</v>
      </c>
      <c r="Q6" s="2">
        <v>38214</v>
      </c>
      <c r="R6" s="2">
        <v>38306</v>
      </c>
      <c r="S6" s="2">
        <v>38398</v>
      </c>
      <c r="T6" s="2">
        <v>38487</v>
      </c>
      <c r="U6" s="2">
        <v>38579</v>
      </c>
      <c r="V6" s="2">
        <v>38671</v>
      </c>
      <c r="W6" s="2">
        <v>38763</v>
      </c>
      <c r="X6" s="2">
        <v>38852</v>
      </c>
      <c r="Y6" s="2">
        <v>38944</v>
      </c>
      <c r="Z6" s="2">
        <v>39036</v>
      </c>
      <c r="AA6" s="2">
        <v>39128</v>
      </c>
      <c r="AB6" s="2">
        <v>39217</v>
      </c>
      <c r="AC6" s="2">
        <v>39309</v>
      </c>
      <c r="AD6" s="2">
        <v>39401</v>
      </c>
      <c r="AE6" s="2">
        <v>39493</v>
      </c>
      <c r="AF6" s="2">
        <v>39583</v>
      </c>
      <c r="AG6" s="2">
        <v>39675</v>
      </c>
      <c r="AH6" s="2">
        <v>39767</v>
      </c>
      <c r="AI6" s="2">
        <v>39859</v>
      </c>
      <c r="AJ6" s="2">
        <v>39948</v>
      </c>
      <c r="AK6" s="2">
        <v>40040</v>
      </c>
      <c r="AL6" s="2">
        <v>40132</v>
      </c>
      <c r="AM6" s="2">
        <v>40224</v>
      </c>
      <c r="AN6" s="2">
        <v>40313</v>
      </c>
      <c r="AO6" s="2">
        <v>40405</v>
      </c>
      <c r="AP6" s="2">
        <v>40497</v>
      </c>
      <c r="AQ6" s="2">
        <v>40589</v>
      </c>
      <c r="AR6" s="2">
        <v>40678</v>
      </c>
      <c r="AS6" s="2">
        <v>40770</v>
      </c>
      <c r="AT6" s="2">
        <v>40862</v>
      </c>
      <c r="AU6" s="2">
        <v>40954</v>
      </c>
      <c r="AV6" s="2">
        <v>41044</v>
      </c>
      <c r="AW6" s="2">
        <v>41136</v>
      </c>
      <c r="AX6" s="2">
        <v>41228</v>
      </c>
      <c r="AY6" s="2">
        <v>41320</v>
      </c>
      <c r="AZ6" s="2">
        <v>41409</v>
      </c>
      <c r="BA6" s="2">
        <v>41501</v>
      </c>
    </row>
    <row r="8" spans="1:53" x14ac:dyDescent="0.2">
      <c r="A8" t="s">
        <v>11</v>
      </c>
      <c r="E8" s="3">
        <v>0</v>
      </c>
      <c r="F8" s="3">
        <v>41927.138642917511</v>
      </c>
      <c r="G8" s="1">
        <f t="shared" ref="G8:P8" si="0">+F8*(1+$E$10/4)</f>
        <v>42451.227875953977</v>
      </c>
      <c r="H8" s="1">
        <f t="shared" si="0"/>
        <v>42981.868224403399</v>
      </c>
      <c r="I8" s="1">
        <f t="shared" si="0"/>
        <v>43519.141577208437</v>
      </c>
      <c r="J8" s="1">
        <f t="shared" si="0"/>
        <v>44063.130846923537</v>
      </c>
      <c r="K8" s="1">
        <f t="shared" si="0"/>
        <v>44613.91998251008</v>
      </c>
      <c r="L8" s="1">
        <f t="shared" si="0"/>
        <v>45171.593982291452</v>
      </c>
      <c r="M8" s="1">
        <f t="shared" si="0"/>
        <v>45736.238907070096</v>
      </c>
      <c r="N8" s="1">
        <f t="shared" si="0"/>
        <v>46307.941893408468</v>
      </c>
      <c r="O8" s="1">
        <f t="shared" si="0"/>
        <v>46886.791167076073</v>
      </c>
      <c r="P8" s="1">
        <f t="shared" si="0"/>
        <v>47472.876056664521</v>
      </c>
      <c r="Q8" s="1">
        <f t="shared" ref="Q8:BA8" si="1">+P8*(1+$E$10/4)</f>
        <v>48066.287007372826</v>
      </c>
      <c r="R8" s="1">
        <f t="shared" si="1"/>
        <v>48667.115594964984</v>
      </c>
      <c r="S8" s="1">
        <f t="shared" si="1"/>
        <v>49275.454539902043</v>
      </c>
      <c r="T8" s="1">
        <f t="shared" si="1"/>
        <v>49891.397721650814</v>
      </c>
      <c r="U8" s="1">
        <f t="shared" si="1"/>
        <v>50515.040193171444</v>
      </c>
      <c r="V8" s="1">
        <f t="shared" si="1"/>
        <v>51146.478195586082</v>
      </c>
      <c r="W8" s="1">
        <f t="shared" si="1"/>
        <v>51785.809173030902</v>
      </c>
      <c r="X8" s="1">
        <f t="shared" si="1"/>
        <v>52433.131787693783</v>
      </c>
      <c r="Y8" s="1">
        <f t="shared" si="1"/>
        <v>53088.545935039954</v>
      </c>
      <c r="Z8" s="1">
        <f t="shared" si="1"/>
        <v>53752.152759227953</v>
      </c>
      <c r="AA8" s="1">
        <f t="shared" si="1"/>
        <v>54424.054668718301</v>
      </c>
      <c r="AB8" s="1">
        <f t="shared" si="1"/>
        <v>55104.355352077277</v>
      </c>
      <c r="AC8" s="1">
        <f t="shared" si="1"/>
        <v>55793.159793978237</v>
      </c>
      <c r="AD8" s="1">
        <f t="shared" si="1"/>
        <v>56490.574291402962</v>
      </c>
      <c r="AE8" s="1">
        <f t="shared" si="1"/>
        <v>57196.706470045494</v>
      </c>
      <c r="AF8" s="1">
        <f t="shared" si="1"/>
        <v>57911.665300921057</v>
      </c>
      <c r="AG8" s="1">
        <f t="shared" si="1"/>
        <v>58635.561117182566</v>
      </c>
      <c r="AH8" s="1">
        <f t="shared" si="1"/>
        <v>59368.505631147345</v>
      </c>
      <c r="AI8" s="1">
        <f t="shared" si="1"/>
        <v>60110.611951536688</v>
      </c>
      <c r="AJ8" s="1">
        <f t="shared" si="1"/>
        <v>60861.994600930891</v>
      </c>
      <c r="AK8" s="1">
        <f t="shared" si="1"/>
        <v>61622.769533442523</v>
      </c>
      <c r="AL8" s="1">
        <f t="shared" si="1"/>
        <v>62393.054152610552</v>
      </c>
      <c r="AM8" s="1">
        <f t="shared" si="1"/>
        <v>63172.967329518178</v>
      </c>
      <c r="AN8" s="1">
        <f t="shared" si="1"/>
        <v>63962.62942113715</v>
      </c>
      <c r="AO8" s="1">
        <f t="shared" si="1"/>
        <v>64762.16228890136</v>
      </c>
      <c r="AP8" s="1">
        <f t="shared" si="1"/>
        <v>65571.689317512617</v>
      </c>
      <c r="AQ8" s="1">
        <f t="shared" si="1"/>
        <v>66391.335433981527</v>
      </c>
      <c r="AR8" s="1">
        <f t="shared" si="1"/>
        <v>67221.227126906291</v>
      </c>
      <c r="AS8" s="1">
        <f t="shared" si="1"/>
        <v>68061.492465992618</v>
      </c>
      <c r="AT8" s="1">
        <f t="shared" si="1"/>
        <v>68912.26112181753</v>
      </c>
      <c r="AU8" s="1">
        <f t="shared" si="1"/>
        <v>69773.664385840253</v>
      </c>
      <c r="AV8" s="1">
        <f t="shared" si="1"/>
        <v>70645.83519066326</v>
      </c>
      <c r="AW8" s="1">
        <f t="shared" si="1"/>
        <v>71528.908130546552</v>
      </c>
      <c r="AX8" s="1">
        <f t="shared" si="1"/>
        <v>72423.019482178381</v>
      </c>
      <c r="AY8" s="1">
        <f t="shared" si="1"/>
        <v>73328.307225705605</v>
      </c>
      <c r="AZ8" s="1">
        <f t="shared" si="1"/>
        <v>74244.911066026922</v>
      </c>
      <c r="BA8" s="1">
        <f t="shared" si="1"/>
        <v>75172.972454352261</v>
      </c>
    </row>
    <row r="9" spans="1:53" x14ac:dyDescent="0.2"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53" x14ac:dyDescent="0.2">
      <c r="B10" t="s">
        <v>1</v>
      </c>
      <c r="E10" s="4">
        <v>0.05</v>
      </c>
    </row>
    <row r="11" spans="1:53" x14ac:dyDescent="0.2">
      <c r="G11" s="36">
        <v>36794</v>
      </c>
    </row>
    <row r="12" spans="1:53" x14ac:dyDescent="0.2">
      <c r="B12" t="s">
        <v>2</v>
      </c>
      <c r="D12" s="40">
        <f>+Summary!G5</f>
        <v>8.5000000000000006E-2</v>
      </c>
      <c r="E12" s="1">
        <f>XNPV($D$12,E8:Q8,E$6:Q$6)</f>
        <v>448594.06952375633</v>
      </c>
      <c r="G12" s="37">
        <v>162292</v>
      </c>
      <c r="J12" s="5"/>
    </row>
    <row r="13" spans="1:53" x14ac:dyDescent="0.2">
      <c r="D13" s="4"/>
      <c r="E13" s="1">
        <v>377805</v>
      </c>
      <c r="G13" s="37">
        <v>153637</v>
      </c>
      <c r="J13" s="5"/>
    </row>
    <row r="15" spans="1:53" x14ac:dyDescent="0.2">
      <c r="A15" t="s">
        <v>7</v>
      </c>
      <c r="E15" s="5">
        <v>0</v>
      </c>
      <c r="F15" s="5">
        <v>0</v>
      </c>
      <c r="G15" s="5">
        <v>0</v>
      </c>
      <c r="H15" s="5">
        <v>0</v>
      </c>
    </row>
    <row r="17" spans="1:18" x14ac:dyDescent="0.2">
      <c r="B17" t="s">
        <v>2</v>
      </c>
      <c r="D17" s="6">
        <f>+D12</f>
        <v>8.5000000000000006E-2</v>
      </c>
      <c r="E17" s="1">
        <f>XNPV($D$17,E$15:$H15,E$6:$H6)</f>
        <v>0</v>
      </c>
      <c r="G17" s="37">
        <v>14685</v>
      </c>
      <c r="J17" s="1"/>
    </row>
    <row r="18" spans="1:18" x14ac:dyDescent="0.2">
      <c r="D18" s="6"/>
      <c r="E18" s="1"/>
      <c r="G18" s="37">
        <v>14441</v>
      </c>
      <c r="J18" s="1"/>
    </row>
    <row r="19" spans="1:18" x14ac:dyDescent="0.2">
      <c r="C19" s="6"/>
      <c r="D19" s="1"/>
      <c r="E19" s="5"/>
      <c r="F19" s="5"/>
      <c r="G19" s="5"/>
      <c r="H19" s="5"/>
    </row>
    <row r="20" spans="1:18" x14ac:dyDescent="0.2">
      <c r="A20" t="s">
        <v>8</v>
      </c>
      <c r="B20" s="6"/>
      <c r="D20" s="1"/>
      <c r="E20" s="2">
        <f>+Summary!G6</f>
        <v>36887</v>
      </c>
      <c r="F20" s="2">
        <v>37256</v>
      </c>
      <c r="G20" s="2">
        <v>37621</v>
      </c>
      <c r="H20" s="2">
        <v>37986</v>
      </c>
      <c r="I20" s="2">
        <v>38352</v>
      </c>
      <c r="J20" s="2">
        <v>38717</v>
      </c>
      <c r="K20" s="2">
        <v>39082</v>
      </c>
      <c r="L20" s="2">
        <v>39447</v>
      </c>
      <c r="M20" s="2">
        <v>39813</v>
      </c>
      <c r="N20" s="2">
        <v>40178</v>
      </c>
      <c r="O20" s="2">
        <v>40543</v>
      </c>
      <c r="P20" s="2">
        <v>40908</v>
      </c>
      <c r="Q20" s="2">
        <f>+Q6</f>
        <v>38214</v>
      </c>
      <c r="R20" s="30">
        <v>41639</v>
      </c>
    </row>
    <row r="21" spans="1:18" x14ac:dyDescent="0.2">
      <c r="B21" s="6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0"/>
    </row>
    <row r="22" spans="1:18" x14ac:dyDescent="0.2">
      <c r="A22" t="s">
        <v>14</v>
      </c>
      <c r="B22" s="6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0"/>
    </row>
    <row r="23" spans="1:18" x14ac:dyDescent="0.2">
      <c r="B23" s="6" t="s">
        <v>15</v>
      </c>
      <c r="D23" s="1"/>
      <c r="E23" s="2"/>
      <c r="F23" s="1">
        <v>678</v>
      </c>
      <c r="G23" s="1">
        <v>678</v>
      </c>
      <c r="H23" s="1">
        <v>678</v>
      </c>
      <c r="I23" s="1">
        <v>678</v>
      </c>
      <c r="J23" s="1">
        <v>678</v>
      </c>
      <c r="K23" s="1">
        <v>678</v>
      </c>
      <c r="L23" s="1">
        <v>678</v>
      </c>
      <c r="M23" s="1">
        <v>678</v>
      </c>
      <c r="N23" s="1">
        <v>678</v>
      </c>
      <c r="O23" s="1">
        <v>678</v>
      </c>
      <c r="P23" s="1">
        <v>678</v>
      </c>
      <c r="Q23" s="1">
        <v>678</v>
      </c>
      <c r="R23" s="30"/>
    </row>
    <row r="24" spans="1:18" x14ac:dyDescent="0.2">
      <c r="B24" s="6" t="s">
        <v>16</v>
      </c>
      <c r="D24" s="1"/>
      <c r="E24" s="2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0"/>
    </row>
    <row r="25" spans="1:18" ht="15" x14ac:dyDescent="0.35">
      <c r="B25" s="6" t="s">
        <v>17</v>
      </c>
      <c r="D25" s="1"/>
      <c r="E25" s="5"/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</row>
    <row r="26" spans="1:18" x14ac:dyDescent="0.2">
      <c r="C26" s="6" t="s">
        <v>18</v>
      </c>
      <c r="D26" s="1"/>
      <c r="E26" s="5"/>
      <c r="F26" s="5">
        <f>SUM(F23:F25)</f>
        <v>678</v>
      </c>
      <c r="G26" s="5">
        <f t="shared" ref="G26:Q26" si="2">SUM(G23:G25)</f>
        <v>678</v>
      </c>
      <c r="H26" s="5">
        <f t="shared" si="2"/>
        <v>678</v>
      </c>
      <c r="I26" s="5">
        <f t="shared" si="2"/>
        <v>678</v>
      </c>
      <c r="J26" s="5">
        <f t="shared" si="2"/>
        <v>678</v>
      </c>
      <c r="K26" s="5">
        <f t="shared" si="2"/>
        <v>678</v>
      </c>
      <c r="L26" s="5">
        <f t="shared" si="2"/>
        <v>678</v>
      </c>
      <c r="M26" s="5">
        <f t="shared" si="2"/>
        <v>678</v>
      </c>
      <c r="N26" s="5">
        <f t="shared" si="2"/>
        <v>678</v>
      </c>
      <c r="O26" s="5">
        <f t="shared" si="2"/>
        <v>678</v>
      </c>
      <c r="P26" s="5">
        <f t="shared" si="2"/>
        <v>678</v>
      </c>
      <c r="Q26" s="5">
        <f t="shared" si="2"/>
        <v>678</v>
      </c>
    </row>
    <row r="27" spans="1:18" x14ac:dyDescent="0.2">
      <c r="C27" s="6"/>
      <c r="D27" s="1"/>
      <c r="E27" s="5"/>
      <c r="F27" s="5"/>
      <c r="G27" s="5"/>
      <c r="H27" s="5"/>
    </row>
    <row r="28" spans="1:18" x14ac:dyDescent="0.2">
      <c r="A28" t="s">
        <v>19</v>
      </c>
      <c r="D28" s="5"/>
      <c r="F28" s="60">
        <f>+Summary!G17</f>
        <v>38.5</v>
      </c>
      <c r="G28" s="29">
        <f>+F28*(1+G30)</f>
        <v>43.120000000000005</v>
      </c>
      <c r="H28" s="29">
        <f t="shared" ref="H28:R28" si="3">+G28*(1+H30)</f>
        <v>48.29440000000001</v>
      </c>
      <c r="I28" s="29">
        <f t="shared" si="3"/>
        <v>54.089728000000015</v>
      </c>
      <c r="J28" s="29">
        <f t="shared" si="3"/>
        <v>54.089728000000015</v>
      </c>
      <c r="K28" s="29">
        <f t="shared" si="3"/>
        <v>54.089728000000015</v>
      </c>
      <c r="L28" s="29">
        <f t="shared" si="3"/>
        <v>54.089728000000015</v>
      </c>
      <c r="M28" s="29">
        <f t="shared" si="3"/>
        <v>54.089728000000015</v>
      </c>
      <c r="N28" s="29">
        <f t="shared" si="3"/>
        <v>54.089728000000015</v>
      </c>
      <c r="O28" s="29">
        <f t="shared" si="3"/>
        <v>54.089728000000015</v>
      </c>
      <c r="P28" s="29">
        <f t="shared" si="3"/>
        <v>54.089728000000015</v>
      </c>
      <c r="Q28" s="29">
        <f t="shared" si="3"/>
        <v>54.089728000000015</v>
      </c>
      <c r="R28" s="29">
        <f t="shared" si="3"/>
        <v>54.089728000000015</v>
      </c>
    </row>
    <row r="29" spans="1:18" x14ac:dyDescent="0.2">
      <c r="C29" s="4"/>
      <c r="D29" s="5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8" x14ac:dyDescent="0.2">
      <c r="B30" t="s">
        <v>1</v>
      </c>
      <c r="C30" s="4"/>
      <c r="D30" s="5"/>
      <c r="F30" s="4"/>
      <c r="G30" s="4">
        <v>0.12</v>
      </c>
      <c r="H30" s="4">
        <v>0.12</v>
      </c>
      <c r="I30" s="4">
        <v>0.12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2">
      <c r="C31" s="6"/>
      <c r="D31" s="1"/>
      <c r="E31" s="5"/>
      <c r="F31" s="5"/>
      <c r="G31" s="5"/>
      <c r="H31" s="5"/>
    </row>
    <row r="32" spans="1:18" x14ac:dyDescent="0.2">
      <c r="A32" t="s">
        <v>9</v>
      </c>
      <c r="C32" s="6"/>
      <c r="D32" s="1"/>
      <c r="E32" s="5">
        <v>0</v>
      </c>
      <c r="F32" s="5">
        <f t="shared" ref="F32:R32" si="4">+F28*F26</f>
        <v>26103</v>
      </c>
      <c r="G32" s="5">
        <f t="shared" si="4"/>
        <v>29235.360000000004</v>
      </c>
      <c r="H32" s="5">
        <f t="shared" si="4"/>
        <v>32743.603200000009</v>
      </c>
      <c r="I32" s="5">
        <f t="shared" si="4"/>
        <v>36672.835584000008</v>
      </c>
      <c r="J32" s="5">
        <f t="shared" si="4"/>
        <v>36672.835584000008</v>
      </c>
      <c r="K32" s="5">
        <f t="shared" si="4"/>
        <v>36672.835584000008</v>
      </c>
      <c r="L32" s="5">
        <f t="shared" si="4"/>
        <v>36672.835584000008</v>
      </c>
      <c r="M32" s="5">
        <f t="shared" si="4"/>
        <v>36672.835584000008</v>
      </c>
      <c r="N32" s="5">
        <f t="shared" si="4"/>
        <v>36672.835584000008</v>
      </c>
      <c r="O32" s="5">
        <f t="shared" si="4"/>
        <v>36672.835584000008</v>
      </c>
      <c r="P32" s="5">
        <f t="shared" si="4"/>
        <v>36672.835584000008</v>
      </c>
      <c r="Q32" s="5">
        <f t="shared" si="4"/>
        <v>36672.835584000008</v>
      </c>
      <c r="R32" s="5">
        <f t="shared" si="4"/>
        <v>0</v>
      </c>
    </row>
    <row r="33" spans="1:18" x14ac:dyDescent="0.2">
      <c r="C33" s="6"/>
      <c r="D33" s="1"/>
      <c r="E33" s="5"/>
      <c r="F33" s="5"/>
      <c r="G33" s="5"/>
      <c r="H33" s="5"/>
    </row>
    <row r="34" spans="1:18" x14ac:dyDescent="0.2">
      <c r="B34" t="s">
        <v>2</v>
      </c>
      <c r="D34" s="40">
        <f>+Summary!G7</f>
        <v>0.11600000000000001</v>
      </c>
      <c r="F34" s="1">
        <f>+F$32/((1+$D34)^(YEAR(F$20)-YEAR($E$20)))</f>
        <v>23389.784946236556</v>
      </c>
      <c r="G34" s="1">
        <f t="shared" ref="G34:Q34" si="5">+G32/((1+$D$34)^(YEAR(G20)-YEAR($E$20)))</f>
        <v>23473.619300882565</v>
      </c>
      <c r="H34" s="1">
        <f t="shared" si="5"/>
        <v>23557.754137086446</v>
      </c>
      <c r="I34" s="1">
        <f t="shared" si="5"/>
        <v>23642.190531843022</v>
      </c>
      <c r="J34" s="1">
        <f t="shared" si="5"/>
        <v>21184.758541077976</v>
      </c>
      <c r="K34" s="1">
        <f t="shared" si="5"/>
        <v>18982.75854935302</v>
      </c>
      <c r="L34" s="1">
        <f t="shared" si="5"/>
        <v>17009.640277198047</v>
      </c>
      <c r="M34" s="1">
        <f t="shared" si="5"/>
        <v>15241.613151611147</v>
      </c>
      <c r="N34" s="1">
        <f t="shared" si="5"/>
        <v>13657.359454848696</v>
      </c>
      <c r="O34" s="1">
        <f t="shared" si="5"/>
        <v>12237.777289290945</v>
      </c>
      <c r="P34" s="1">
        <f t="shared" si="5"/>
        <v>10965.750259221275</v>
      </c>
      <c r="Q34" s="1">
        <f t="shared" si="5"/>
        <v>23642.190531843022</v>
      </c>
      <c r="R34">
        <v>0</v>
      </c>
    </row>
    <row r="36" spans="1:18" x14ac:dyDescent="0.2">
      <c r="A36" t="s">
        <v>10</v>
      </c>
      <c r="E36" s="1">
        <f>SUMPRODUCT(F34:R34,F38:R38)</f>
        <v>23515.837229012148</v>
      </c>
      <c r="F36" s="5">
        <f t="shared" ref="F36:R36" si="6">+$E$12+$E$17+F34</f>
        <v>471983.85446999292</v>
      </c>
      <c r="G36" s="5">
        <f t="shared" si="6"/>
        <v>472067.6888246389</v>
      </c>
      <c r="H36" s="5">
        <f t="shared" si="6"/>
        <v>472151.82366084278</v>
      </c>
      <c r="I36" s="5">
        <f t="shared" si="6"/>
        <v>472236.26005559938</v>
      </c>
      <c r="J36" s="5">
        <f t="shared" si="6"/>
        <v>469778.82806483429</v>
      </c>
      <c r="K36" s="5">
        <f t="shared" si="6"/>
        <v>467576.82807310938</v>
      </c>
      <c r="L36" s="5">
        <f t="shared" si="6"/>
        <v>465603.70980095438</v>
      </c>
      <c r="M36" s="5">
        <f t="shared" si="6"/>
        <v>463835.68267536745</v>
      </c>
      <c r="N36" s="5">
        <f t="shared" si="6"/>
        <v>462251.42897860502</v>
      </c>
      <c r="O36" s="5">
        <f t="shared" si="6"/>
        <v>460831.8468130473</v>
      </c>
      <c r="P36" s="5">
        <f t="shared" si="6"/>
        <v>459559.81978297763</v>
      </c>
      <c r="Q36" s="5">
        <f t="shared" si="6"/>
        <v>472236.26005559938</v>
      </c>
      <c r="R36" s="5">
        <f t="shared" si="6"/>
        <v>448594.06952375633</v>
      </c>
    </row>
    <row r="37" spans="1:18" x14ac:dyDescent="0.2">
      <c r="F37" s="5"/>
      <c r="G37" s="5"/>
      <c r="H37" s="5"/>
      <c r="I37" s="5"/>
      <c r="J37" s="5"/>
    </row>
    <row r="38" spans="1:18" x14ac:dyDescent="0.2">
      <c r="A38" t="s">
        <v>12</v>
      </c>
      <c r="D38" s="32">
        <f>SUM(F38:R38)</f>
        <v>1</v>
      </c>
      <c r="F38" s="31">
        <f>IF(Summary!$E$39="yes",0.1,0.25)</f>
        <v>0.25</v>
      </c>
      <c r="G38" s="31">
        <f>IF(Summary!$E$39="yes",0.4,0.25)</f>
        <v>0.25</v>
      </c>
      <c r="H38" s="31">
        <f>IF(Summary!$E$39="yes",0.2,0.25)</f>
        <v>0.25</v>
      </c>
      <c r="I38" s="31">
        <f>IF(Summary!$E$39="yes",0.15,0.25)</f>
        <v>0.25</v>
      </c>
      <c r="J38" s="31">
        <f>IF(Summary!$E$39="yes",0.1,0)</f>
        <v>0</v>
      </c>
      <c r="K38" s="31">
        <f>IF(Summary!$E$39="yes",0,0)</f>
        <v>0</v>
      </c>
      <c r="L38" s="31">
        <f>IF(Summary!$E$39="yes",0,0)</f>
        <v>0</v>
      </c>
      <c r="M38" s="31">
        <f>IF(Summary!$E$39="yes",0,0)</f>
        <v>0</v>
      </c>
      <c r="N38" s="31">
        <f>IF(Summary!$E$39="yes",0,0)</f>
        <v>0</v>
      </c>
      <c r="O38" s="31">
        <f>IF(Summary!$E$39="yes",0,0)</f>
        <v>0</v>
      </c>
      <c r="P38" s="31">
        <f>IF(Summary!$E$39="yes",0,0)</f>
        <v>0</v>
      </c>
      <c r="Q38" s="31">
        <f>IF(Summary!$E$39="yes",0,0)</f>
        <v>0</v>
      </c>
      <c r="R38" s="31">
        <f>IF(Summary!$E$39="yes",0.05,0)</f>
        <v>0</v>
      </c>
    </row>
    <row r="40" spans="1:18" x14ac:dyDescent="0.2">
      <c r="A40" t="s">
        <v>13</v>
      </c>
      <c r="D40" s="6">
        <f>+D17</f>
        <v>8.5000000000000006E-2</v>
      </c>
      <c r="E40" s="34">
        <f>SUM(F40:R40)</f>
        <v>472109.90675276855</v>
      </c>
      <c r="F40" s="5">
        <f>+F36*F38</f>
        <v>117995.96361749823</v>
      </c>
      <c r="G40" s="5">
        <f t="shared" ref="G40:R40" si="7">+G36*G38</f>
        <v>118016.92220615972</v>
      </c>
      <c r="H40" s="5">
        <f t="shared" si="7"/>
        <v>118037.9559152107</v>
      </c>
      <c r="I40" s="5">
        <f t="shared" si="7"/>
        <v>118059.06501389985</v>
      </c>
      <c r="J40" s="5">
        <f t="shared" si="7"/>
        <v>0</v>
      </c>
      <c r="K40" s="5">
        <f t="shared" si="7"/>
        <v>0</v>
      </c>
      <c r="L40" s="5">
        <f t="shared" si="7"/>
        <v>0</v>
      </c>
      <c r="M40" s="5">
        <f t="shared" si="7"/>
        <v>0</v>
      </c>
      <c r="N40" s="5">
        <f t="shared" si="7"/>
        <v>0</v>
      </c>
      <c r="O40" s="5">
        <f t="shared" si="7"/>
        <v>0</v>
      </c>
      <c r="P40" s="5">
        <f t="shared" si="7"/>
        <v>0</v>
      </c>
      <c r="Q40" s="5">
        <f t="shared" si="7"/>
        <v>0</v>
      </c>
      <c r="R40" s="5">
        <f t="shared" si="7"/>
        <v>0</v>
      </c>
    </row>
    <row r="41" spans="1:18" x14ac:dyDescent="0.2">
      <c r="D41" s="6"/>
      <c r="E41" s="1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">
      <c r="A43" s="35" t="s">
        <v>20</v>
      </c>
      <c r="D43" s="6">
        <v>8.2500000000000004E-2</v>
      </c>
      <c r="E43" s="38">
        <v>206616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">
      <c r="D44" s="6">
        <v>9.2499999999999999E-2</v>
      </c>
      <c r="E44" s="38">
        <v>197718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8" spans="1:18" x14ac:dyDescent="0.2">
      <c r="E48" s="2">
        <f t="shared" ref="E48:Q48" si="8">+E6</f>
        <v>36891</v>
      </c>
      <c r="F48" s="2">
        <f t="shared" si="8"/>
        <v>37210</v>
      </c>
      <c r="G48" s="2">
        <f t="shared" si="8"/>
        <v>37302</v>
      </c>
      <c r="H48" s="2">
        <f t="shared" si="8"/>
        <v>37391</v>
      </c>
      <c r="I48" s="2">
        <f t="shared" si="8"/>
        <v>37483</v>
      </c>
      <c r="J48" s="2">
        <f t="shared" si="8"/>
        <v>37575</v>
      </c>
      <c r="K48" s="2">
        <f t="shared" si="8"/>
        <v>37667</v>
      </c>
      <c r="L48" s="2">
        <f t="shared" si="8"/>
        <v>37756</v>
      </c>
      <c r="M48" s="2">
        <f t="shared" si="8"/>
        <v>37848</v>
      </c>
      <c r="N48" s="2">
        <f t="shared" si="8"/>
        <v>37940</v>
      </c>
      <c r="O48" s="2">
        <f t="shared" si="8"/>
        <v>38032</v>
      </c>
      <c r="P48" s="2">
        <f t="shared" si="8"/>
        <v>38122</v>
      </c>
      <c r="Q48" s="2">
        <f t="shared" si="8"/>
        <v>38214</v>
      </c>
    </row>
    <row r="49" spans="1:19" x14ac:dyDescent="0.2">
      <c r="A49" s="7" t="s">
        <v>5</v>
      </c>
      <c r="B49" s="8"/>
      <c r="C49" s="9"/>
      <c r="D49" s="10"/>
      <c r="E49" s="11">
        <v>0</v>
      </c>
      <c r="F49" s="11">
        <f t="shared" ref="F49:Q49" si="9">+F8</f>
        <v>41927.138642917511</v>
      </c>
      <c r="G49" s="11">
        <f t="shared" si="9"/>
        <v>42451.227875953977</v>
      </c>
      <c r="H49" s="11">
        <f t="shared" si="9"/>
        <v>42981.868224403399</v>
      </c>
      <c r="I49" s="11">
        <f t="shared" si="9"/>
        <v>43519.141577208437</v>
      </c>
      <c r="J49" s="11">
        <f t="shared" si="9"/>
        <v>44063.130846923537</v>
      </c>
      <c r="K49" s="11">
        <f t="shared" si="9"/>
        <v>44613.91998251008</v>
      </c>
      <c r="L49" s="11">
        <f t="shared" si="9"/>
        <v>45171.593982291452</v>
      </c>
      <c r="M49" s="11">
        <f t="shared" si="9"/>
        <v>45736.238907070096</v>
      </c>
      <c r="N49" s="11">
        <f t="shared" si="9"/>
        <v>46307.941893408468</v>
      </c>
      <c r="O49" s="11">
        <f t="shared" si="9"/>
        <v>46886.791167076073</v>
      </c>
      <c r="P49" s="11">
        <f t="shared" si="9"/>
        <v>47472.876056664521</v>
      </c>
      <c r="Q49" s="12">
        <f t="shared" si="9"/>
        <v>48066.287007372826</v>
      </c>
      <c r="R49" s="5"/>
      <c r="S49" s="5"/>
    </row>
    <row r="50" spans="1:19" x14ac:dyDescent="0.2">
      <c r="A50" s="13"/>
      <c r="B50" s="14"/>
      <c r="C50" s="15"/>
      <c r="D50" s="16"/>
      <c r="E50" s="14"/>
      <c r="F50" s="17">
        <v>0</v>
      </c>
      <c r="G50" s="17">
        <f t="shared" ref="G50:Q50" si="10">+G8</f>
        <v>42451.227875953977</v>
      </c>
      <c r="H50" s="17">
        <f t="shared" si="10"/>
        <v>42981.868224403399</v>
      </c>
      <c r="I50" s="17">
        <f t="shared" si="10"/>
        <v>43519.141577208437</v>
      </c>
      <c r="J50" s="17">
        <f t="shared" si="10"/>
        <v>44063.130846923537</v>
      </c>
      <c r="K50" s="17">
        <f t="shared" si="10"/>
        <v>44613.91998251008</v>
      </c>
      <c r="L50" s="17">
        <f t="shared" si="10"/>
        <v>45171.593982291452</v>
      </c>
      <c r="M50" s="17">
        <f t="shared" si="10"/>
        <v>45736.238907070096</v>
      </c>
      <c r="N50" s="17">
        <f t="shared" si="10"/>
        <v>46307.941893408468</v>
      </c>
      <c r="O50" s="17">
        <f t="shared" si="10"/>
        <v>46886.791167076073</v>
      </c>
      <c r="P50" s="17">
        <f t="shared" si="10"/>
        <v>47472.876056664521</v>
      </c>
      <c r="Q50" s="18">
        <f t="shared" si="10"/>
        <v>48066.287007372826</v>
      </c>
    </row>
    <row r="51" spans="1:19" x14ac:dyDescent="0.2">
      <c r="A51" s="13"/>
      <c r="B51" s="14"/>
      <c r="C51" s="15"/>
      <c r="D51" s="16"/>
      <c r="E51" s="14"/>
      <c r="F51" s="14"/>
      <c r="G51" s="17">
        <v>0</v>
      </c>
      <c r="H51" s="17">
        <f t="shared" ref="H51:Q51" si="11">+H8</f>
        <v>42981.868224403399</v>
      </c>
      <c r="I51" s="17">
        <f t="shared" si="11"/>
        <v>43519.141577208437</v>
      </c>
      <c r="J51" s="17">
        <f t="shared" si="11"/>
        <v>44063.130846923537</v>
      </c>
      <c r="K51" s="17">
        <f t="shared" si="11"/>
        <v>44613.91998251008</v>
      </c>
      <c r="L51" s="17">
        <f t="shared" si="11"/>
        <v>45171.593982291452</v>
      </c>
      <c r="M51" s="17">
        <f t="shared" si="11"/>
        <v>45736.238907070096</v>
      </c>
      <c r="N51" s="17">
        <f t="shared" si="11"/>
        <v>46307.941893408468</v>
      </c>
      <c r="O51" s="17">
        <f t="shared" si="11"/>
        <v>46886.791167076073</v>
      </c>
      <c r="P51" s="17">
        <f t="shared" si="11"/>
        <v>47472.876056664521</v>
      </c>
      <c r="Q51" s="18">
        <f t="shared" si="11"/>
        <v>48066.287007372826</v>
      </c>
    </row>
    <row r="52" spans="1:19" x14ac:dyDescent="0.2">
      <c r="A52" s="13"/>
      <c r="B52" s="14"/>
      <c r="C52" s="15"/>
      <c r="D52" s="16"/>
      <c r="E52" s="14"/>
      <c r="F52" s="14"/>
      <c r="G52" s="14"/>
      <c r="H52" s="17">
        <v>0</v>
      </c>
      <c r="I52" s="17">
        <f t="shared" ref="I52:Q52" si="12">+I8</f>
        <v>43519.141577208437</v>
      </c>
      <c r="J52" s="17">
        <f t="shared" si="12"/>
        <v>44063.130846923537</v>
      </c>
      <c r="K52" s="17">
        <f t="shared" si="12"/>
        <v>44613.91998251008</v>
      </c>
      <c r="L52" s="17">
        <f t="shared" si="12"/>
        <v>45171.593982291452</v>
      </c>
      <c r="M52" s="17">
        <f t="shared" si="12"/>
        <v>45736.238907070096</v>
      </c>
      <c r="N52" s="17">
        <f t="shared" si="12"/>
        <v>46307.941893408468</v>
      </c>
      <c r="O52" s="17">
        <f t="shared" si="12"/>
        <v>46886.791167076073</v>
      </c>
      <c r="P52" s="17">
        <f t="shared" si="12"/>
        <v>47472.876056664521</v>
      </c>
      <c r="Q52" s="18">
        <f t="shared" si="12"/>
        <v>48066.287007372826</v>
      </c>
    </row>
    <row r="53" spans="1:19" x14ac:dyDescent="0.2">
      <c r="A53" s="19"/>
      <c r="B53" s="17"/>
      <c r="C53" s="17"/>
      <c r="D53" s="17"/>
      <c r="E53" s="17"/>
      <c r="F53" s="17"/>
      <c r="G53" s="17"/>
      <c r="H53" s="17"/>
      <c r="I53" s="17">
        <v>0</v>
      </c>
      <c r="J53" s="17">
        <f t="shared" ref="J53:Q53" si="13">+J8</f>
        <v>44063.130846923537</v>
      </c>
      <c r="K53" s="17">
        <f t="shared" si="13"/>
        <v>44613.91998251008</v>
      </c>
      <c r="L53" s="17">
        <f t="shared" si="13"/>
        <v>45171.593982291452</v>
      </c>
      <c r="M53" s="17">
        <f t="shared" si="13"/>
        <v>45736.238907070096</v>
      </c>
      <c r="N53" s="17">
        <f t="shared" si="13"/>
        <v>46307.941893408468</v>
      </c>
      <c r="O53" s="17">
        <f t="shared" si="13"/>
        <v>46886.791167076073</v>
      </c>
      <c r="P53" s="17">
        <f t="shared" si="13"/>
        <v>47472.876056664521</v>
      </c>
      <c r="Q53" s="18">
        <f t="shared" si="13"/>
        <v>48066.287007372826</v>
      </c>
    </row>
    <row r="54" spans="1:19" x14ac:dyDescent="0.2">
      <c r="A54" s="13"/>
      <c r="B54" s="14"/>
      <c r="C54" s="15"/>
      <c r="D54" s="16"/>
      <c r="E54" s="14"/>
      <c r="F54" s="14"/>
      <c r="G54" s="14"/>
      <c r="H54" s="14"/>
      <c r="I54" s="14"/>
      <c r="J54" s="17">
        <v>0</v>
      </c>
      <c r="K54" s="17">
        <f t="shared" ref="K54:Q54" si="14">+K8</f>
        <v>44613.91998251008</v>
      </c>
      <c r="L54" s="17">
        <f t="shared" si="14"/>
        <v>45171.593982291452</v>
      </c>
      <c r="M54" s="17">
        <f t="shared" si="14"/>
        <v>45736.238907070096</v>
      </c>
      <c r="N54" s="17">
        <f t="shared" si="14"/>
        <v>46307.941893408468</v>
      </c>
      <c r="O54" s="17">
        <f t="shared" si="14"/>
        <v>46886.791167076073</v>
      </c>
      <c r="P54" s="17">
        <f t="shared" si="14"/>
        <v>47472.876056664521</v>
      </c>
      <c r="Q54" s="18">
        <f t="shared" si="14"/>
        <v>48066.287007372826</v>
      </c>
    </row>
    <row r="55" spans="1:19" x14ac:dyDescent="0.2">
      <c r="A55" s="13"/>
      <c r="B55" s="14"/>
      <c r="C55" s="15"/>
      <c r="D55" s="16"/>
      <c r="E55" s="14"/>
      <c r="F55" s="14"/>
      <c r="G55" s="14"/>
      <c r="H55" s="14"/>
      <c r="I55" s="14"/>
      <c r="J55" s="14"/>
      <c r="K55" s="17">
        <v>0</v>
      </c>
      <c r="L55" s="17">
        <f t="shared" ref="L55:Q55" si="15">+L$8</f>
        <v>45171.593982291452</v>
      </c>
      <c r="M55" s="17">
        <f t="shared" si="15"/>
        <v>45736.238907070096</v>
      </c>
      <c r="N55" s="17">
        <f t="shared" si="15"/>
        <v>46307.941893408468</v>
      </c>
      <c r="O55" s="17">
        <f t="shared" si="15"/>
        <v>46886.791167076073</v>
      </c>
      <c r="P55" s="17">
        <f t="shared" si="15"/>
        <v>47472.876056664521</v>
      </c>
      <c r="Q55" s="18">
        <f t="shared" si="15"/>
        <v>48066.287007372826</v>
      </c>
    </row>
    <row r="56" spans="1:19" x14ac:dyDescent="0.2">
      <c r="A56" s="13"/>
      <c r="B56" s="14"/>
      <c r="C56" s="15"/>
      <c r="D56" s="16"/>
      <c r="E56" s="14"/>
      <c r="F56" s="14"/>
      <c r="G56" s="14"/>
      <c r="H56" s="14"/>
      <c r="I56" s="14"/>
      <c r="J56" s="14"/>
      <c r="K56" s="14"/>
      <c r="L56" s="17">
        <v>0</v>
      </c>
      <c r="M56" s="17">
        <f>+M$8</f>
        <v>45736.238907070096</v>
      </c>
      <c r="N56" s="17">
        <f>+N$8</f>
        <v>46307.941893408468</v>
      </c>
      <c r="O56" s="17">
        <f>+O$8</f>
        <v>46886.791167076073</v>
      </c>
      <c r="P56" s="17">
        <f>+P$8</f>
        <v>47472.876056664521</v>
      </c>
      <c r="Q56" s="18">
        <f>+Q$8</f>
        <v>48066.287007372826</v>
      </c>
    </row>
    <row r="57" spans="1:19" x14ac:dyDescent="0.2">
      <c r="A57" s="13"/>
      <c r="B57" s="14"/>
      <c r="C57" s="15"/>
      <c r="D57" s="16"/>
      <c r="E57" s="14"/>
      <c r="F57" s="14"/>
      <c r="G57" s="14"/>
      <c r="H57" s="14"/>
      <c r="I57" s="14"/>
      <c r="J57" s="14"/>
      <c r="K57" s="14"/>
      <c r="L57" s="14"/>
      <c r="M57" s="17">
        <v>0</v>
      </c>
      <c r="N57" s="17">
        <f>+N$8</f>
        <v>46307.941893408468</v>
      </c>
      <c r="O57" s="17">
        <f>+O$8</f>
        <v>46886.791167076073</v>
      </c>
      <c r="P57" s="17">
        <f>+P$8</f>
        <v>47472.876056664521</v>
      </c>
      <c r="Q57" s="18">
        <f>+Q$8</f>
        <v>48066.287007372826</v>
      </c>
    </row>
    <row r="58" spans="1:19" x14ac:dyDescent="0.2">
      <c r="A58" s="13"/>
      <c r="B58" s="14"/>
      <c r="C58" s="15"/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7">
        <v>0</v>
      </c>
      <c r="O58" s="17">
        <f>+O$8</f>
        <v>46886.791167076073</v>
      </c>
      <c r="P58" s="17">
        <f>+P$8</f>
        <v>47472.876056664521</v>
      </c>
      <c r="Q58" s="18">
        <f>+Q$8</f>
        <v>48066.287007372826</v>
      </c>
    </row>
    <row r="59" spans="1:19" x14ac:dyDescent="0.2">
      <c r="A59" s="13"/>
      <c r="B59" s="14"/>
      <c r="C59" s="15"/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7">
        <v>0</v>
      </c>
      <c r="P59" s="17">
        <f>+P$8</f>
        <v>47472.876056664521</v>
      </c>
      <c r="Q59" s="18">
        <f>+Q$8</f>
        <v>48066.287007372826</v>
      </c>
    </row>
    <row r="60" spans="1:19" x14ac:dyDescent="0.2">
      <c r="A60" s="20"/>
      <c r="B60" s="21"/>
      <c r="C60" s="22"/>
      <c r="D60" s="23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4">
        <v>0</v>
      </c>
      <c r="Q60" s="25">
        <f>+Q8</f>
        <v>48066.287007372826</v>
      </c>
    </row>
    <row r="61" spans="1:19" x14ac:dyDescent="0.2">
      <c r="C61" s="4"/>
      <c r="D61" s="1"/>
      <c r="P61" s="5"/>
      <c r="Q61" s="5"/>
    </row>
    <row r="63" spans="1:19" x14ac:dyDescent="0.2">
      <c r="B63" t="s">
        <v>3</v>
      </c>
      <c r="C63" s="4"/>
      <c r="D63" s="1"/>
    </row>
    <row r="64" spans="1:19" x14ac:dyDescent="0.2">
      <c r="B64" t="s">
        <v>4</v>
      </c>
      <c r="C64" s="4"/>
      <c r="D64" s="1"/>
      <c r="E64" s="1">
        <f>XNPV($D$12,E$49:Q$49,E$6:Q$6)</f>
        <v>448594.06952375633</v>
      </c>
      <c r="F64" s="1">
        <f>XNPV($D$12,F$50:Q$50,F$6:Q$6)</f>
        <v>439818.89575318765</v>
      </c>
      <c r="G64" s="1">
        <f>XNPV($D$12,G$51:Q$51,G$6:Q$6)</f>
        <v>406505.12279664434</v>
      </c>
      <c r="H64" s="1">
        <f>XNPV($D$12,H$52:Q$52,H$6:Q$6)</f>
        <v>371690.45988366829</v>
      </c>
      <c r="I64" s="1">
        <f>XNPV($D$12,I$53:Q$53,I$6:Q$6)</f>
        <v>335893.37130135426</v>
      </c>
      <c r="J64" s="1">
        <f>XNPV($D$12,J$54:Q$54,J$6:Q$6)</f>
        <v>298808.59124297288</v>
      </c>
      <c r="K64" s="1">
        <f>XNPV($D$12,K$55:Q$55,K$6:Q$6)</f>
        <v>260402.56741585553</v>
      </c>
      <c r="L64" s="1">
        <f>XNPV($D$12,L$56:Q$56,L$6:Q$6)</f>
        <v>220462.79244995565</v>
      </c>
      <c r="M64" s="1">
        <f>XNPV($D$12,M$57:Q$57,M$6:Q$6)</f>
        <v>179306.77700956745</v>
      </c>
      <c r="N64" s="1">
        <f>XNPV($D$12,N$58:Q$58,N$6:Q$6)</f>
        <v>136724.02202261053</v>
      </c>
      <c r="O64" s="1">
        <f>XNPV($D$12,O$59:Q$59,O$6:Q$6)</f>
        <v>92677.739982575673</v>
      </c>
      <c r="P64" s="1">
        <f>XNPV($D$12,P$60:Q$60,P$6:Q$6)</f>
        <v>47088.01032186579</v>
      </c>
      <c r="Q64" s="1">
        <v>0</v>
      </c>
    </row>
  </sheetData>
  <pageMargins left="0.75" right="0.75" top="0.5" bottom="0.5" header="0.25" footer="0.25"/>
  <pageSetup scale="6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8"/>
  <sheetViews>
    <sheetView zoomScaleNormal="100" workbookViewId="0"/>
  </sheetViews>
  <sheetFormatPr defaultRowHeight="12.75" x14ac:dyDescent="0.2"/>
  <cols>
    <col min="1" max="1" width="4.7109375" customWidth="1"/>
    <col min="4" max="4" width="12.85546875" customWidth="1"/>
    <col min="5" max="5" width="12" customWidth="1"/>
    <col min="6" max="6" width="12.5703125" customWidth="1"/>
    <col min="7" max="9" width="12.28515625" customWidth="1"/>
    <col min="10" max="32" width="12.85546875" bestFit="1" customWidth="1"/>
    <col min="33" max="51" width="11.7109375" customWidth="1"/>
  </cols>
  <sheetData>
    <row r="1" spans="1:74" ht="18" x14ac:dyDescent="0.25">
      <c r="A1" s="39" t="s">
        <v>37</v>
      </c>
    </row>
    <row r="4" spans="1:74" x14ac:dyDescent="0.2">
      <c r="A4" t="s">
        <v>21</v>
      </c>
      <c r="D4" s="30">
        <f>+Summary!G6</f>
        <v>36887</v>
      </c>
      <c r="E4" s="30">
        <v>37026</v>
      </c>
      <c r="F4" s="30">
        <v>37118</v>
      </c>
      <c r="G4" s="30">
        <v>37210</v>
      </c>
      <c r="H4" s="30">
        <v>37302</v>
      </c>
      <c r="I4" s="30">
        <v>37391</v>
      </c>
      <c r="J4" s="30">
        <v>37483</v>
      </c>
      <c r="K4" s="30">
        <v>37575</v>
      </c>
      <c r="L4" s="30">
        <v>37667</v>
      </c>
      <c r="M4" s="30">
        <v>37756</v>
      </c>
      <c r="N4" s="30">
        <v>37848</v>
      </c>
      <c r="O4" s="30">
        <v>37940</v>
      </c>
      <c r="P4" s="30">
        <v>38032</v>
      </c>
      <c r="Q4" s="30">
        <v>38122</v>
      </c>
      <c r="R4" s="30">
        <v>38214</v>
      </c>
      <c r="S4" s="30">
        <v>38306</v>
      </c>
      <c r="T4" s="30">
        <v>38398</v>
      </c>
      <c r="U4" s="30">
        <v>38487</v>
      </c>
      <c r="V4" s="30">
        <v>38579</v>
      </c>
      <c r="W4" s="30">
        <v>38671</v>
      </c>
      <c r="X4" s="30">
        <v>38763</v>
      </c>
      <c r="Y4" s="30">
        <v>38852</v>
      </c>
      <c r="Z4" s="30">
        <v>38944</v>
      </c>
      <c r="AA4" s="30">
        <v>39036</v>
      </c>
      <c r="AB4" s="30">
        <v>39128</v>
      </c>
      <c r="AC4" s="30">
        <v>39217</v>
      </c>
      <c r="AD4" s="30">
        <v>39309</v>
      </c>
      <c r="AE4" s="30">
        <v>39401</v>
      </c>
      <c r="AF4" s="30">
        <v>39493</v>
      </c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</row>
    <row r="5" spans="1:74" x14ac:dyDescent="0.2"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</row>
    <row r="6" spans="1:74" x14ac:dyDescent="0.2">
      <c r="A6" t="s">
        <v>84</v>
      </c>
      <c r="D6" s="1">
        <v>0</v>
      </c>
      <c r="E6" s="1">
        <f>+Summary!G14*1000</f>
        <v>14225862.060419861</v>
      </c>
      <c r="F6" s="1">
        <f t="shared" ref="F6:AE6" si="0">E6*(1.0125)</f>
        <v>14403685.336175108</v>
      </c>
      <c r="G6" s="1">
        <f t="shared" si="0"/>
        <v>14583731.402877297</v>
      </c>
      <c r="H6" s="1">
        <f t="shared" si="0"/>
        <v>14766028.045413263</v>
      </c>
      <c r="I6" s="1">
        <f t="shared" si="0"/>
        <v>14950603.395980928</v>
      </c>
      <c r="J6" s="1">
        <f t="shared" si="0"/>
        <v>15137485.938430689</v>
      </c>
      <c r="K6" s="1">
        <f t="shared" si="0"/>
        <v>15326704.512661071</v>
      </c>
      <c r="L6" s="1">
        <f t="shared" si="0"/>
        <v>15518288.319069333</v>
      </c>
      <c r="M6" s="1">
        <f t="shared" si="0"/>
        <v>15712266.9230577</v>
      </c>
      <c r="N6" s="1">
        <f t="shared" si="0"/>
        <v>15908670.259595919</v>
      </c>
      <c r="O6" s="1">
        <f t="shared" si="0"/>
        <v>16107528.637840867</v>
      </c>
      <c r="P6" s="1">
        <f t="shared" si="0"/>
        <v>16308872.745813876</v>
      </c>
      <c r="Q6" s="1">
        <f t="shared" si="0"/>
        <v>16512733.65513655</v>
      </c>
      <c r="R6" s="1">
        <f t="shared" si="0"/>
        <v>16719142.825825756</v>
      </c>
      <c r="S6" s="1">
        <f>R6*(1.0125)-0.05</f>
        <v>16928132.061148576</v>
      </c>
      <c r="T6" s="1">
        <f t="shared" si="0"/>
        <v>17139733.711912934</v>
      </c>
      <c r="U6" s="1">
        <f t="shared" si="0"/>
        <v>17353980.383311845</v>
      </c>
      <c r="V6" s="1">
        <f t="shared" si="0"/>
        <v>17570905.138103243</v>
      </c>
      <c r="W6" s="1">
        <f t="shared" si="0"/>
        <v>17790541.452329531</v>
      </c>
      <c r="X6" s="1">
        <f t="shared" si="0"/>
        <v>18012923.22048365</v>
      </c>
      <c r="Y6" s="1">
        <f t="shared" si="0"/>
        <v>18238084.760739695</v>
      </c>
      <c r="Z6" s="1">
        <f t="shared" si="0"/>
        <v>18466060.820248939</v>
      </c>
      <c r="AA6" s="1">
        <f t="shared" si="0"/>
        <v>18696886.580502052</v>
      </c>
      <c r="AB6" s="1">
        <f t="shared" si="0"/>
        <v>18930597.662758328</v>
      </c>
      <c r="AC6" s="1">
        <f t="shared" si="0"/>
        <v>19167230.133542806</v>
      </c>
      <c r="AD6" s="1">
        <f t="shared" si="0"/>
        <v>19406820.51021209</v>
      </c>
      <c r="AE6" s="1">
        <f t="shared" si="0"/>
        <v>19649405.766589738</v>
      </c>
      <c r="AF6" s="1">
        <f>AE6*(1.0125)</f>
        <v>19895023.338672109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">
      <c r="A8" t="s">
        <v>82</v>
      </c>
      <c r="C8" s="66" t="s">
        <v>50</v>
      </c>
      <c r="D8" s="87">
        <f>+Summary!G5</f>
        <v>8.5000000000000006E-2</v>
      </c>
      <c r="E8" s="1">
        <f>XNPV($D$8,D6:AF6,D4:AF4)</f>
        <v>347328725.79520923</v>
      </c>
      <c r="F8" s="5">
        <v>346398409.90292883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">
      <c r="D9" s="8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">
      <c r="A10" t="s">
        <v>79</v>
      </c>
      <c r="D10" s="87">
        <f>LOOKUP(D8,D22:E28)</f>
        <v>8.2480672127756366E-2</v>
      </c>
    </row>
    <row r="11" spans="1:74" x14ac:dyDescent="0.2">
      <c r="A11" t="s">
        <v>74</v>
      </c>
      <c r="E11" s="1">
        <f>LOOKUP(D8,Summary!L12:R13)*1000</f>
        <v>347328725.79520923</v>
      </c>
      <c r="F11" s="5">
        <f>+E16</f>
        <v>344012614.52560687</v>
      </c>
      <c r="G11" s="5">
        <f t="shared" ref="G11:AF11" si="1">+F16</f>
        <v>336760830.65057665</v>
      </c>
      <c r="H11" s="5">
        <f t="shared" si="1"/>
        <v>329178238.66843694</v>
      </c>
      <c r="I11" s="5">
        <f t="shared" si="1"/>
        <v>321255710.61896545</v>
      </c>
      <c r="J11" s="5">
        <f t="shared" si="1"/>
        <v>312766113.90070826</v>
      </c>
      <c r="K11" s="5">
        <f t="shared" si="1"/>
        <v>304130925.6471684</v>
      </c>
      <c r="L11" s="5">
        <f t="shared" si="1"/>
        <v>295126996.28772318</v>
      </c>
      <c r="M11" s="5">
        <f t="shared" si="1"/>
        <v>285744294.59208089</v>
      </c>
      <c r="N11" s="5">
        <f t="shared" si="1"/>
        <v>275778838.49434304</v>
      </c>
      <c r="O11" s="5">
        <f t="shared" si="1"/>
        <v>265603513.45146367</v>
      </c>
      <c r="P11" s="5">
        <f t="shared" si="1"/>
        <v>255017788.59560984</v>
      </c>
      <c r="Q11" s="5">
        <f t="shared" si="1"/>
        <v>244010646.12904745</v>
      </c>
      <c r="R11" s="5">
        <f t="shared" si="1"/>
        <v>232460527.78600591</v>
      </c>
      <c r="S11" s="5">
        <f t="shared" si="1"/>
        <v>220574157.70784199</v>
      </c>
      <c r="T11" s="5">
        <f t="shared" si="1"/>
        <v>208231684.93414986</v>
      </c>
      <c r="U11" s="5">
        <f t="shared" si="1"/>
        <v>195421014.83460152</v>
      </c>
      <c r="V11" s="5">
        <f t="shared" si="1"/>
        <v>181997288.26492998</v>
      </c>
      <c r="W11" s="5">
        <f t="shared" si="1"/>
        <v>168210042.84425107</v>
      </c>
      <c r="X11" s="5">
        <f t="shared" si="1"/>
        <v>153916529.11823329</v>
      </c>
      <c r="Y11" s="5">
        <f t="shared" si="1"/>
        <v>139103476.49264932</v>
      </c>
      <c r="Z11" s="5">
        <f t="shared" si="1"/>
        <v>123663002.67174932</v>
      </c>
      <c r="AA11" s="5">
        <f t="shared" si="1"/>
        <v>107767852.2546473</v>
      </c>
      <c r="AB11" s="5">
        <f t="shared" si="1"/>
        <v>91311421.481463</v>
      </c>
      <c r="AC11" s="5">
        <f t="shared" si="1"/>
        <v>74279156.208675459</v>
      </c>
      <c r="AD11" s="5">
        <f t="shared" si="1"/>
        <v>56605808.077588819</v>
      </c>
      <c r="AE11" s="5">
        <f t="shared" si="1"/>
        <v>38375802.44103381</v>
      </c>
      <c r="AF11" s="5">
        <f t="shared" si="1"/>
        <v>19524216.132108781</v>
      </c>
    </row>
    <row r="12" spans="1:74" x14ac:dyDescent="0.2">
      <c r="A12" t="s">
        <v>75</v>
      </c>
      <c r="E12" s="1">
        <f>+E11*$D$10*(E4-D4)/365</f>
        <v>10909750.790817482</v>
      </c>
      <c r="F12" s="1">
        <f t="shared" ref="F12:AF12" si="2">+F11*$D$10*(F4-E4)/365</f>
        <v>7151901.4611449074</v>
      </c>
      <c r="G12" s="1">
        <f t="shared" si="2"/>
        <v>7001139.4207375916</v>
      </c>
      <c r="H12" s="1">
        <f t="shared" si="2"/>
        <v>6843499.9959417498</v>
      </c>
      <c r="I12" s="1">
        <f t="shared" si="2"/>
        <v>6461006.6777237589</v>
      </c>
      <c r="J12" s="1">
        <f t="shared" si="2"/>
        <v>6502297.6848908151</v>
      </c>
      <c r="K12" s="1">
        <f t="shared" si="2"/>
        <v>6322775.1532158721</v>
      </c>
      <c r="L12" s="1">
        <f t="shared" si="2"/>
        <v>6135586.6234270371</v>
      </c>
      <c r="M12" s="1">
        <f t="shared" si="2"/>
        <v>5746810.825319875</v>
      </c>
      <c r="N12" s="1">
        <f t="shared" si="2"/>
        <v>5733345.2167165354</v>
      </c>
      <c r="O12" s="1">
        <f t="shared" si="2"/>
        <v>5521803.7819870347</v>
      </c>
      <c r="P12" s="1">
        <f t="shared" si="2"/>
        <v>5301730.2792515019</v>
      </c>
      <c r="Q12" s="1">
        <f t="shared" si="2"/>
        <v>4962615.3120950004</v>
      </c>
      <c r="R12" s="1">
        <f t="shared" si="2"/>
        <v>4832772.7476618448</v>
      </c>
      <c r="S12" s="1">
        <f t="shared" si="2"/>
        <v>4585659.2874564426</v>
      </c>
      <c r="T12" s="1">
        <f t="shared" si="2"/>
        <v>4329063.6123645948</v>
      </c>
      <c r="U12" s="1">
        <f t="shared" si="2"/>
        <v>3930253.813640302</v>
      </c>
      <c r="V12" s="1">
        <f t="shared" si="2"/>
        <v>3783659.7174243326</v>
      </c>
      <c r="W12" s="1">
        <f t="shared" si="2"/>
        <v>3497027.7263117596</v>
      </c>
      <c r="X12" s="1">
        <f t="shared" si="2"/>
        <v>3199870.5948996721</v>
      </c>
      <c r="Y12" s="1">
        <f t="shared" si="2"/>
        <v>2797610.9398397082</v>
      </c>
      <c r="Z12" s="1">
        <f t="shared" si="2"/>
        <v>2570910.4031469105</v>
      </c>
      <c r="AA12" s="1">
        <f t="shared" si="2"/>
        <v>2240455.8073177561</v>
      </c>
      <c r="AB12" s="1">
        <f t="shared" si="2"/>
        <v>1898332.389970785</v>
      </c>
      <c r="AC12" s="1">
        <f t="shared" si="2"/>
        <v>1493882.0024561649</v>
      </c>
      <c r="AD12" s="1">
        <f t="shared" si="2"/>
        <v>1176814.8736570855</v>
      </c>
      <c r="AE12" s="1">
        <f t="shared" si="2"/>
        <v>797819.45766470826</v>
      </c>
      <c r="AF12" s="1">
        <f t="shared" si="2"/>
        <v>405901.59775243909</v>
      </c>
    </row>
    <row r="13" spans="1:74" ht="15" x14ac:dyDescent="0.35">
      <c r="A13" t="s">
        <v>76</v>
      </c>
      <c r="E13" s="33">
        <f t="shared" ref="E13:AF13" si="3">+E6-E12</f>
        <v>3316111.2696023788</v>
      </c>
      <c r="F13" s="33">
        <f t="shared" si="3"/>
        <v>7251783.8750302009</v>
      </c>
      <c r="G13" s="33">
        <f t="shared" si="3"/>
        <v>7582591.9821397057</v>
      </c>
      <c r="H13" s="33">
        <f t="shared" si="3"/>
        <v>7922528.0494715134</v>
      </c>
      <c r="I13" s="33">
        <f t="shared" si="3"/>
        <v>8489596.7182571702</v>
      </c>
      <c r="J13" s="33">
        <f t="shared" si="3"/>
        <v>8635188.2535398751</v>
      </c>
      <c r="K13" s="33">
        <f t="shared" si="3"/>
        <v>9003929.3594451994</v>
      </c>
      <c r="L13" s="33">
        <f t="shared" si="3"/>
        <v>9382701.6956422962</v>
      </c>
      <c r="M13" s="33">
        <f t="shared" si="3"/>
        <v>9965456.0977378245</v>
      </c>
      <c r="N13" s="33">
        <f t="shared" si="3"/>
        <v>10175325.042879384</v>
      </c>
      <c r="O13" s="33">
        <f t="shared" si="3"/>
        <v>10585724.855853833</v>
      </c>
      <c r="P13" s="33">
        <f t="shared" si="3"/>
        <v>11007142.466562375</v>
      </c>
      <c r="Q13" s="33">
        <f t="shared" si="3"/>
        <v>11550118.34304155</v>
      </c>
      <c r="R13" s="33">
        <f t="shared" si="3"/>
        <v>11886370.078163911</v>
      </c>
      <c r="S13" s="33">
        <f t="shared" si="3"/>
        <v>12342472.773692135</v>
      </c>
      <c r="T13" s="33">
        <f t="shared" si="3"/>
        <v>12810670.09954834</v>
      </c>
      <c r="U13" s="33">
        <f t="shared" si="3"/>
        <v>13423726.569671543</v>
      </c>
      <c r="V13" s="33">
        <f t="shared" si="3"/>
        <v>13787245.42067891</v>
      </c>
      <c r="W13" s="33">
        <f t="shared" si="3"/>
        <v>14293513.726017771</v>
      </c>
      <c r="X13" s="33">
        <f t="shared" si="3"/>
        <v>14813052.625583977</v>
      </c>
      <c r="Y13" s="33">
        <f t="shared" si="3"/>
        <v>15440473.820899988</v>
      </c>
      <c r="Z13" s="33">
        <f t="shared" si="3"/>
        <v>15895150.417102028</v>
      </c>
      <c r="AA13" s="33">
        <f t="shared" si="3"/>
        <v>16456430.773184296</v>
      </c>
      <c r="AB13" s="33">
        <f t="shared" si="3"/>
        <v>17032265.272787541</v>
      </c>
      <c r="AC13" s="33">
        <f t="shared" si="3"/>
        <v>17673348.13108664</v>
      </c>
      <c r="AD13" s="33">
        <f t="shared" si="3"/>
        <v>18230005.636555005</v>
      </c>
      <c r="AE13" s="33">
        <f t="shared" si="3"/>
        <v>18851586.308925029</v>
      </c>
      <c r="AF13" s="33">
        <f t="shared" si="3"/>
        <v>19489121.740919668</v>
      </c>
    </row>
    <row r="14" spans="1:74" x14ac:dyDescent="0.2">
      <c r="A14" t="s">
        <v>49</v>
      </c>
      <c r="E14" s="5">
        <f>+E12+E13</f>
        <v>14225862.060419861</v>
      </c>
      <c r="F14" s="5">
        <f>+F12+F13</f>
        <v>14403685.336175108</v>
      </c>
      <c r="G14" s="5">
        <f t="shared" ref="G14:AF14" si="4">+G12+G13</f>
        <v>14583731.402877297</v>
      </c>
      <c r="H14" s="5">
        <f t="shared" si="4"/>
        <v>14766028.045413263</v>
      </c>
      <c r="I14" s="5">
        <f t="shared" si="4"/>
        <v>14950603.395980928</v>
      </c>
      <c r="J14" s="5">
        <f t="shared" si="4"/>
        <v>15137485.938430689</v>
      </c>
      <c r="K14" s="5">
        <f t="shared" si="4"/>
        <v>15326704.512661071</v>
      </c>
      <c r="L14" s="5">
        <f t="shared" si="4"/>
        <v>15518288.319069333</v>
      </c>
      <c r="M14" s="5">
        <f t="shared" si="4"/>
        <v>15712266.9230577</v>
      </c>
      <c r="N14" s="5">
        <f t="shared" si="4"/>
        <v>15908670.259595919</v>
      </c>
      <c r="O14" s="5">
        <f t="shared" si="4"/>
        <v>16107528.637840867</v>
      </c>
      <c r="P14" s="5">
        <f t="shared" si="4"/>
        <v>16308872.745813876</v>
      </c>
      <c r="Q14" s="5">
        <f t="shared" si="4"/>
        <v>16512733.655136552</v>
      </c>
      <c r="R14" s="5">
        <f t="shared" si="4"/>
        <v>16719142.825825755</v>
      </c>
      <c r="S14" s="5">
        <f t="shared" si="4"/>
        <v>16928132.061148576</v>
      </c>
      <c r="T14" s="5">
        <f t="shared" si="4"/>
        <v>17139733.711912934</v>
      </c>
      <c r="U14" s="5">
        <f t="shared" si="4"/>
        <v>17353980.383311845</v>
      </c>
      <c r="V14" s="5">
        <f t="shared" si="4"/>
        <v>17570905.138103243</v>
      </c>
      <c r="W14" s="5">
        <f t="shared" si="4"/>
        <v>17790541.452329531</v>
      </c>
      <c r="X14" s="5">
        <f t="shared" si="4"/>
        <v>18012923.22048365</v>
      </c>
      <c r="Y14" s="5">
        <f t="shared" si="4"/>
        <v>18238084.760739695</v>
      </c>
      <c r="Z14" s="5">
        <f t="shared" si="4"/>
        <v>18466060.820248939</v>
      </c>
      <c r="AA14" s="5">
        <f t="shared" si="4"/>
        <v>18696886.580502052</v>
      </c>
      <c r="AB14" s="5">
        <f t="shared" si="4"/>
        <v>18930597.662758328</v>
      </c>
      <c r="AC14" s="5">
        <f t="shared" si="4"/>
        <v>19167230.133542806</v>
      </c>
      <c r="AD14" s="5">
        <f t="shared" si="4"/>
        <v>19406820.51021209</v>
      </c>
      <c r="AE14" s="5">
        <f t="shared" si="4"/>
        <v>19649405.766589738</v>
      </c>
      <c r="AF14" s="5">
        <f t="shared" si="4"/>
        <v>19895023.338672109</v>
      </c>
    </row>
    <row r="16" spans="1:74" x14ac:dyDescent="0.2">
      <c r="A16" t="s">
        <v>77</v>
      </c>
      <c r="E16" s="5">
        <f>+E11-E13</f>
        <v>344012614.52560687</v>
      </c>
      <c r="F16" s="5">
        <f>+F11-F13</f>
        <v>336760830.65057665</v>
      </c>
      <c r="G16" s="5">
        <f t="shared" ref="G16:AE16" si="5">+G11-G13</f>
        <v>329178238.66843694</v>
      </c>
      <c r="H16" s="5">
        <f t="shared" si="5"/>
        <v>321255710.61896545</v>
      </c>
      <c r="I16" s="5">
        <f t="shared" si="5"/>
        <v>312766113.90070826</v>
      </c>
      <c r="J16" s="5">
        <f t="shared" si="5"/>
        <v>304130925.6471684</v>
      </c>
      <c r="K16" s="5">
        <f t="shared" si="5"/>
        <v>295126996.28772318</v>
      </c>
      <c r="L16" s="5">
        <f t="shared" si="5"/>
        <v>285744294.59208089</v>
      </c>
      <c r="M16" s="5">
        <f t="shared" si="5"/>
        <v>275778838.49434304</v>
      </c>
      <c r="N16" s="5">
        <f t="shared" si="5"/>
        <v>265603513.45146367</v>
      </c>
      <c r="O16" s="5">
        <f t="shared" si="5"/>
        <v>255017788.59560984</v>
      </c>
      <c r="P16" s="5">
        <f t="shared" si="5"/>
        <v>244010646.12904745</v>
      </c>
      <c r="Q16" s="5">
        <f t="shared" si="5"/>
        <v>232460527.78600591</v>
      </c>
      <c r="R16" s="5">
        <f t="shared" si="5"/>
        <v>220574157.70784199</v>
      </c>
      <c r="S16" s="5">
        <f t="shared" si="5"/>
        <v>208231684.93414986</v>
      </c>
      <c r="T16" s="5">
        <f t="shared" si="5"/>
        <v>195421014.83460152</v>
      </c>
      <c r="U16" s="5">
        <f t="shared" si="5"/>
        <v>181997288.26492998</v>
      </c>
      <c r="V16" s="5">
        <f t="shared" si="5"/>
        <v>168210042.84425107</v>
      </c>
      <c r="W16" s="5">
        <f t="shared" si="5"/>
        <v>153916529.11823329</v>
      </c>
      <c r="X16" s="5">
        <f t="shared" si="5"/>
        <v>139103476.49264932</v>
      </c>
      <c r="Y16" s="5">
        <f t="shared" si="5"/>
        <v>123663002.67174932</v>
      </c>
      <c r="Z16" s="5">
        <f t="shared" si="5"/>
        <v>107767852.2546473</v>
      </c>
      <c r="AA16" s="5">
        <f t="shared" si="5"/>
        <v>91311421.481463</v>
      </c>
      <c r="AB16" s="5">
        <f t="shared" si="5"/>
        <v>74279156.208675459</v>
      </c>
      <c r="AC16" s="5">
        <f t="shared" si="5"/>
        <v>56605808.077588819</v>
      </c>
      <c r="AD16" s="5">
        <f t="shared" si="5"/>
        <v>38375802.44103381</v>
      </c>
      <c r="AE16" s="5">
        <f t="shared" si="5"/>
        <v>19524216.132108781</v>
      </c>
      <c r="AF16" s="5">
        <f>+AF11-AF13</f>
        <v>35094.391189113259</v>
      </c>
    </row>
    <row r="17" spans="1:32" x14ac:dyDescent="0.2">
      <c r="E17" s="1"/>
    </row>
    <row r="18" spans="1:32" x14ac:dyDescent="0.2">
      <c r="D18" s="40"/>
      <c r="E18" s="1"/>
    </row>
    <row r="19" spans="1:32" x14ac:dyDescent="0.2">
      <c r="A19" t="s">
        <v>83</v>
      </c>
      <c r="C19" s="40">
        <f>XIRR(D19:AF19,D4:AF4)</f>
        <v>8.499999940395353E-2</v>
      </c>
      <c r="D19" s="86">
        <f>-E8</f>
        <v>-347328725.79520923</v>
      </c>
      <c r="E19" s="1">
        <f t="shared" ref="E19:AE19" si="6">+E6</f>
        <v>14225862.060419861</v>
      </c>
      <c r="F19" s="1">
        <f t="shared" si="6"/>
        <v>14403685.336175108</v>
      </c>
      <c r="G19" s="1">
        <f t="shared" si="6"/>
        <v>14583731.402877297</v>
      </c>
      <c r="H19" s="1">
        <f t="shared" si="6"/>
        <v>14766028.045413263</v>
      </c>
      <c r="I19" s="1">
        <f t="shared" si="6"/>
        <v>14950603.395980928</v>
      </c>
      <c r="J19" s="1">
        <f t="shared" si="6"/>
        <v>15137485.938430689</v>
      </c>
      <c r="K19" s="1">
        <f t="shared" si="6"/>
        <v>15326704.512661071</v>
      </c>
      <c r="L19" s="1">
        <f t="shared" si="6"/>
        <v>15518288.319069333</v>
      </c>
      <c r="M19" s="1">
        <f t="shared" si="6"/>
        <v>15712266.9230577</v>
      </c>
      <c r="N19" s="1">
        <f t="shared" si="6"/>
        <v>15908670.259595919</v>
      </c>
      <c r="O19" s="1">
        <f t="shared" si="6"/>
        <v>16107528.637840867</v>
      </c>
      <c r="P19" s="1">
        <f t="shared" si="6"/>
        <v>16308872.745813876</v>
      </c>
      <c r="Q19" s="1">
        <f t="shared" si="6"/>
        <v>16512733.65513655</v>
      </c>
      <c r="R19" s="1">
        <f t="shared" si="6"/>
        <v>16719142.825825756</v>
      </c>
      <c r="S19" s="1">
        <f t="shared" si="6"/>
        <v>16928132.061148576</v>
      </c>
      <c r="T19" s="1">
        <f t="shared" si="6"/>
        <v>17139733.711912934</v>
      </c>
      <c r="U19" s="1">
        <f t="shared" si="6"/>
        <v>17353980.383311845</v>
      </c>
      <c r="V19" s="1">
        <f t="shared" si="6"/>
        <v>17570905.138103243</v>
      </c>
      <c r="W19" s="1">
        <f t="shared" si="6"/>
        <v>17790541.452329531</v>
      </c>
      <c r="X19" s="1">
        <f t="shared" si="6"/>
        <v>18012923.22048365</v>
      </c>
      <c r="Y19" s="1">
        <f t="shared" si="6"/>
        <v>18238084.760739695</v>
      </c>
      <c r="Z19" s="1">
        <f t="shared" si="6"/>
        <v>18466060.820248939</v>
      </c>
      <c r="AA19" s="1">
        <f t="shared" si="6"/>
        <v>18696886.580502052</v>
      </c>
      <c r="AB19" s="1">
        <f t="shared" si="6"/>
        <v>18930597.662758328</v>
      </c>
      <c r="AC19" s="1">
        <f t="shared" si="6"/>
        <v>19167230.133542806</v>
      </c>
      <c r="AD19" s="1">
        <f t="shared" si="6"/>
        <v>19406820.51021209</v>
      </c>
      <c r="AE19" s="1">
        <f t="shared" si="6"/>
        <v>19649405.766589738</v>
      </c>
      <c r="AF19" s="5">
        <f>+AF6</f>
        <v>19895023.338672109</v>
      </c>
    </row>
    <row r="20" spans="1:32" x14ac:dyDescent="0.2">
      <c r="D20" s="40"/>
    </row>
    <row r="21" spans="1:32" x14ac:dyDescent="0.2">
      <c r="E21" s="89"/>
    </row>
    <row r="22" spans="1:32" x14ac:dyDescent="0.2">
      <c r="D22" s="87">
        <v>0.08</v>
      </c>
      <c r="E22" s="87">
        <v>7.7762029693947285E-2</v>
      </c>
      <c r="F22" s="1">
        <v>353546615.82369703</v>
      </c>
    </row>
    <row r="23" spans="1:32" x14ac:dyDescent="0.2">
      <c r="D23" s="87">
        <v>8.2500000000000004E-2</v>
      </c>
      <c r="E23" s="87">
        <v>8.0123334998153814E-2</v>
      </c>
      <c r="F23" s="1">
        <v>350553455.64138472</v>
      </c>
    </row>
    <row r="24" spans="1:32" x14ac:dyDescent="0.2">
      <c r="D24" s="87">
        <v>8.5000000000000006E-2</v>
      </c>
      <c r="E24" s="87">
        <v>8.2480672127756366E-2</v>
      </c>
      <c r="F24" s="1">
        <v>347599999.99999875</v>
      </c>
    </row>
    <row r="25" spans="1:32" x14ac:dyDescent="0.2">
      <c r="D25" s="87">
        <v>8.7499999999999994E-2</v>
      </c>
      <c r="E25" s="87">
        <v>8.4834057693107451E-2</v>
      </c>
      <c r="F25" s="1">
        <v>344685585.95297295</v>
      </c>
    </row>
    <row r="26" spans="1:32" x14ac:dyDescent="0.2">
      <c r="D26" s="87">
        <v>0.09</v>
      </c>
      <c r="E26" s="87">
        <v>8.7183508202736418E-2</v>
      </c>
      <c r="F26" s="1">
        <v>341809563.57647723</v>
      </c>
    </row>
    <row r="27" spans="1:32" x14ac:dyDescent="0.2">
      <c r="D27" s="87">
        <v>9.2499999999999999E-2</v>
      </c>
      <c r="E27" s="87">
        <v>8.9529040064172588E-2</v>
      </c>
      <c r="F27" s="1">
        <v>338971295.67841631</v>
      </c>
    </row>
    <row r="28" spans="1:32" x14ac:dyDescent="0.2">
      <c r="D28" s="87">
        <v>9.5000000000000001E-2</v>
      </c>
      <c r="E28" s="87">
        <v>9.1870669584912926E-2</v>
      </c>
      <c r="F28" s="1">
        <v>336170157.51467508</v>
      </c>
    </row>
  </sheetData>
  <pageMargins left="0.75" right="0.75" top="1" bottom="1" header="0.5" footer="0.5"/>
  <pageSetup scale="6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3"/>
  <sheetViews>
    <sheetView workbookViewId="0"/>
  </sheetViews>
  <sheetFormatPr defaultRowHeight="12.75" x14ac:dyDescent="0.2"/>
  <cols>
    <col min="1" max="3" width="3.7109375" customWidth="1"/>
    <col min="5" max="7" width="11.28515625" customWidth="1"/>
  </cols>
  <sheetData>
    <row r="5" spans="1:7" x14ac:dyDescent="0.2">
      <c r="E5" s="101" t="s">
        <v>98</v>
      </c>
      <c r="F5" s="101" t="s">
        <v>102</v>
      </c>
      <c r="G5" s="101" t="s">
        <v>100</v>
      </c>
    </row>
    <row r="7" spans="1:7" x14ac:dyDescent="0.2">
      <c r="A7" t="s">
        <v>101</v>
      </c>
      <c r="E7" s="1">
        <f>-Summary!I31</f>
        <v>2083.9723547712556</v>
      </c>
      <c r="F7" s="1">
        <v>2454.4015795252099</v>
      </c>
      <c r="G7" s="1">
        <f>+F7-E7</f>
        <v>370.42922475395426</v>
      </c>
    </row>
    <row r="8" spans="1:7" ht="15" x14ac:dyDescent="0.35">
      <c r="A8" t="s">
        <v>99</v>
      </c>
      <c r="E8" s="102">
        <f>-Summary!I34</f>
        <v>651.24136086601732</v>
      </c>
      <c r="F8" s="102">
        <v>708.00045563227297</v>
      </c>
      <c r="G8" s="102">
        <f>+F8-E8</f>
        <v>56.759094766255657</v>
      </c>
    </row>
    <row r="9" spans="1:7" x14ac:dyDescent="0.2">
      <c r="E9" s="1"/>
      <c r="F9" s="1"/>
      <c r="G9" s="1"/>
    </row>
    <row r="10" spans="1:7" x14ac:dyDescent="0.2">
      <c r="A10" t="s">
        <v>18</v>
      </c>
      <c r="E10" s="1">
        <f>+E7+E8</f>
        <v>2735.2137156372728</v>
      </c>
      <c r="F10" s="1">
        <f>+F7+F8</f>
        <v>3162.4020351574827</v>
      </c>
      <c r="G10" s="1">
        <f>+G7+G8</f>
        <v>427.18831952020992</v>
      </c>
    </row>
    <row r="11" spans="1:7" x14ac:dyDescent="0.2">
      <c r="E11" s="1"/>
      <c r="F11" s="1"/>
      <c r="G11" s="1"/>
    </row>
    <row r="12" spans="1:7" x14ac:dyDescent="0.2">
      <c r="A12" s="66" t="s">
        <v>103</v>
      </c>
      <c r="E12" s="1"/>
      <c r="F12" s="1"/>
      <c r="G12" s="1"/>
    </row>
    <row r="13" spans="1:7" x14ac:dyDescent="0.2">
      <c r="E13" s="1"/>
      <c r="F13" s="1"/>
      <c r="G13" s="1"/>
    </row>
  </sheetData>
  <printOptions horizontalCentered="1"/>
  <pageMargins left="0.75" right="0.75" top="1" bottom="1" header="0.5" footer="0.5"/>
  <pageSetup orientation="landscape" r:id="rId1"/>
  <headerFooter alignWithMargins="0">
    <oddHeader>&amp;C&amp;A&amp;R&amp;D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Summary</vt:lpstr>
      <vt:lpstr>Annex 1.02</vt:lpstr>
      <vt:lpstr>Contingent</vt:lpstr>
      <vt:lpstr>Quarterly</vt:lpstr>
      <vt:lpstr>Expenses</vt:lpstr>
      <vt:lpstr>'Annex 1.02'!Print_Area</vt:lpstr>
      <vt:lpstr>Contingent!Print_Area</vt:lpstr>
      <vt:lpstr>Quarterly!Print_Area</vt:lpstr>
      <vt:lpstr>Summary!Print_Area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alford</dc:creator>
  <cp:lastModifiedBy>Jan Havlíček</cp:lastModifiedBy>
  <cp:lastPrinted>2000-12-07T00:20:02Z</cp:lastPrinted>
  <dcterms:created xsi:type="dcterms:W3CDTF">2000-09-07T14:38:09Z</dcterms:created>
  <dcterms:modified xsi:type="dcterms:W3CDTF">2023-09-11T02:11:55Z</dcterms:modified>
</cp:coreProperties>
</file>