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8B8198-8661-435A-ABB5-8E6B26B435D7}" xr6:coauthVersionLast="47" xr6:coauthVersionMax="47" xr10:uidLastSave="{00000000-0000-0000-0000-000000000000}"/>
  <bookViews>
    <workbookView xWindow="-120" yWindow="-120" windowWidth="23280" windowHeight="12480" firstSheet="1" activeTab="2"/>
  </bookViews>
  <sheets>
    <sheet name="XXXXXX" sheetId="6" state="veryHidden" r:id="rId1"/>
    <sheet name="Quote" sheetId="51" r:id="rId2"/>
    <sheet name="Inputs" sheetId="48" r:id="rId3"/>
    <sheet name="Spread Option" sheetId="50" r:id="rId4"/>
  </sheets>
  <externalReferences>
    <externalReference r:id="rId5"/>
  </externalReferences>
  <definedNames>
    <definedName name="Curves">#REF!</definedName>
    <definedName name="DemandCharge">Inputs!#REF!</definedName>
    <definedName name="Months">Inputs!#REF!</definedName>
    <definedName name="mthbeg" localSheetId="3">'Spread Option'!$A$3</definedName>
    <definedName name="mthbeg">#REF!</definedName>
    <definedName name="mthend" localSheetId="3">'Spread Option'!$B$3</definedName>
    <definedName name="mthend">#REF!</definedName>
    <definedName name="_xlnm.Print_Area" localSheetId="3">'Spread Option'!$B$10:$AT$129</definedName>
    <definedName name="_xlnm.Print_Titles" localSheetId="3">'Spread Option'!$A:$A,'Spread Option'!$1:$6</definedName>
    <definedName name="Rates">Inputs!#REF!</definedName>
    <definedName name="sencount" hidden="1">1</definedName>
    <definedName name="Table">#REF!</definedName>
    <definedName name="TPortCharges">Inputs!#REF!</definedName>
    <definedName name="Volumes">Inputs!#REF!</definedName>
    <definedName name="Years">Inputs!#REF!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8" l="1"/>
  <c r="B6" i="48"/>
  <c r="A30" i="48"/>
  <c r="B30" i="48"/>
  <c r="C30" i="48"/>
  <c r="A32" i="48"/>
  <c r="B32" i="48"/>
  <c r="C32" i="48"/>
  <c r="A3" i="50"/>
  <c r="B3" i="50"/>
  <c r="C3" i="50"/>
  <c r="D3" i="50"/>
  <c r="E3" i="50"/>
  <c r="F3" i="50"/>
  <c r="G3" i="50"/>
  <c r="H3" i="50"/>
  <c r="H4" i="50"/>
  <c r="I4" i="50"/>
  <c r="J4" i="50"/>
  <c r="K4" i="50"/>
  <c r="L4" i="50"/>
  <c r="M4" i="50"/>
  <c r="N4" i="50"/>
  <c r="O4" i="50"/>
  <c r="P4" i="50"/>
  <c r="Q4" i="50"/>
  <c r="R4" i="50"/>
  <c r="S4" i="50"/>
  <c r="U4" i="50"/>
  <c r="W4" i="50"/>
  <c r="X4" i="50"/>
  <c r="Y4" i="50"/>
  <c r="AA4" i="50"/>
  <c r="AD4" i="50"/>
  <c r="AE4" i="50"/>
  <c r="AG4" i="50"/>
  <c r="BC4" i="50"/>
  <c r="BF4" i="50"/>
  <c r="BG4" i="50"/>
  <c r="BH4" i="50"/>
  <c r="BI4" i="50"/>
  <c r="BJ4" i="50"/>
  <c r="BK4" i="50"/>
  <c r="BL4" i="50"/>
  <c r="BM4" i="50"/>
  <c r="BN4" i="50"/>
  <c r="BO4" i="50"/>
  <c r="BP4" i="50"/>
  <c r="BQ4" i="50"/>
  <c r="BR4" i="50"/>
  <c r="BS4" i="50"/>
  <c r="BT4" i="50"/>
  <c r="BU4" i="50"/>
  <c r="AG5" i="50"/>
  <c r="BC5" i="50"/>
  <c r="BD5" i="50"/>
  <c r="BE5" i="50"/>
  <c r="BF5" i="50"/>
  <c r="BG5" i="50"/>
  <c r="BH5" i="50"/>
  <c r="BI5" i="50"/>
  <c r="BJ5" i="50"/>
  <c r="BK5" i="50"/>
  <c r="BL5" i="50"/>
  <c r="BM5" i="50"/>
  <c r="BN5" i="50"/>
  <c r="BO5" i="50"/>
  <c r="BP5" i="50"/>
  <c r="BQ5" i="50"/>
  <c r="BR5" i="50"/>
  <c r="BS5" i="50"/>
  <c r="BT5" i="50"/>
  <c r="BU5" i="50"/>
  <c r="R6" i="50"/>
  <c r="BC6" i="50"/>
  <c r="BD6" i="50"/>
  <c r="BE6" i="50"/>
  <c r="BF6" i="50"/>
  <c r="BG6" i="50"/>
  <c r="BH6" i="50"/>
  <c r="BI6" i="50"/>
  <c r="BJ6" i="50"/>
  <c r="BK6" i="50"/>
  <c r="BL6" i="50"/>
  <c r="BM6" i="50"/>
  <c r="BN6" i="50"/>
  <c r="BO6" i="50"/>
  <c r="BP6" i="50"/>
  <c r="BQ6" i="50"/>
  <c r="BR6" i="50"/>
  <c r="BS6" i="50"/>
  <c r="BT6" i="50"/>
  <c r="BU6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U8" i="50"/>
  <c r="AA8" i="50"/>
  <c r="AI8" i="50"/>
  <c r="AK8" i="50"/>
  <c r="AQ8" i="50"/>
  <c r="AR8" i="50"/>
  <c r="AS8" i="50"/>
  <c r="AZ8" i="50"/>
  <c r="BA8" i="50"/>
  <c r="BC8" i="50"/>
  <c r="BD8" i="50"/>
  <c r="BE8" i="50"/>
  <c r="BF8" i="50"/>
  <c r="BG8" i="50"/>
  <c r="BH8" i="50"/>
  <c r="BI8" i="50"/>
  <c r="BJ8" i="50"/>
  <c r="BK8" i="50"/>
  <c r="BL8" i="50"/>
  <c r="BM8" i="50"/>
  <c r="BN8" i="50"/>
  <c r="BO8" i="50"/>
  <c r="BP8" i="50"/>
  <c r="BQ8" i="50"/>
  <c r="BR8" i="50"/>
  <c r="BS8" i="50"/>
  <c r="BT8" i="50"/>
  <c r="BU8" i="50"/>
  <c r="A10" i="50"/>
  <c r="B10" i="50"/>
  <c r="C10" i="50"/>
  <c r="D10" i="50"/>
  <c r="E10" i="50"/>
  <c r="F10" i="50"/>
  <c r="G10" i="50"/>
  <c r="H10" i="50"/>
  <c r="I10" i="50"/>
  <c r="J10" i="50"/>
  <c r="K10" i="50"/>
  <c r="M10" i="50"/>
  <c r="N10" i="50"/>
  <c r="O10" i="50"/>
  <c r="P10" i="50"/>
  <c r="Q10" i="50"/>
  <c r="S10" i="50"/>
  <c r="U10" i="50"/>
  <c r="W10" i="50"/>
  <c r="X10" i="50"/>
  <c r="Y10" i="50"/>
  <c r="AA10" i="50"/>
  <c r="AC10" i="50"/>
  <c r="AD10" i="50"/>
  <c r="AE10" i="50"/>
  <c r="AG10" i="50"/>
  <c r="AI10" i="50"/>
  <c r="AK10" i="50"/>
  <c r="AM10" i="50"/>
  <c r="AN10" i="50"/>
  <c r="AQ10" i="50"/>
  <c r="AR10" i="50"/>
  <c r="AS10" i="50"/>
  <c r="AU10" i="50"/>
  <c r="AV10" i="50"/>
  <c r="AW10" i="50"/>
  <c r="AX10" i="50"/>
  <c r="AY10" i="50"/>
  <c r="AZ10" i="50"/>
  <c r="BA10" i="50"/>
  <c r="BC10" i="50"/>
  <c r="BD10" i="50"/>
  <c r="BE10" i="50"/>
  <c r="BF10" i="50"/>
  <c r="BG10" i="50"/>
  <c r="BH10" i="50"/>
  <c r="BI10" i="50"/>
  <c r="BJ10" i="50"/>
  <c r="BK10" i="50"/>
  <c r="BL10" i="50"/>
  <c r="BM10" i="50"/>
  <c r="BN10" i="50"/>
  <c r="BO10" i="50"/>
  <c r="BP10" i="50"/>
  <c r="BQ10" i="50"/>
  <c r="BR10" i="50"/>
  <c r="BS10" i="50"/>
  <c r="BT10" i="50"/>
  <c r="BU10" i="50"/>
  <c r="A11" i="50"/>
  <c r="B11" i="50"/>
  <c r="C11" i="50"/>
  <c r="D11" i="50"/>
  <c r="E11" i="50"/>
  <c r="F11" i="50"/>
  <c r="G11" i="50"/>
  <c r="H11" i="50"/>
  <c r="I11" i="50"/>
  <c r="J11" i="50"/>
  <c r="K11" i="50"/>
  <c r="M11" i="50"/>
  <c r="N11" i="50"/>
  <c r="O11" i="50"/>
  <c r="P11" i="50"/>
  <c r="Q11" i="50"/>
  <c r="S11" i="50"/>
  <c r="U11" i="50"/>
  <c r="W11" i="50"/>
  <c r="X11" i="50"/>
  <c r="Y11" i="50"/>
  <c r="AA11" i="50"/>
  <c r="AC11" i="50"/>
  <c r="AD11" i="50"/>
  <c r="AE11" i="50"/>
  <c r="AG11" i="50"/>
  <c r="AI11" i="50"/>
  <c r="AK11" i="50"/>
  <c r="AM11" i="50"/>
  <c r="AN11" i="50"/>
  <c r="AO11" i="50"/>
  <c r="AQ11" i="50"/>
  <c r="AR11" i="50"/>
  <c r="AS11" i="50"/>
  <c r="AU11" i="50"/>
  <c r="AV11" i="50"/>
  <c r="AW11" i="50"/>
  <c r="AX11" i="50"/>
  <c r="AY11" i="50"/>
  <c r="AZ11" i="50"/>
  <c r="BA11" i="50"/>
  <c r="BC11" i="50"/>
  <c r="BD11" i="50"/>
  <c r="BE11" i="50"/>
  <c r="BF11" i="50"/>
  <c r="BG11" i="50"/>
  <c r="BH11" i="50"/>
  <c r="BI11" i="50"/>
  <c r="BJ11" i="50"/>
  <c r="BK11" i="50"/>
  <c r="BL11" i="50"/>
  <c r="BM11" i="50"/>
  <c r="BN11" i="50"/>
  <c r="BO11" i="50"/>
  <c r="BP11" i="50"/>
  <c r="BQ11" i="50"/>
  <c r="BR11" i="50"/>
  <c r="BS11" i="50"/>
  <c r="BT11" i="50"/>
  <c r="BU11" i="50"/>
  <c r="A12" i="50"/>
  <c r="B12" i="50"/>
  <c r="C12" i="50"/>
  <c r="D12" i="50"/>
  <c r="E12" i="50"/>
  <c r="F12" i="50"/>
  <c r="G12" i="50"/>
  <c r="H12" i="50"/>
  <c r="I12" i="50"/>
  <c r="J12" i="50"/>
  <c r="K12" i="50"/>
  <c r="M12" i="50"/>
  <c r="N12" i="50"/>
  <c r="O12" i="50"/>
  <c r="P12" i="50"/>
  <c r="Q12" i="50"/>
  <c r="S12" i="50"/>
  <c r="U12" i="50"/>
  <c r="W12" i="50"/>
  <c r="X12" i="50"/>
  <c r="Y12" i="50"/>
  <c r="AA12" i="50"/>
  <c r="AC12" i="50"/>
  <c r="AD12" i="50"/>
  <c r="AE12" i="50"/>
  <c r="AG12" i="50"/>
  <c r="AI12" i="50"/>
  <c r="AK12" i="50"/>
  <c r="AM12" i="50"/>
  <c r="AN12" i="50"/>
  <c r="AO12" i="50"/>
  <c r="AQ12" i="50"/>
  <c r="AR12" i="50"/>
  <c r="AS12" i="50"/>
  <c r="AU12" i="50"/>
  <c r="AV12" i="50"/>
  <c r="AW12" i="50"/>
  <c r="AX12" i="50"/>
  <c r="AY12" i="50"/>
  <c r="AZ12" i="50"/>
  <c r="BA12" i="50"/>
  <c r="BC12" i="50"/>
  <c r="BD12" i="50"/>
  <c r="BE12" i="50"/>
  <c r="BF12" i="50"/>
  <c r="BG12" i="50"/>
  <c r="BH12" i="50"/>
  <c r="BI12" i="50"/>
  <c r="BJ12" i="50"/>
  <c r="BK12" i="50"/>
  <c r="BL12" i="50"/>
  <c r="BM12" i="50"/>
  <c r="BN12" i="50"/>
  <c r="BO12" i="50"/>
  <c r="BP12" i="50"/>
  <c r="BQ12" i="50"/>
  <c r="BR12" i="50"/>
  <c r="BS12" i="50"/>
  <c r="BT12" i="50"/>
  <c r="BU12" i="50"/>
  <c r="A13" i="50"/>
  <c r="B13" i="50"/>
  <c r="C13" i="50"/>
  <c r="D13" i="50"/>
  <c r="E13" i="50"/>
  <c r="F13" i="50"/>
  <c r="G13" i="50"/>
  <c r="H13" i="50"/>
  <c r="I13" i="50"/>
  <c r="J13" i="50"/>
  <c r="K13" i="50"/>
  <c r="M13" i="50"/>
  <c r="N13" i="50"/>
  <c r="O13" i="50"/>
  <c r="P13" i="50"/>
  <c r="Q13" i="50"/>
  <c r="S13" i="50"/>
  <c r="U13" i="50"/>
  <c r="W13" i="50"/>
  <c r="X13" i="50"/>
  <c r="Y13" i="50"/>
  <c r="AA13" i="50"/>
  <c r="AC13" i="50"/>
  <c r="AD13" i="50"/>
  <c r="AE13" i="50"/>
  <c r="AG13" i="50"/>
  <c r="AI13" i="50"/>
  <c r="AK13" i="50"/>
  <c r="AM13" i="50"/>
  <c r="AN13" i="50"/>
  <c r="AO13" i="50"/>
  <c r="AQ13" i="50"/>
  <c r="AR13" i="50"/>
  <c r="AS13" i="50"/>
  <c r="AU13" i="50"/>
  <c r="AV13" i="50"/>
  <c r="AW13" i="50"/>
  <c r="AX13" i="50"/>
  <c r="AY13" i="50"/>
  <c r="AZ13" i="50"/>
  <c r="BA13" i="50"/>
  <c r="BC13" i="50"/>
  <c r="BD13" i="50"/>
  <c r="BE13" i="50"/>
  <c r="BF13" i="50"/>
  <c r="BG13" i="50"/>
  <c r="BH13" i="50"/>
  <c r="BI13" i="50"/>
  <c r="BJ13" i="50"/>
  <c r="BK13" i="50"/>
  <c r="BL13" i="50"/>
  <c r="BM13" i="50"/>
  <c r="BN13" i="50"/>
  <c r="BO13" i="50"/>
  <c r="BP13" i="50"/>
  <c r="BQ13" i="50"/>
  <c r="BR13" i="50"/>
  <c r="BS13" i="50"/>
  <c r="BT13" i="50"/>
  <c r="BU13" i="50"/>
  <c r="A14" i="50"/>
  <c r="B14" i="50"/>
  <c r="C14" i="50"/>
  <c r="D14" i="50"/>
  <c r="E14" i="50"/>
  <c r="F14" i="50"/>
  <c r="G14" i="50"/>
  <c r="H14" i="50"/>
  <c r="I14" i="50"/>
  <c r="J14" i="50"/>
  <c r="K14" i="50"/>
  <c r="M14" i="50"/>
  <c r="N14" i="50"/>
  <c r="O14" i="50"/>
  <c r="P14" i="50"/>
  <c r="Q14" i="50"/>
  <c r="S14" i="50"/>
  <c r="U14" i="50"/>
  <c r="W14" i="50"/>
  <c r="X14" i="50"/>
  <c r="Y14" i="50"/>
  <c r="AA14" i="50"/>
  <c r="AC14" i="50"/>
  <c r="AD14" i="50"/>
  <c r="AE14" i="50"/>
  <c r="AG14" i="50"/>
  <c r="AI14" i="50"/>
  <c r="AK14" i="50"/>
  <c r="AM14" i="50"/>
  <c r="AN14" i="50"/>
  <c r="AO14" i="50"/>
  <c r="AQ14" i="50"/>
  <c r="AR14" i="50"/>
  <c r="AS14" i="50"/>
  <c r="AU14" i="50"/>
  <c r="AV14" i="50"/>
  <c r="AW14" i="50"/>
  <c r="AX14" i="50"/>
  <c r="AY14" i="50"/>
  <c r="AZ14" i="50"/>
  <c r="BA14" i="50"/>
  <c r="BC14" i="50"/>
  <c r="BD14" i="50"/>
  <c r="BE14" i="50"/>
  <c r="BF14" i="50"/>
  <c r="BG14" i="50"/>
  <c r="BH14" i="50"/>
  <c r="BI14" i="50"/>
  <c r="BJ14" i="50"/>
  <c r="BK14" i="50"/>
  <c r="BL14" i="50"/>
  <c r="BM14" i="50"/>
  <c r="BN14" i="50"/>
  <c r="BO14" i="50"/>
  <c r="BP14" i="50"/>
  <c r="BQ14" i="50"/>
  <c r="BR14" i="50"/>
  <c r="BS14" i="50"/>
  <c r="BT14" i="50"/>
  <c r="BU14" i="50"/>
  <c r="A15" i="50"/>
  <c r="B15" i="50"/>
  <c r="C15" i="50"/>
  <c r="D15" i="50"/>
  <c r="E15" i="50"/>
  <c r="F15" i="50"/>
  <c r="G15" i="50"/>
  <c r="H15" i="50"/>
  <c r="I15" i="50"/>
  <c r="J15" i="50"/>
  <c r="K15" i="50"/>
  <c r="M15" i="50"/>
  <c r="N15" i="50"/>
  <c r="O15" i="50"/>
  <c r="P15" i="50"/>
  <c r="Q15" i="50"/>
  <c r="S15" i="50"/>
  <c r="U15" i="50"/>
  <c r="W15" i="50"/>
  <c r="X15" i="50"/>
  <c r="Y15" i="50"/>
  <c r="AA15" i="50"/>
  <c r="AC15" i="50"/>
  <c r="AD15" i="50"/>
  <c r="AE15" i="50"/>
  <c r="AG15" i="50"/>
  <c r="AI15" i="50"/>
  <c r="AK15" i="50"/>
  <c r="AM15" i="50"/>
  <c r="AN15" i="50"/>
  <c r="AO15" i="50"/>
  <c r="AQ15" i="50"/>
  <c r="AR15" i="50"/>
  <c r="AS15" i="50"/>
  <c r="AU15" i="50"/>
  <c r="AV15" i="50"/>
  <c r="AW15" i="50"/>
  <c r="AX15" i="50"/>
  <c r="AY15" i="50"/>
  <c r="AZ15" i="50"/>
  <c r="BA15" i="50"/>
  <c r="BC15" i="50"/>
  <c r="BD15" i="50"/>
  <c r="BE15" i="50"/>
  <c r="BF15" i="50"/>
  <c r="BG15" i="50"/>
  <c r="BH15" i="50"/>
  <c r="BI15" i="50"/>
  <c r="BJ15" i="50"/>
  <c r="BK15" i="50"/>
  <c r="BL15" i="50"/>
  <c r="BM15" i="50"/>
  <c r="BN15" i="50"/>
  <c r="BO15" i="50"/>
  <c r="BP15" i="50"/>
  <c r="BQ15" i="50"/>
  <c r="BR15" i="50"/>
  <c r="BS15" i="50"/>
  <c r="BT15" i="50"/>
  <c r="BU15" i="50"/>
  <c r="A16" i="50"/>
  <c r="B16" i="50"/>
  <c r="C16" i="50"/>
  <c r="D16" i="50"/>
  <c r="E16" i="50"/>
  <c r="F16" i="50"/>
  <c r="G16" i="50"/>
  <c r="H16" i="50"/>
  <c r="I16" i="50"/>
  <c r="J16" i="50"/>
  <c r="K16" i="50"/>
  <c r="M16" i="50"/>
  <c r="N16" i="50"/>
  <c r="O16" i="50"/>
  <c r="P16" i="50"/>
  <c r="Q16" i="50"/>
  <c r="S16" i="50"/>
  <c r="U16" i="50"/>
  <c r="W16" i="50"/>
  <c r="X16" i="50"/>
  <c r="Y16" i="50"/>
  <c r="AA16" i="50"/>
  <c r="AC16" i="50"/>
  <c r="AD16" i="50"/>
  <c r="AE16" i="50"/>
  <c r="AG16" i="50"/>
  <c r="AI16" i="50"/>
  <c r="AK16" i="50"/>
  <c r="AM16" i="50"/>
  <c r="AN16" i="50"/>
  <c r="AO16" i="50"/>
  <c r="AQ16" i="50"/>
  <c r="AR16" i="50"/>
  <c r="AS16" i="50"/>
  <c r="AU16" i="50"/>
  <c r="AV16" i="50"/>
  <c r="AW16" i="50"/>
  <c r="AX16" i="50"/>
  <c r="AY16" i="50"/>
  <c r="AZ16" i="50"/>
  <c r="BA16" i="50"/>
  <c r="BC16" i="50"/>
  <c r="BD16" i="50"/>
  <c r="BE16" i="50"/>
  <c r="BF16" i="50"/>
  <c r="BG16" i="50"/>
  <c r="BH16" i="50"/>
  <c r="BI16" i="50"/>
  <c r="BJ16" i="50"/>
  <c r="BK16" i="50"/>
  <c r="BL16" i="50"/>
  <c r="BM16" i="50"/>
  <c r="BN16" i="50"/>
  <c r="BO16" i="50"/>
  <c r="BP16" i="50"/>
  <c r="BQ16" i="50"/>
  <c r="BR16" i="50"/>
  <c r="BS16" i="50"/>
  <c r="BT16" i="50"/>
  <c r="BU16" i="50"/>
  <c r="A17" i="50"/>
  <c r="B17" i="50"/>
  <c r="C17" i="50"/>
  <c r="D17" i="50"/>
  <c r="E17" i="50"/>
  <c r="F17" i="50"/>
  <c r="G17" i="50"/>
  <c r="H17" i="50"/>
  <c r="I17" i="50"/>
  <c r="J17" i="50"/>
  <c r="K17" i="50"/>
  <c r="M17" i="50"/>
  <c r="N17" i="50"/>
  <c r="O17" i="50"/>
  <c r="P17" i="50"/>
  <c r="Q17" i="50"/>
  <c r="S17" i="50"/>
  <c r="U17" i="50"/>
  <c r="W17" i="50"/>
  <c r="X17" i="50"/>
  <c r="Y17" i="50"/>
  <c r="AA17" i="50"/>
  <c r="AC17" i="50"/>
  <c r="AD17" i="50"/>
  <c r="AE17" i="50"/>
  <c r="AG17" i="50"/>
  <c r="AI17" i="50"/>
  <c r="AK17" i="50"/>
  <c r="AM17" i="50"/>
  <c r="AN17" i="50"/>
  <c r="AO17" i="50"/>
  <c r="AQ17" i="50"/>
  <c r="AR17" i="50"/>
  <c r="AS17" i="50"/>
  <c r="AU17" i="50"/>
  <c r="AV17" i="50"/>
  <c r="AW17" i="50"/>
  <c r="AX17" i="50"/>
  <c r="AY17" i="50"/>
  <c r="AZ17" i="50"/>
  <c r="BA17" i="50"/>
  <c r="BC17" i="50"/>
  <c r="BD17" i="50"/>
  <c r="BE17" i="50"/>
  <c r="BF17" i="50"/>
  <c r="BG17" i="50"/>
  <c r="BH17" i="50"/>
  <c r="BI17" i="50"/>
  <c r="BJ17" i="50"/>
  <c r="BK17" i="50"/>
  <c r="BL17" i="50"/>
  <c r="BM17" i="50"/>
  <c r="BN17" i="50"/>
  <c r="BO17" i="50"/>
  <c r="BP17" i="50"/>
  <c r="BQ17" i="50"/>
  <c r="BR17" i="50"/>
  <c r="BS17" i="50"/>
  <c r="BT17" i="50"/>
  <c r="BU17" i="50"/>
  <c r="A18" i="50"/>
  <c r="B18" i="50"/>
  <c r="C18" i="50"/>
  <c r="D18" i="50"/>
  <c r="E18" i="50"/>
  <c r="F18" i="50"/>
  <c r="G18" i="50"/>
  <c r="H18" i="50"/>
  <c r="I18" i="50"/>
  <c r="J18" i="50"/>
  <c r="K18" i="50"/>
  <c r="M18" i="50"/>
  <c r="N18" i="50"/>
  <c r="O18" i="50"/>
  <c r="P18" i="50"/>
  <c r="Q18" i="50"/>
  <c r="S18" i="50"/>
  <c r="U18" i="50"/>
  <c r="W18" i="50"/>
  <c r="X18" i="50"/>
  <c r="Y18" i="50"/>
  <c r="AA18" i="50"/>
  <c r="AC18" i="50"/>
  <c r="AD18" i="50"/>
  <c r="AE18" i="50"/>
  <c r="AG18" i="50"/>
  <c r="AI18" i="50"/>
  <c r="AK18" i="50"/>
  <c r="AM18" i="50"/>
  <c r="AN18" i="50"/>
  <c r="AO18" i="50"/>
  <c r="AQ18" i="50"/>
  <c r="AR18" i="50"/>
  <c r="AS18" i="50"/>
  <c r="AU18" i="50"/>
  <c r="AV18" i="50"/>
  <c r="AW18" i="50"/>
  <c r="AX18" i="50"/>
  <c r="AY18" i="50"/>
  <c r="AZ18" i="50"/>
  <c r="BA18" i="50"/>
  <c r="BC18" i="50"/>
  <c r="BD18" i="50"/>
  <c r="BE18" i="50"/>
  <c r="BF18" i="50"/>
  <c r="BG18" i="50"/>
  <c r="BH18" i="50"/>
  <c r="BI18" i="50"/>
  <c r="BJ18" i="50"/>
  <c r="BK18" i="50"/>
  <c r="BL18" i="50"/>
  <c r="BM18" i="50"/>
  <c r="BN18" i="50"/>
  <c r="BO18" i="50"/>
  <c r="BP18" i="50"/>
  <c r="BQ18" i="50"/>
  <c r="BR18" i="50"/>
  <c r="BS18" i="50"/>
  <c r="BT18" i="50"/>
  <c r="BU18" i="50"/>
  <c r="A19" i="50"/>
  <c r="B19" i="50"/>
  <c r="C19" i="50"/>
  <c r="D19" i="50"/>
  <c r="E19" i="50"/>
  <c r="F19" i="50"/>
  <c r="G19" i="50"/>
  <c r="H19" i="50"/>
  <c r="I19" i="50"/>
  <c r="J19" i="50"/>
  <c r="K19" i="50"/>
  <c r="M19" i="50"/>
  <c r="N19" i="50"/>
  <c r="O19" i="50"/>
  <c r="P19" i="50"/>
  <c r="Q19" i="50"/>
  <c r="S19" i="50"/>
  <c r="U19" i="50"/>
  <c r="W19" i="50"/>
  <c r="X19" i="50"/>
  <c r="Y19" i="50"/>
  <c r="AA19" i="50"/>
  <c r="AC19" i="50"/>
  <c r="AD19" i="50"/>
  <c r="AE19" i="50"/>
  <c r="AG19" i="50"/>
  <c r="AI19" i="50"/>
  <c r="AK19" i="50"/>
  <c r="AM19" i="50"/>
  <c r="AN19" i="50"/>
  <c r="AO19" i="50"/>
  <c r="AQ19" i="50"/>
  <c r="AR19" i="50"/>
  <c r="AS19" i="50"/>
  <c r="AU19" i="50"/>
  <c r="AV19" i="50"/>
  <c r="AW19" i="50"/>
  <c r="AX19" i="50"/>
  <c r="AY19" i="50"/>
  <c r="AZ19" i="50"/>
  <c r="BA19" i="50"/>
  <c r="BC19" i="50"/>
  <c r="BD19" i="50"/>
  <c r="BE19" i="50"/>
  <c r="BF19" i="50"/>
  <c r="BG19" i="50"/>
  <c r="BH19" i="50"/>
  <c r="BI19" i="50"/>
  <c r="BJ19" i="50"/>
  <c r="BK19" i="50"/>
  <c r="BL19" i="50"/>
  <c r="BM19" i="50"/>
  <c r="BN19" i="50"/>
  <c r="BO19" i="50"/>
  <c r="BP19" i="50"/>
  <c r="BQ19" i="50"/>
  <c r="BR19" i="50"/>
  <c r="BS19" i="50"/>
  <c r="BT19" i="50"/>
  <c r="BU19" i="50"/>
  <c r="A20" i="50"/>
  <c r="B20" i="50"/>
  <c r="C20" i="50"/>
  <c r="D20" i="50"/>
  <c r="E20" i="50"/>
  <c r="F20" i="50"/>
  <c r="G20" i="50"/>
  <c r="H20" i="50"/>
  <c r="I20" i="50"/>
  <c r="J20" i="50"/>
  <c r="K20" i="50"/>
  <c r="M20" i="50"/>
  <c r="N20" i="50"/>
  <c r="O20" i="50"/>
  <c r="P20" i="50"/>
  <c r="Q20" i="50"/>
  <c r="S20" i="50"/>
  <c r="U20" i="50"/>
  <c r="W20" i="50"/>
  <c r="X20" i="50"/>
  <c r="Y20" i="50"/>
  <c r="AA20" i="50"/>
  <c r="AC20" i="50"/>
  <c r="AD20" i="50"/>
  <c r="AE20" i="50"/>
  <c r="AG20" i="50"/>
  <c r="AI20" i="50"/>
  <c r="AK20" i="50"/>
  <c r="AM20" i="50"/>
  <c r="AN20" i="50"/>
  <c r="AO20" i="50"/>
  <c r="AQ20" i="50"/>
  <c r="AR20" i="50"/>
  <c r="AS20" i="50"/>
  <c r="AU20" i="50"/>
  <c r="AV20" i="50"/>
  <c r="AW20" i="50"/>
  <c r="AX20" i="50"/>
  <c r="AY20" i="50"/>
  <c r="AZ20" i="50"/>
  <c r="BA20" i="50"/>
  <c r="BC20" i="50"/>
  <c r="BD20" i="50"/>
  <c r="BE20" i="50"/>
  <c r="BF20" i="50"/>
  <c r="BG20" i="50"/>
  <c r="BH20" i="50"/>
  <c r="BI20" i="50"/>
  <c r="BJ20" i="50"/>
  <c r="BK20" i="50"/>
  <c r="BL20" i="50"/>
  <c r="BM20" i="50"/>
  <c r="BN20" i="50"/>
  <c r="BO20" i="50"/>
  <c r="BP20" i="50"/>
  <c r="BQ20" i="50"/>
  <c r="BR20" i="50"/>
  <c r="BS20" i="50"/>
  <c r="BT20" i="50"/>
  <c r="BU20" i="50"/>
  <c r="A21" i="50"/>
  <c r="B21" i="50"/>
  <c r="C21" i="50"/>
  <c r="D21" i="50"/>
  <c r="E21" i="50"/>
  <c r="F21" i="50"/>
  <c r="G21" i="50"/>
  <c r="H21" i="50"/>
  <c r="I21" i="50"/>
  <c r="J21" i="50"/>
  <c r="K21" i="50"/>
  <c r="M21" i="50"/>
  <c r="N21" i="50"/>
  <c r="O21" i="50"/>
  <c r="P21" i="50"/>
  <c r="Q21" i="50"/>
  <c r="S21" i="50"/>
  <c r="U21" i="50"/>
  <c r="W21" i="50"/>
  <c r="X21" i="50"/>
  <c r="Y21" i="50"/>
  <c r="AA21" i="50"/>
  <c r="AC21" i="50"/>
  <c r="AD21" i="50"/>
  <c r="AE21" i="50"/>
  <c r="AG21" i="50"/>
  <c r="AI21" i="50"/>
  <c r="AK21" i="50"/>
  <c r="AM21" i="50"/>
  <c r="AN21" i="50"/>
  <c r="AO21" i="50"/>
  <c r="AQ21" i="50"/>
  <c r="AR21" i="50"/>
  <c r="AS21" i="50"/>
  <c r="AU21" i="50"/>
  <c r="AV21" i="50"/>
  <c r="AW21" i="50"/>
  <c r="AX21" i="50"/>
  <c r="AY21" i="50"/>
  <c r="AZ21" i="50"/>
  <c r="BA21" i="50"/>
  <c r="BC21" i="50"/>
  <c r="BD21" i="50"/>
  <c r="BE21" i="50"/>
  <c r="BF21" i="50"/>
  <c r="BG21" i="50"/>
  <c r="BH21" i="50"/>
  <c r="BI21" i="50"/>
  <c r="BJ21" i="50"/>
  <c r="BK21" i="50"/>
  <c r="BL21" i="50"/>
  <c r="BM21" i="50"/>
  <c r="BN21" i="50"/>
  <c r="BO21" i="50"/>
  <c r="BP21" i="50"/>
  <c r="BQ21" i="50"/>
  <c r="BR21" i="50"/>
  <c r="BS21" i="50"/>
  <c r="BT21" i="50"/>
  <c r="BU21" i="50"/>
  <c r="A22" i="50"/>
  <c r="B22" i="50"/>
  <c r="C22" i="50"/>
  <c r="D22" i="50"/>
  <c r="E22" i="50"/>
  <c r="F22" i="50"/>
  <c r="G22" i="50"/>
  <c r="H22" i="50"/>
  <c r="I22" i="50"/>
  <c r="J22" i="50"/>
  <c r="K22" i="50"/>
  <c r="M22" i="50"/>
  <c r="N22" i="50"/>
  <c r="O22" i="50"/>
  <c r="P22" i="50"/>
  <c r="Q22" i="50"/>
  <c r="S22" i="50"/>
  <c r="U22" i="50"/>
  <c r="W22" i="50"/>
  <c r="X22" i="50"/>
  <c r="Y22" i="50"/>
  <c r="AA22" i="50"/>
  <c r="AC22" i="50"/>
  <c r="AD22" i="50"/>
  <c r="AE22" i="50"/>
  <c r="AG22" i="50"/>
  <c r="AI22" i="50"/>
  <c r="AK22" i="50"/>
  <c r="AM22" i="50"/>
  <c r="AN22" i="50"/>
  <c r="AO22" i="50"/>
  <c r="AQ22" i="50"/>
  <c r="AR22" i="50"/>
  <c r="AS22" i="50"/>
  <c r="AU22" i="50"/>
  <c r="AV22" i="50"/>
  <c r="AW22" i="50"/>
  <c r="AX22" i="50"/>
  <c r="AY22" i="50"/>
  <c r="AZ22" i="50"/>
  <c r="BA22" i="50"/>
  <c r="BC22" i="50"/>
  <c r="BD22" i="50"/>
  <c r="BE22" i="50"/>
  <c r="BF22" i="50"/>
  <c r="BG22" i="50"/>
  <c r="BH22" i="50"/>
  <c r="BI22" i="50"/>
  <c r="BJ22" i="50"/>
  <c r="BK22" i="50"/>
  <c r="BL22" i="50"/>
  <c r="BM22" i="50"/>
  <c r="BN22" i="50"/>
  <c r="BO22" i="50"/>
  <c r="BP22" i="50"/>
  <c r="BQ22" i="50"/>
  <c r="BR22" i="50"/>
  <c r="BS22" i="50"/>
  <c r="BT22" i="50"/>
  <c r="BU22" i="50"/>
  <c r="A23" i="50"/>
  <c r="B23" i="50"/>
  <c r="C23" i="50"/>
  <c r="D23" i="50"/>
  <c r="E23" i="50"/>
  <c r="F23" i="50"/>
  <c r="G23" i="50"/>
  <c r="H23" i="50"/>
  <c r="I23" i="50"/>
  <c r="J23" i="50"/>
  <c r="K23" i="50"/>
  <c r="M23" i="50"/>
  <c r="N23" i="50"/>
  <c r="O23" i="50"/>
  <c r="P23" i="50"/>
  <c r="Q23" i="50"/>
  <c r="S23" i="50"/>
  <c r="U23" i="50"/>
  <c r="W23" i="50"/>
  <c r="X23" i="50"/>
  <c r="Y23" i="50"/>
  <c r="AA23" i="50"/>
  <c r="AC23" i="50"/>
  <c r="AD23" i="50"/>
  <c r="AE23" i="50"/>
  <c r="AG23" i="50"/>
  <c r="AI23" i="50"/>
  <c r="AK23" i="50"/>
  <c r="AM23" i="50"/>
  <c r="AN23" i="50"/>
  <c r="AO23" i="50"/>
  <c r="AQ23" i="50"/>
  <c r="AR23" i="50"/>
  <c r="AS23" i="50"/>
  <c r="AU23" i="50"/>
  <c r="AV23" i="50"/>
  <c r="AW23" i="50"/>
  <c r="AX23" i="50"/>
  <c r="AY23" i="50"/>
  <c r="AZ23" i="50"/>
  <c r="BA23" i="50"/>
  <c r="BC23" i="50"/>
  <c r="BD23" i="50"/>
  <c r="BE23" i="50"/>
  <c r="BF23" i="50"/>
  <c r="BG23" i="50"/>
  <c r="BH23" i="50"/>
  <c r="BI23" i="50"/>
  <c r="BJ23" i="50"/>
  <c r="BK23" i="50"/>
  <c r="BL23" i="50"/>
  <c r="BM23" i="50"/>
  <c r="BN23" i="50"/>
  <c r="BO23" i="50"/>
  <c r="BP23" i="50"/>
  <c r="BQ23" i="50"/>
  <c r="BR23" i="50"/>
  <c r="BS23" i="50"/>
  <c r="BT23" i="50"/>
  <c r="BU23" i="50"/>
  <c r="A24" i="50"/>
  <c r="B24" i="50"/>
  <c r="C24" i="50"/>
  <c r="D24" i="50"/>
  <c r="E24" i="50"/>
  <c r="F24" i="50"/>
  <c r="G24" i="50"/>
  <c r="H24" i="50"/>
  <c r="I24" i="50"/>
  <c r="J24" i="50"/>
  <c r="K24" i="50"/>
  <c r="M24" i="50"/>
  <c r="N24" i="50"/>
  <c r="O24" i="50"/>
  <c r="P24" i="50"/>
  <c r="Q24" i="50"/>
  <c r="S24" i="50"/>
  <c r="U24" i="50"/>
  <c r="W24" i="50"/>
  <c r="X24" i="50"/>
  <c r="Y24" i="50"/>
  <c r="AA24" i="50"/>
  <c r="AC24" i="50"/>
  <c r="AD24" i="50"/>
  <c r="AE24" i="50"/>
  <c r="AG24" i="50"/>
  <c r="AI24" i="50"/>
  <c r="AK24" i="50"/>
  <c r="AM24" i="50"/>
  <c r="AN24" i="50"/>
  <c r="AO24" i="50"/>
  <c r="AQ24" i="50"/>
  <c r="AR24" i="50"/>
  <c r="AS24" i="50"/>
  <c r="AU24" i="50"/>
  <c r="AV24" i="50"/>
  <c r="AW24" i="50"/>
  <c r="AX24" i="50"/>
  <c r="AY24" i="50"/>
  <c r="AZ24" i="50"/>
  <c r="BA24" i="50"/>
  <c r="BC24" i="50"/>
  <c r="BD24" i="50"/>
  <c r="BE24" i="50"/>
  <c r="BF24" i="50"/>
  <c r="BG24" i="50"/>
  <c r="BH24" i="50"/>
  <c r="BI24" i="50"/>
  <c r="BJ24" i="50"/>
  <c r="BK24" i="50"/>
  <c r="BL24" i="50"/>
  <c r="BM24" i="50"/>
  <c r="BN24" i="50"/>
  <c r="BO24" i="50"/>
  <c r="BP24" i="50"/>
  <c r="BQ24" i="50"/>
  <c r="BR24" i="50"/>
  <c r="BS24" i="50"/>
  <c r="BT24" i="50"/>
  <c r="BU24" i="50"/>
  <c r="A25" i="50"/>
  <c r="B25" i="50"/>
  <c r="C25" i="50"/>
  <c r="D25" i="50"/>
  <c r="E25" i="50"/>
  <c r="F25" i="50"/>
  <c r="G25" i="50"/>
  <c r="H25" i="50"/>
  <c r="I25" i="50"/>
  <c r="J25" i="50"/>
  <c r="K25" i="50"/>
  <c r="M25" i="50"/>
  <c r="N25" i="50"/>
  <c r="O25" i="50"/>
  <c r="P25" i="50"/>
  <c r="Q25" i="50"/>
  <c r="S25" i="50"/>
  <c r="U25" i="50"/>
  <c r="W25" i="50"/>
  <c r="X25" i="50"/>
  <c r="Y25" i="50"/>
  <c r="AA25" i="50"/>
  <c r="AC25" i="50"/>
  <c r="AD25" i="50"/>
  <c r="AE25" i="50"/>
  <c r="AG25" i="50"/>
  <c r="AI25" i="50"/>
  <c r="AK25" i="50"/>
  <c r="AM25" i="50"/>
  <c r="AN25" i="50"/>
  <c r="AO25" i="50"/>
  <c r="AQ25" i="50"/>
  <c r="AR25" i="50"/>
  <c r="AS25" i="50"/>
  <c r="AU25" i="50"/>
  <c r="AV25" i="50"/>
  <c r="AW25" i="50"/>
  <c r="AX25" i="50"/>
  <c r="AY25" i="50"/>
  <c r="AZ25" i="50"/>
  <c r="BA25" i="50"/>
  <c r="BC25" i="50"/>
  <c r="BD25" i="50"/>
  <c r="BE25" i="50"/>
  <c r="BF25" i="50"/>
  <c r="BG25" i="50"/>
  <c r="BH25" i="50"/>
  <c r="BI25" i="50"/>
  <c r="BJ25" i="50"/>
  <c r="BK25" i="50"/>
  <c r="BL25" i="50"/>
  <c r="BM25" i="50"/>
  <c r="BN25" i="50"/>
  <c r="BO25" i="50"/>
  <c r="BP25" i="50"/>
  <c r="BQ25" i="50"/>
  <c r="BR25" i="50"/>
  <c r="BS25" i="50"/>
  <c r="BT25" i="50"/>
  <c r="BU25" i="50"/>
  <c r="A26" i="50"/>
  <c r="B26" i="50"/>
  <c r="C26" i="50"/>
  <c r="D26" i="50"/>
  <c r="E26" i="50"/>
  <c r="F26" i="50"/>
  <c r="G26" i="50"/>
  <c r="H26" i="50"/>
  <c r="I26" i="50"/>
  <c r="J26" i="50"/>
  <c r="K26" i="50"/>
  <c r="M26" i="50"/>
  <c r="N26" i="50"/>
  <c r="O26" i="50"/>
  <c r="P26" i="50"/>
  <c r="Q26" i="50"/>
  <c r="S26" i="50"/>
  <c r="U26" i="50"/>
  <c r="W26" i="50"/>
  <c r="X26" i="50"/>
  <c r="Y26" i="50"/>
  <c r="AA26" i="50"/>
  <c r="AC26" i="50"/>
  <c r="AD26" i="50"/>
  <c r="AE26" i="50"/>
  <c r="AG26" i="50"/>
  <c r="AI26" i="50"/>
  <c r="AK26" i="50"/>
  <c r="AM26" i="50"/>
  <c r="AN26" i="50"/>
  <c r="AO26" i="50"/>
  <c r="AQ26" i="50"/>
  <c r="AR26" i="50"/>
  <c r="AS26" i="50"/>
  <c r="AU26" i="50"/>
  <c r="AV26" i="50"/>
  <c r="AW26" i="50"/>
  <c r="AX26" i="50"/>
  <c r="AY26" i="50"/>
  <c r="AZ26" i="50"/>
  <c r="BA26" i="50"/>
  <c r="BC26" i="50"/>
  <c r="BD26" i="50"/>
  <c r="BE26" i="50"/>
  <c r="BF26" i="50"/>
  <c r="BG26" i="50"/>
  <c r="BH26" i="50"/>
  <c r="BI26" i="50"/>
  <c r="BJ26" i="50"/>
  <c r="BK26" i="50"/>
  <c r="BL26" i="50"/>
  <c r="BM26" i="50"/>
  <c r="BN26" i="50"/>
  <c r="BO26" i="50"/>
  <c r="BP26" i="50"/>
  <c r="BQ26" i="50"/>
  <c r="BR26" i="50"/>
  <c r="BS26" i="50"/>
  <c r="BT26" i="50"/>
  <c r="BU26" i="50"/>
  <c r="A27" i="50"/>
  <c r="B27" i="50"/>
  <c r="C27" i="50"/>
  <c r="D27" i="50"/>
  <c r="E27" i="50"/>
  <c r="F27" i="50"/>
  <c r="G27" i="50"/>
  <c r="H27" i="50"/>
  <c r="I27" i="50"/>
  <c r="J27" i="50"/>
  <c r="K27" i="50"/>
  <c r="M27" i="50"/>
  <c r="N27" i="50"/>
  <c r="O27" i="50"/>
  <c r="P27" i="50"/>
  <c r="Q27" i="50"/>
  <c r="S27" i="50"/>
  <c r="U27" i="50"/>
  <c r="W27" i="50"/>
  <c r="X27" i="50"/>
  <c r="Y27" i="50"/>
  <c r="AA27" i="50"/>
  <c r="AC27" i="50"/>
  <c r="AD27" i="50"/>
  <c r="AE27" i="50"/>
  <c r="AG27" i="50"/>
  <c r="AI27" i="50"/>
  <c r="AK27" i="50"/>
  <c r="AM27" i="50"/>
  <c r="AN27" i="50"/>
  <c r="AO27" i="50"/>
  <c r="AQ27" i="50"/>
  <c r="AR27" i="50"/>
  <c r="AS27" i="50"/>
  <c r="AU27" i="50"/>
  <c r="AV27" i="50"/>
  <c r="AW27" i="50"/>
  <c r="AX27" i="50"/>
  <c r="AY27" i="50"/>
  <c r="AZ27" i="50"/>
  <c r="BA27" i="50"/>
  <c r="BC27" i="50"/>
  <c r="BD27" i="50"/>
  <c r="BE27" i="50"/>
  <c r="BF27" i="50"/>
  <c r="BG27" i="50"/>
  <c r="BH27" i="50"/>
  <c r="BI27" i="50"/>
  <c r="BJ27" i="50"/>
  <c r="BK27" i="50"/>
  <c r="BL27" i="50"/>
  <c r="BM27" i="50"/>
  <c r="BN27" i="50"/>
  <c r="BO27" i="50"/>
  <c r="BP27" i="50"/>
  <c r="BQ27" i="50"/>
  <c r="BR27" i="50"/>
  <c r="BS27" i="50"/>
  <c r="BT27" i="50"/>
  <c r="BU27" i="50"/>
  <c r="A28" i="50"/>
  <c r="B28" i="50"/>
  <c r="C28" i="50"/>
  <c r="D28" i="50"/>
  <c r="E28" i="50"/>
  <c r="F28" i="50"/>
  <c r="G28" i="50"/>
  <c r="H28" i="50"/>
  <c r="I28" i="50"/>
  <c r="J28" i="50"/>
  <c r="K28" i="50"/>
  <c r="M28" i="50"/>
  <c r="N28" i="50"/>
  <c r="O28" i="50"/>
  <c r="P28" i="50"/>
  <c r="Q28" i="50"/>
  <c r="S28" i="50"/>
  <c r="U28" i="50"/>
  <c r="W28" i="50"/>
  <c r="X28" i="50"/>
  <c r="Y28" i="50"/>
  <c r="AA28" i="50"/>
  <c r="AC28" i="50"/>
  <c r="AD28" i="50"/>
  <c r="AE28" i="50"/>
  <c r="AG28" i="50"/>
  <c r="AI28" i="50"/>
  <c r="AK28" i="50"/>
  <c r="AM28" i="50"/>
  <c r="AN28" i="50"/>
  <c r="AO28" i="50"/>
  <c r="AQ28" i="50"/>
  <c r="AR28" i="50"/>
  <c r="AS28" i="50"/>
  <c r="AU28" i="50"/>
  <c r="AV28" i="50"/>
  <c r="AW28" i="50"/>
  <c r="AX28" i="50"/>
  <c r="AY28" i="50"/>
  <c r="AZ28" i="50"/>
  <c r="BA28" i="50"/>
  <c r="BC28" i="50"/>
  <c r="BD28" i="50"/>
  <c r="BE28" i="50"/>
  <c r="BF28" i="50"/>
  <c r="BG28" i="50"/>
  <c r="BH28" i="50"/>
  <c r="BI28" i="50"/>
  <c r="BJ28" i="50"/>
  <c r="BK28" i="50"/>
  <c r="BL28" i="50"/>
  <c r="BM28" i="50"/>
  <c r="BN28" i="50"/>
  <c r="BO28" i="50"/>
  <c r="BP28" i="50"/>
  <c r="BQ28" i="50"/>
  <c r="BR28" i="50"/>
  <c r="BS28" i="50"/>
  <c r="BT28" i="50"/>
  <c r="BU28" i="50"/>
  <c r="A29" i="50"/>
  <c r="B29" i="50"/>
  <c r="C29" i="50"/>
  <c r="D29" i="50"/>
  <c r="E29" i="50"/>
  <c r="F29" i="50"/>
  <c r="G29" i="50"/>
  <c r="H29" i="50"/>
  <c r="I29" i="50"/>
  <c r="J29" i="50"/>
  <c r="K29" i="50"/>
  <c r="M29" i="50"/>
  <c r="N29" i="50"/>
  <c r="O29" i="50"/>
  <c r="P29" i="50"/>
  <c r="Q29" i="50"/>
  <c r="S29" i="50"/>
  <c r="U29" i="50"/>
  <c r="W29" i="50"/>
  <c r="X29" i="50"/>
  <c r="Y29" i="50"/>
  <c r="AA29" i="50"/>
  <c r="AC29" i="50"/>
  <c r="AD29" i="50"/>
  <c r="AE29" i="50"/>
  <c r="AG29" i="50"/>
  <c r="AI29" i="50"/>
  <c r="AK29" i="50"/>
  <c r="AM29" i="50"/>
  <c r="AN29" i="50"/>
  <c r="AO29" i="50"/>
  <c r="AQ29" i="50"/>
  <c r="AR29" i="50"/>
  <c r="AS29" i="50"/>
  <c r="AU29" i="50"/>
  <c r="AV29" i="50"/>
  <c r="AW29" i="50"/>
  <c r="AX29" i="50"/>
  <c r="AY29" i="50"/>
  <c r="AZ29" i="50"/>
  <c r="BA29" i="50"/>
  <c r="BC29" i="50"/>
  <c r="BD29" i="50"/>
  <c r="BE29" i="50"/>
  <c r="BF29" i="50"/>
  <c r="BG29" i="50"/>
  <c r="BH29" i="50"/>
  <c r="BI29" i="50"/>
  <c r="BJ29" i="50"/>
  <c r="BK29" i="50"/>
  <c r="BL29" i="50"/>
  <c r="BM29" i="50"/>
  <c r="BN29" i="50"/>
  <c r="BO29" i="50"/>
  <c r="BP29" i="50"/>
  <c r="BQ29" i="50"/>
  <c r="BR29" i="50"/>
  <c r="BS29" i="50"/>
  <c r="BT29" i="50"/>
  <c r="BU29" i="50"/>
  <c r="A30" i="50"/>
  <c r="B30" i="50"/>
  <c r="C30" i="50"/>
  <c r="D30" i="50"/>
  <c r="E30" i="50"/>
  <c r="F30" i="50"/>
  <c r="G30" i="50"/>
  <c r="H30" i="50"/>
  <c r="I30" i="50"/>
  <c r="J30" i="50"/>
  <c r="K30" i="50"/>
  <c r="M30" i="50"/>
  <c r="N30" i="50"/>
  <c r="O30" i="50"/>
  <c r="P30" i="50"/>
  <c r="Q30" i="50"/>
  <c r="S30" i="50"/>
  <c r="U30" i="50"/>
  <c r="W30" i="50"/>
  <c r="X30" i="50"/>
  <c r="Y30" i="50"/>
  <c r="AA30" i="50"/>
  <c r="AC30" i="50"/>
  <c r="AD30" i="50"/>
  <c r="AE30" i="50"/>
  <c r="AG30" i="50"/>
  <c r="AI30" i="50"/>
  <c r="AK30" i="50"/>
  <c r="AM30" i="50"/>
  <c r="AN30" i="50"/>
  <c r="AO30" i="50"/>
  <c r="AQ30" i="50"/>
  <c r="AR30" i="50"/>
  <c r="AS30" i="50"/>
  <c r="AU30" i="50"/>
  <c r="AV30" i="50"/>
  <c r="AW30" i="50"/>
  <c r="AX30" i="50"/>
  <c r="AY30" i="50"/>
  <c r="AZ30" i="50"/>
  <c r="BA30" i="50"/>
  <c r="BC30" i="50"/>
  <c r="BD30" i="50"/>
  <c r="BE30" i="50"/>
  <c r="BF30" i="50"/>
  <c r="BG30" i="50"/>
  <c r="BH30" i="50"/>
  <c r="BI30" i="50"/>
  <c r="BJ30" i="50"/>
  <c r="BK30" i="50"/>
  <c r="BL30" i="50"/>
  <c r="BM30" i="50"/>
  <c r="BN30" i="50"/>
  <c r="BO30" i="50"/>
  <c r="BP30" i="50"/>
  <c r="BQ30" i="50"/>
  <c r="BR30" i="50"/>
  <c r="BS30" i="50"/>
  <c r="BT30" i="50"/>
  <c r="BU30" i="50"/>
  <c r="A31" i="50"/>
  <c r="B31" i="50"/>
  <c r="C31" i="50"/>
  <c r="D31" i="50"/>
  <c r="E31" i="50"/>
  <c r="F31" i="50"/>
  <c r="G31" i="50"/>
  <c r="H31" i="50"/>
  <c r="I31" i="50"/>
  <c r="J31" i="50"/>
  <c r="K31" i="50"/>
  <c r="M31" i="50"/>
  <c r="N31" i="50"/>
  <c r="O31" i="50"/>
  <c r="P31" i="50"/>
  <c r="Q31" i="50"/>
  <c r="S31" i="50"/>
  <c r="U31" i="50"/>
  <c r="W31" i="50"/>
  <c r="X31" i="50"/>
  <c r="Y31" i="50"/>
  <c r="AA31" i="50"/>
  <c r="AC31" i="50"/>
  <c r="AD31" i="50"/>
  <c r="AE31" i="50"/>
  <c r="AG31" i="50"/>
  <c r="AI31" i="50"/>
  <c r="AK31" i="50"/>
  <c r="AM31" i="50"/>
  <c r="AN31" i="50"/>
  <c r="AO31" i="50"/>
  <c r="AQ31" i="50"/>
  <c r="AR31" i="50"/>
  <c r="AS31" i="50"/>
  <c r="AU31" i="50"/>
  <c r="AV31" i="50"/>
  <c r="AW31" i="50"/>
  <c r="AX31" i="50"/>
  <c r="AY31" i="50"/>
  <c r="AZ31" i="50"/>
  <c r="BA31" i="50"/>
  <c r="BC31" i="50"/>
  <c r="BD31" i="50"/>
  <c r="BE31" i="50"/>
  <c r="BF31" i="50"/>
  <c r="BG31" i="50"/>
  <c r="BH31" i="50"/>
  <c r="BI31" i="50"/>
  <c r="BJ31" i="50"/>
  <c r="BK31" i="50"/>
  <c r="BL31" i="50"/>
  <c r="BM31" i="50"/>
  <c r="BN31" i="50"/>
  <c r="BO31" i="50"/>
  <c r="BP31" i="50"/>
  <c r="BQ31" i="50"/>
  <c r="BR31" i="50"/>
  <c r="BS31" i="50"/>
  <c r="BT31" i="50"/>
  <c r="BU31" i="50"/>
  <c r="A32" i="50"/>
  <c r="B32" i="50"/>
  <c r="C32" i="50"/>
  <c r="D32" i="50"/>
  <c r="E32" i="50"/>
  <c r="F32" i="50"/>
  <c r="G32" i="50"/>
  <c r="H32" i="50"/>
  <c r="I32" i="50"/>
  <c r="J32" i="50"/>
  <c r="K32" i="50"/>
  <c r="M32" i="50"/>
  <c r="N32" i="50"/>
  <c r="O32" i="50"/>
  <c r="P32" i="50"/>
  <c r="Q32" i="50"/>
  <c r="S32" i="50"/>
  <c r="U32" i="50"/>
  <c r="W32" i="50"/>
  <c r="X32" i="50"/>
  <c r="Y32" i="50"/>
  <c r="AA32" i="50"/>
  <c r="AC32" i="50"/>
  <c r="AD32" i="50"/>
  <c r="AE32" i="50"/>
  <c r="AG32" i="50"/>
  <c r="AI32" i="50"/>
  <c r="AK32" i="50"/>
  <c r="AM32" i="50"/>
  <c r="AN32" i="50"/>
  <c r="AO32" i="50"/>
  <c r="AQ32" i="50"/>
  <c r="AR32" i="50"/>
  <c r="AS32" i="50"/>
  <c r="AU32" i="50"/>
  <c r="AV32" i="50"/>
  <c r="AW32" i="50"/>
  <c r="AX32" i="50"/>
  <c r="AY32" i="50"/>
  <c r="AZ32" i="50"/>
  <c r="BA32" i="50"/>
  <c r="BC32" i="50"/>
  <c r="BD32" i="50"/>
  <c r="BE32" i="50"/>
  <c r="BF32" i="50"/>
  <c r="BG32" i="50"/>
  <c r="BH32" i="50"/>
  <c r="BI32" i="50"/>
  <c r="BJ32" i="50"/>
  <c r="BK32" i="50"/>
  <c r="BL32" i="50"/>
  <c r="BM32" i="50"/>
  <c r="BN32" i="50"/>
  <c r="BO32" i="50"/>
  <c r="BP32" i="50"/>
  <c r="BQ32" i="50"/>
  <c r="BR32" i="50"/>
  <c r="BS32" i="50"/>
  <c r="BT32" i="50"/>
  <c r="BU32" i="50"/>
  <c r="A33" i="50"/>
  <c r="B33" i="50"/>
  <c r="C33" i="50"/>
  <c r="D33" i="50"/>
  <c r="E33" i="50"/>
  <c r="F33" i="50"/>
  <c r="G33" i="50"/>
  <c r="H33" i="50"/>
  <c r="I33" i="50"/>
  <c r="J33" i="50"/>
  <c r="K33" i="50"/>
  <c r="M33" i="50"/>
  <c r="N33" i="50"/>
  <c r="O33" i="50"/>
  <c r="P33" i="50"/>
  <c r="Q33" i="50"/>
  <c r="S33" i="50"/>
  <c r="U33" i="50"/>
  <c r="W33" i="50"/>
  <c r="X33" i="50"/>
  <c r="Y33" i="50"/>
  <c r="AA33" i="50"/>
  <c r="AC33" i="50"/>
  <c r="AD33" i="50"/>
  <c r="AE33" i="50"/>
  <c r="AG33" i="50"/>
  <c r="AI33" i="50"/>
  <c r="AK33" i="50"/>
  <c r="AM33" i="50"/>
  <c r="AN33" i="50"/>
  <c r="AO33" i="50"/>
  <c r="AQ33" i="50"/>
  <c r="AR33" i="50"/>
  <c r="AS33" i="50"/>
  <c r="AU33" i="50"/>
  <c r="AV33" i="50"/>
  <c r="AW33" i="50"/>
  <c r="AX33" i="50"/>
  <c r="AY33" i="50"/>
  <c r="AZ33" i="50"/>
  <c r="BA33" i="50"/>
  <c r="BC33" i="50"/>
  <c r="BD33" i="50"/>
  <c r="BE33" i="50"/>
  <c r="BF33" i="50"/>
  <c r="BG33" i="50"/>
  <c r="BH33" i="50"/>
  <c r="BI33" i="50"/>
  <c r="BJ33" i="50"/>
  <c r="BK33" i="50"/>
  <c r="BL33" i="50"/>
  <c r="BM33" i="50"/>
  <c r="BN33" i="50"/>
  <c r="BO33" i="50"/>
  <c r="BP33" i="50"/>
  <c r="BQ33" i="50"/>
  <c r="BR33" i="50"/>
  <c r="BS33" i="50"/>
  <c r="BT33" i="50"/>
  <c r="BU33" i="50"/>
  <c r="A34" i="50"/>
  <c r="B34" i="50"/>
  <c r="C34" i="50"/>
  <c r="D34" i="50"/>
  <c r="E34" i="50"/>
  <c r="F34" i="50"/>
  <c r="G34" i="50"/>
  <c r="H34" i="50"/>
  <c r="I34" i="50"/>
  <c r="J34" i="50"/>
  <c r="K34" i="50"/>
  <c r="M34" i="50"/>
  <c r="N34" i="50"/>
  <c r="O34" i="50"/>
  <c r="P34" i="50"/>
  <c r="Q34" i="50"/>
  <c r="S34" i="50"/>
  <c r="U34" i="50"/>
  <c r="W34" i="50"/>
  <c r="X34" i="50"/>
  <c r="Y34" i="50"/>
  <c r="AA34" i="50"/>
  <c r="AC34" i="50"/>
  <c r="AD34" i="50"/>
  <c r="AE34" i="50"/>
  <c r="AG34" i="50"/>
  <c r="AI34" i="50"/>
  <c r="AK34" i="50"/>
  <c r="AM34" i="50"/>
  <c r="AN34" i="50"/>
  <c r="AO34" i="50"/>
  <c r="AQ34" i="50"/>
  <c r="AR34" i="50"/>
  <c r="AS34" i="50"/>
  <c r="AU34" i="50"/>
  <c r="AV34" i="50"/>
  <c r="AW34" i="50"/>
  <c r="AX34" i="50"/>
  <c r="AY34" i="50"/>
  <c r="AZ34" i="50"/>
  <c r="BA34" i="50"/>
  <c r="BC34" i="50"/>
  <c r="BD34" i="50"/>
  <c r="BE34" i="50"/>
  <c r="BF34" i="50"/>
  <c r="BG34" i="50"/>
  <c r="BH34" i="50"/>
  <c r="BI34" i="50"/>
  <c r="BJ34" i="50"/>
  <c r="BK34" i="50"/>
  <c r="BL34" i="50"/>
  <c r="BM34" i="50"/>
  <c r="BN34" i="50"/>
  <c r="BO34" i="50"/>
  <c r="BP34" i="50"/>
  <c r="BQ34" i="50"/>
  <c r="BR34" i="50"/>
  <c r="BS34" i="50"/>
  <c r="BT34" i="50"/>
  <c r="BU34" i="50"/>
  <c r="A35" i="50"/>
  <c r="B35" i="50"/>
  <c r="C35" i="50"/>
  <c r="D35" i="50"/>
  <c r="E35" i="50"/>
  <c r="F35" i="50"/>
  <c r="G35" i="50"/>
  <c r="H35" i="50"/>
  <c r="I35" i="50"/>
  <c r="J35" i="50"/>
  <c r="K35" i="50"/>
  <c r="M35" i="50"/>
  <c r="N35" i="50"/>
  <c r="O35" i="50"/>
  <c r="P35" i="50"/>
  <c r="Q35" i="50"/>
  <c r="S35" i="50"/>
  <c r="U35" i="50"/>
  <c r="W35" i="50"/>
  <c r="X35" i="50"/>
  <c r="Y35" i="50"/>
  <c r="AA35" i="50"/>
  <c r="AC35" i="50"/>
  <c r="AD35" i="50"/>
  <c r="AE35" i="50"/>
  <c r="AG35" i="50"/>
  <c r="AI35" i="50"/>
  <c r="AK35" i="50"/>
  <c r="AM35" i="50"/>
  <c r="AN35" i="50"/>
  <c r="AO35" i="50"/>
  <c r="AQ35" i="50"/>
  <c r="AR35" i="50"/>
  <c r="AS35" i="50"/>
  <c r="AU35" i="50"/>
  <c r="AV35" i="50"/>
  <c r="AW35" i="50"/>
  <c r="AX35" i="50"/>
  <c r="AY35" i="50"/>
  <c r="AZ35" i="50"/>
  <c r="BA35" i="50"/>
  <c r="BC35" i="50"/>
  <c r="BD35" i="50"/>
  <c r="BE35" i="50"/>
  <c r="BF35" i="50"/>
  <c r="BG35" i="50"/>
  <c r="BH35" i="50"/>
  <c r="BI35" i="50"/>
  <c r="BJ35" i="50"/>
  <c r="BK35" i="50"/>
  <c r="BL35" i="50"/>
  <c r="BM35" i="50"/>
  <c r="BN35" i="50"/>
  <c r="BO35" i="50"/>
  <c r="BP35" i="50"/>
  <c r="BQ35" i="50"/>
  <c r="BR35" i="50"/>
  <c r="BS35" i="50"/>
  <c r="BT35" i="50"/>
  <c r="BU35" i="50"/>
  <c r="A36" i="50"/>
  <c r="B36" i="50"/>
  <c r="C36" i="50"/>
  <c r="D36" i="50"/>
  <c r="E36" i="50"/>
  <c r="F36" i="50"/>
  <c r="G36" i="50"/>
  <c r="H36" i="50"/>
  <c r="I36" i="50"/>
  <c r="J36" i="50"/>
  <c r="K36" i="50"/>
  <c r="M36" i="50"/>
  <c r="N36" i="50"/>
  <c r="O36" i="50"/>
  <c r="P36" i="50"/>
  <c r="Q36" i="50"/>
  <c r="S36" i="50"/>
  <c r="U36" i="50"/>
  <c r="W36" i="50"/>
  <c r="X36" i="50"/>
  <c r="Y36" i="50"/>
  <c r="AA36" i="50"/>
  <c r="AC36" i="50"/>
  <c r="AD36" i="50"/>
  <c r="AE36" i="50"/>
  <c r="AG36" i="50"/>
  <c r="AI36" i="50"/>
  <c r="AK36" i="50"/>
  <c r="AM36" i="50"/>
  <c r="AN36" i="50"/>
  <c r="AO36" i="50"/>
  <c r="AQ36" i="50"/>
  <c r="AR36" i="50"/>
  <c r="AS36" i="50"/>
  <c r="AU36" i="50"/>
  <c r="AV36" i="50"/>
  <c r="AW36" i="50"/>
  <c r="AX36" i="50"/>
  <c r="AY36" i="50"/>
  <c r="AZ36" i="50"/>
  <c r="BA36" i="50"/>
  <c r="BC36" i="50"/>
  <c r="BD36" i="50"/>
  <c r="BE36" i="50"/>
  <c r="BF36" i="50"/>
  <c r="BG36" i="50"/>
  <c r="BH36" i="50"/>
  <c r="BI36" i="50"/>
  <c r="BJ36" i="50"/>
  <c r="BK36" i="50"/>
  <c r="BL36" i="50"/>
  <c r="BM36" i="50"/>
  <c r="BN36" i="50"/>
  <c r="BO36" i="50"/>
  <c r="BP36" i="50"/>
  <c r="BQ36" i="50"/>
  <c r="BR36" i="50"/>
  <c r="BS36" i="50"/>
  <c r="BT36" i="50"/>
  <c r="BU36" i="50"/>
  <c r="A37" i="50"/>
  <c r="B37" i="50"/>
  <c r="C37" i="50"/>
  <c r="D37" i="50"/>
  <c r="E37" i="50"/>
  <c r="F37" i="50"/>
  <c r="G37" i="50"/>
  <c r="H37" i="50"/>
  <c r="I37" i="50"/>
  <c r="J37" i="50"/>
  <c r="K37" i="50"/>
  <c r="M37" i="50"/>
  <c r="N37" i="50"/>
  <c r="O37" i="50"/>
  <c r="P37" i="50"/>
  <c r="Q37" i="50"/>
  <c r="S37" i="50"/>
  <c r="U37" i="50"/>
  <c r="W37" i="50"/>
  <c r="X37" i="50"/>
  <c r="Y37" i="50"/>
  <c r="AA37" i="50"/>
  <c r="AC37" i="50"/>
  <c r="AD37" i="50"/>
  <c r="AE37" i="50"/>
  <c r="AG37" i="50"/>
  <c r="AI37" i="50"/>
  <c r="AK37" i="50"/>
  <c r="AM37" i="50"/>
  <c r="AN37" i="50"/>
  <c r="AO37" i="50"/>
  <c r="AQ37" i="50"/>
  <c r="AR37" i="50"/>
  <c r="AS37" i="50"/>
  <c r="AU37" i="50"/>
  <c r="AV37" i="50"/>
  <c r="AW37" i="50"/>
  <c r="AX37" i="50"/>
  <c r="AY37" i="50"/>
  <c r="AZ37" i="50"/>
  <c r="BA37" i="50"/>
  <c r="BC37" i="50"/>
  <c r="BD37" i="50"/>
  <c r="BE37" i="50"/>
  <c r="BF37" i="50"/>
  <c r="BG37" i="50"/>
  <c r="BH37" i="50"/>
  <c r="BI37" i="50"/>
  <c r="BJ37" i="50"/>
  <c r="BK37" i="50"/>
  <c r="BL37" i="50"/>
  <c r="BM37" i="50"/>
  <c r="BN37" i="50"/>
  <c r="BO37" i="50"/>
  <c r="BP37" i="50"/>
  <c r="BQ37" i="50"/>
  <c r="BR37" i="50"/>
  <c r="BS37" i="50"/>
  <c r="BT37" i="50"/>
  <c r="BU37" i="50"/>
  <c r="A38" i="50"/>
  <c r="B38" i="50"/>
  <c r="C38" i="50"/>
  <c r="D38" i="50"/>
  <c r="E38" i="50"/>
  <c r="F38" i="50"/>
  <c r="G38" i="50"/>
  <c r="H38" i="50"/>
  <c r="I38" i="50"/>
  <c r="J38" i="50"/>
  <c r="K38" i="50"/>
  <c r="M38" i="50"/>
  <c r="N38" i="50"/>
  <c r="O38" i="50"/>
  <c r="P38" i="50"/>
  <c r="Q38" i="50"/>
  <c r="S38" i="50"/>
  <c r="U38" i="50"/>
  <c r="W38" i="50"/>
  <c r="X38" i="50"/>
  <c r="Y38" i="50"/>
  <c r="AA38" i="50"/>
  <c r="AC38" i="50"/>
  <c r="AD38" i="50"/>
  <c r="AE38" i="50"/>
  <c r="AG38" i="50"/>
  <c r="AI38" i="50"/>
  <c r="AK38" i="50"/>
  <c r="AM38" i="50"/>
  <c r="AN38" i="50"/>
  <c r="AO38" i="50"/>
  <c r="AQ38" i="50"/>
  <c r="AR38" i="50"/>
  <c r="AS38" i="50"/>
  <c r="AU38" i="50"/>
  <c r="AV38" i="50"/>
  <c r="AW38" i="50"/>
  <c r="AX38" i="50"/>
  <c r="AY38" i="50"/>
  <c r="AZ38" i="50"/>
  <c r="BA38" i="50"/>
  <c r="BC38" i="50"/>
  <c r="BD38" i="50"/>
  <c r="BE38" i="50"/>
  <c r="BF38" i="50"/>
  <c r="BG38" i="50"/>
  <c r="BH38" i="50"/>
  <c r="BI38" i="50"/>
  <c r="BJ38" i="50"/>
  <c r="BK38" i="50"/>
  <c r="BL38" i="50"/>
  <c r="BM38" i="50"/>
  <c r="BN38" i="50"/>
  <c r="BO38" i="50"/>
  <c r="BP38" i="50"/>
  <c r="BQ38" i="50"/>
  <c r="BR38" i="50"/>
  <c r="BS38" i="50"/>
  <c r="BT38" i="50"/>
  <c r="BU38" i="50"/>
  <c r="A39" i="50"/>
  <c r="B39" i="50"/>
  <c r="C39" i="50"/>
  <c r="D39" i="50"/>
  <c r="E39" i="50"/>
  <c r="F39" i="50"/>
  <c r="G39" i="50"/>
  <c r="H39" i="50"/>
  <c r="I39" i="50"/>
  <c r="J39" i="50"/>
  <c r="K39" i="50"/>
  <c r="M39" i="50"/>
  <c r="N39" i="50"/>
  <c r="O39" i="50"/>
  <c r="P39" i="50"/>
  <c r="Q39" i="50"/>
  <c r="S39" i="50"/>
  <c r="U39" i="50"/>
  <c r="W39" i="50"/>
  <c r="X39" i="50"/>
  <c r="Y39" i="50"/>
  <c r="AA39" i="50"/>
  <c r="AC39" i="50"/>
  <c r="AD39" i="50"/>
  <c r="AE39" i="50"/>
  <c r="AG39" i="50"/>
  <c r="AI39" i="50"/>
  <c r="AK39" i="50"/>
  <c r="AM39" i="50"/>
  <c r="AN39" i="50"/>
  <c r="AO39" i="50"/>
  <c r="AQ39" i="50"/>
  <c r="AR39" i="50"/>
  <c r="AS39" i="50"/>
  <c r="AU39" i="50"/>
  <c r="AV39" i="50"/>
  <c r="AW39" i="50"/>
  <c r="AX39" i="50"/>
  <c r="AY39" i="50"/>
  <c r="AZ39" i="50"/>
  <c r="BA39" i="50"/>
  <c r="BC39" i="50"/>
  <c r="BD39" i="50"/>
  <c r="BE39" i="50"/>
  <c r="BF39" i="50"/>
  <c r="BG39" i="50"/>
  <c r="BH39" i="50"/>
  <c r="BI39" i="50"/>
  <c r="BJ39" i="50"/>
  <c r="BK39" i="50"/>
  <c r="BL39" i="50"/>
  <c r="BM39" i="50"/>
  <c r="BN39" i="50"/>
  <c r="BO39" i="50"/>
  <c r="BP39" i="50"/>
  <c r="BQ39" i="50"/>
  <c r="BR39" i="50"/>
  <c r="BS39" i="50"/>
  <c r="BT39" i="50"/>
  <c r="BU39" i="50"/>
  <c r="A40" i="50"/>
  <c r="B40" i="50"/>
  <c r="C40" i="50"/>
  <c r="D40" i="50"/>
  <c r="E40" i="50"/>
  <c r="F40" i="50"/>
  <c r="G40" i="50"/>
  <c r="H40" i="50"/>
  <c r="I40" i="50"/>
  <c r="J40" i="50"/>
  <c r="K40" i="50"/>
  <c r="M40" i="50"/>
  <c r="N40" i="50"/>
  <c r="O40" i="50"/>
  <c r="P40" i="50"/>
  <c r="Q40" i="50"/>
  <c r="S40" i="50"/>
  <c r="U40" i="50"/>
  <c r="W40" i="50"/>
  <c r="X40" i="50"/>
  <c r="Y40" i="50"/>
  <c r="AA40" i="50"/>
  <c r="AC40" i="50"/>
  <c r="AD40" i="50"/>
  <c r="AE40" i="50"/>
  <c r="AG40" i="50"/>
  <c r="AI40" i="50"/>
  <c r="AK40" i="50"/>
  <c r="AM40" i="50"/>
  <c r="AN40" i="50"/>
  <c r="AO40" i="50"/>
  <c r="AQ40" i="50"/>
  <c r="AR40" i="50"/>
  <c r="AS40" i="50"/>
  <c r="AU40" i="50"/>
  <c r="AV40" i="50"/>
  <c r="AW40" i="50"/>
  <c r="AX40" i="50"/>
  <c r="AY40" i="50"/>
  <c r="AZ40" i="50"/>
  <c r="BA40" i="50"/>
  <c r="BC40" i="50"/>
  <c r="BD40" i="50"/>
  <c r="BE40" i="50"/>
  <c r="BF40" i="50"/>
  <c r="BG40" i="50"/>
  <c r="BH40" i="50"/>
  <c r="BI40" i="50"/>
  <c r="BJ40" i="50"/>
  <c r="BK40" i="50"/>
  <c r="BL40" i="50"/>
  <c r="BM40" i="50"/>
  <c r="BN40" i="50"/>
  <c r="BO40" i="50"/>
  <c r="BP40" i="50"/>
  <c r="BQ40" i="50"/>
  <c r="BR40" i="50"/>
  <c r="BS40" i="50"/>
  <c r="BT40" i="50"/>
  <c r="BU40" i="50"/>
  <c r="A41" i="50"/>
  <c r="B41" i="50"/>
  <c r="C41" i="50"/>
  <c r="D41" i="50"/>
  <c r="E41" i="50"/>
  <c r="F41" i="50"/>
  <c r="G41" i="50"/>
  <c r="H41" i="50"/>
  <c r="I41" i="50"/>
  <c r="J41" i="50"/>
  <c r="K41" i="50"/>
  <c r="M41" i="50"/>
  <c r="N41" i="50"/>
  <c r="O41" i="50"/>
  <c r="P41" i="50"/>
  <c r="Q41" i="50"/>
  <c r="S41" i="50"/>
  <c r="U41" i="50"/>
  <c r="W41" i="50"/>
  <c r="X41" i="50"/>
  <c r="Y41" i="50"/>
  <c r="AA41" i="50"/>
  <c r="AC41" i="50"/>
  <c r="AD41" i="50"/>
  <c r="AE41" i="50"/>
  <c r="AG41" i="50"/>
  <c r="AI41" i="50"/>
  <c r="AK41" i="50"/>
  <c r="AM41" i="50"/>
  <c r="AN41" i="50"/>
  <c r="AO41" i="50"/>
  <c r="AQ41" i="50"/>
  <c r="AR41" i="50"/>
  <c r="AS41" i="50"/>
  <c r="AU41" i="50"/>
  <c r="AV41" i="50"/>
  <c r="AW41" i="50"/>
  <c r="AX41" i="50"/>
  <c r="AY41" i="50"/>
  <c r="AZ41" i="50"/>
  <c r="BA41" i="50"/>
  <c r="BC41" i="50"/>
  <c r="BD41" i="50"/>
  <c r="BE41" i="50"/>
  <c r="BF41" i="50"/>
  <c r="BG41" i="50"/>
  <c r="BH41" i="50"/>
  <c r="BI41" i="50"/>
  <c r="BJ41" i="50"/>
  <c r="BK41" i="50"/>
  <c r="BL41" i="50"/>
  <c r="BM41" i="50"/>
  <c r="BN41" i="50"/>
  <c r="BO41" i="50"/>
  <c r="BP41" i="50"/>
  <c r="BQ41" i="50"/>
  <c r="BR41" i="50"/>
  <c r="BS41" i="50"/>
  <c r="BT41" i="50"/>
  <c r="BU41" i="50"/>
  <c r="A42" i="50"/>
  <c r="B42" i="50"/>
  <c r="C42" i="50"/>
  <c r="D42" i="50"/>
  <c r="E42" i="50"/>
  <c r="F42" i="50"/>
  <c r="G42" i="50"/>
  <c r="H42" i="50"/>
  <c r="I42" i="50"/>
  <c r="J42" i="50"/>
  <c r="K42" i="50"/>
  <c r="M42" i="50"/>
  <c r="N42" i="50"/>
  <c r="O42" i="50"/>
  <c r="P42" i="50"/>
  <c r="Q42" i="50"/>
  <c r="S42" i="50"/>
  <c r="U42" i="50"/>
  <c r="W42" i="50"/>
  <c r="X42" i="50"/>
  <c r="Y42" i="50"/>
  <c r="AA42" i="50"/>
  <c r="AC42" i="50"/>
  <c r="AD42" i="50"/>
  <c r="AE42" i="50"/>
  <c r="AG42" i="50"/>
  <c r="AI42" i="50"/>
  <c r="AK42" i="50"/>
  <c r="AM42" i="50"/>
  <c r="AN42" i="50"/>
  <c r="AO42" i="50"/>
  <c r="AQ42" i="50"/>
  <c r="AR42" i="50"/>
  <c r="AS42" i="50"/>
  <c r="AU42" i="50"/>
  <c r="AV42" i="50"/>
  <c r="AW42" i="50"/>
  <c r="AX42" i="50"/>
  <c r="AY42" i="50"/>
  <c r="AZ42" i="50"/>
  <c r="BA42" i="50"/>
  <c r="BC42" i="50"/>
  <c r="BD42" i="50"/>
  <c r="BE42" i="50"/>
  <c r="BF42" i="50"/>
  <c r="BG42" i="50"/>
  <c r="BH42" i="50"/>
  <c r="BI42" i="50"/>
  <c r="BJ42" i="50"/>
  <c r="BK42" i="50"/>
  <c r="BL42" i="50"/>
  <c r="BM42" i="50"/>
  <c r="BN42" i="50"/>
  <c r="BO42" i="50"/>
  <c r="BP42" i="50"/>
  <c r="BQ42" i="50"/>
  <c r="BR42" i="50"/>
  <c r="BS42" i="50"/>
  <c r="BT42" i="50"/>
  <c r="BU42" i="50"/>
  <c r="A43" i="50"/>
  <c r="B43" i="50"/>
  <c r="C43" i="50"/>
  <c r="D43" i="50"/>
  <c r="E43" i="50"/>
  <c r="F43" i="50"/>
  <c r="G43" i="50"/>
  <c r="H43" i="50"/>
  <c r="I43" i="50"/>
  <c r="J43" i="50"/>
  <c r="K43" i="50"/>
  <c r="M43" i="50"/>
  <c r="N43" i="50"/>
  <c r="O43" i="50"/>
  <c r="P43" i="50"/>
  <c r="Q43" i="50"/>
  <c r="S43" i="50"/>
  <c r="U43" i="50"/>
  <c r="W43" i="50"/>
  <c r="X43" i="50"/>
  <c r="Y43" i="50"/>
  <c r="AA43" i="50"/>
  <c r="AC43" i="50"/>
  <c r="AD43" i="50"/>
  <c r="AE43" i="50"/>
  <c r="AG43" i="50"/>
  <c r="AI43" i="50"/>
  <c r="AK43" i="50"/>
  <c r="AM43" i="50"/>
  <c r="AN43" i="50"/>
  <c r="AO43" i="50"/>
  <c r="AQ43" i="50"/>
  <c r="AR43" i="50"/>
  <c r="AS43" i="50"/>
  <c r="AU43" i="50"/>
  <c r="AV43" i="50"/>
  <c r="AW43" i="50"/>
  <c r="AX43" i="50"/>
  <c r="AY43" i="50"/>
  <c r="AZ43" i="50"/>
  <c r="BA43" i="50"/>
  <c r="BC43" i="50"/>
  <c r="BD43" i="50"/>
  <c r="BE43" i="50"/>
  <c r="BF43" i="50"/>
  <c r="BG43" i="50"/>
  <c r="BH43" i="50"/>
  <c r="BI43" i="50"/>
  <c r="BJ43" i="50"/>
  <c r="BK43" i="50"/>
  <c r="BL43" i="50"/>
  <c r="BM43" i="50"/>
  <c r="BN43" i="50"/>
  <c r="BO43" i="50"/>
  <c r="BP43" i="50"/>
  <c r="BQ43" i="50"/>
  <c r="BR43" i="50"/>
  <c r="BS43" i="50"/>
  <c r="BT43" i="50"/>
  <c r="BU43" i="50"/>
  <c r="A44" i="50"/>
  <c r="B44" i="50"/>
  <c r="C44" i="50"/>
  <c r="D44" i="50"/>
  <c r="E44" i="50"/>
  <c r="F44" i="50"/>
  <c r="G44" i="50"/>
  <c r="H44" i="50"/>
  <c r="I44" i="50"/>
  <c r="J44" i="50"/>
  <c r="K44" i="50"/>
  <c r="M44" i="50"/>
  <c r="N44" i="50"/>
  <c r="O44" i="50"/>
  <c r="P44" i="50"/>
  <c r="Q44" i="50"/>
  <c r="S44" i="50"/>
  <c r="U44" i="50"/>
  <c r="W44" i="50"/>
  <c r="X44" i="50"/>
  <c r="Y44" i="50"/>
  <c r="AA44" i="50"/>
  <c r="AC44" i="50"/>
  <c r="AD44" i="50"/>
  <c r="AE44" i="50"/>
  <c r="AG44" i="50"/>
  <c r="AI44" i="50"/>
  <c r="AK44" i="50"/>
  <c r="AM44" i="50"/>
  <c r="AN44" i="50"/>
  <c r="AO44" i="50"/>
  <c r="AQ44" i="50"/>
  <c r="AR44" i="50"/>
  <c r="AS44" i="50"/>
  <c r="AU44" i="50"/>
  <c r="AV44" i="50"/>
  <c r="AW44" i="50"/>
  <c r="AX44" i="50"/>
  <c r="AY44" i="50"/>
  <c r="AZ44" i="50"/>
  <c r="BA44" i="50"/>
  <c r="BC44" i="50"/>
  <c r="BD44" i="50"/>
  <c r="BE44" i="50"/>
  <c r="BF44" i="50"/>
  <c r="BG44" i="50"/>
  <c r="BH44" i="50"/>
  <c r="BI44" i="50"/>
  <c r="BJ44" i="50"/>
  <c r="BK44" i="50"/>
  <c r="BL44" i="50"/>
  <c r="BM44" i="50"/>
  <c r="BN44" i="50"/>
  <c r="BO44" i="50"/>
  <c r="BP44" i="50"/>
  <c r="BQ44" i="50"/>
  <c r="BR44" i="50"/>
  <c r="BS44" i="50"/>
  <c r="BT44" i="50"/>
  <c r="BU44" i="50"/>
  <c r="A45" i="50"/>
  <c r="B45" i="50"/>
  <c r="C45" i="50"/>
  <c r="D45" i="50"/>
  <c r="E45" i="50"/>
  <c r="F45" i="50"/>
  <c r="G45" i="50"/>
  <c r="H45" i="50"/>
  <c r="I45" i="50"/>
  <c r="J45" i="50"/>
  <c r="K45" i="50"/>
  <c r="M45" i="50"/>
  <c r="N45" i="50"/>
  <c r="O45" i="50"/>
  <c r="P45" i="50"/>
  <c r="Q45" i="50"/>
  <c r="S45" i="50"/>
  <c r="U45" i="50"/>
  <c r="W45" i="50"/>
  <c r="X45" i="50"/>
  <c r="Y45" i="50"/>
  <c r="AA45" i="50"/>
  <c r="AC45" i="50"/>
  <c r="AD45" i="50"/>
  <c r="AE45" i="50"/>
  <c r="AG45" i="50"/>
  <c r="AI45" i="50"/>
  <c r="AK45" i="50"/>
  <c r="AM45" i="50"/>
  <c r="AN45" i="50"/>
  <c r="AO45" i="50"/>
  <c r="AQ45" i="50"/>
  <c r="AR45" i="50"/>
  <c r="AS45" i="50"/>
  <c r="AU45" i="50"/>
  <c r="AV45" i="50"/>
  <c r="AW45" i="50"/>
  <c r="AX45" i="50"/>
  <c r="AY45" i="50"/>
  <c r="AZ45" i="50"/>
  <c r="BA45" i="50"/>
  <c r="BC45" i="50"/>
  <c r="BD45" i="50"/>
  <c r="BE45" i="50"/>
  <c r="BF45" i="50"/>
  <c r="BG45" i="50"/>
  <c r="BH45" i="50"/>
  <c r="BI45" i="50"/>
  <c r="BJ45" i="50"/>
  <c r="BK45" i="50"/>
  <c r="BL45" i="50"/>
  <c r="BM45" i="50"/>
  <c r="BN45" i="50"/>
  <c r="BO45" i="50"/>
  <c r="BP45" i="50"/>
  <c r="BQ45" i="50"/>
  <c r="BR45" i="50"/>
  <c r="BS45" i="50"/>
  <c r="BT45" i="50"/>
  <c r="BU45" i="50"/>
  <c r="A46" i="50"/>
  <c r="B46" i="50"/>
  <c r="C46" i="50"/>
  <c r="D46" i="50"/>
  <c r="E46" i="50"/>
  <c r="F46" i="50"/>
  <c r="G46" i="50"/>
  <c r="H46" i="50"/>
  <c r="I46" i="50"/>
  <c r="J46" i="50"/>
  <c r="K46" i="50"/>
  <c r="M46" i="50"/>
  <c r="N46" i="50"/>
  <c r="O46" i="50"/>
  <c r="P46" i="50"/>
  <c r="Q46" i="50"/>
  <c r="S46" i="50"/>
  <c r="U46" i="50"/>
  <c r="W46" i="50"/>
  <c r="X46" i="50"/>
  <c r="Y46" i="50"/>
  <c r="AA46" i="50"/>
  <c r="AC46" i="50"/>
  <c r="AD46" i="50"/>
  <c r="AE46" i="50"/>
  <c r="AG46" i="50"/>
  <c r="AI46" i="50"/>
  <c r="AK46" i="50"/>
  <c r="AM46" i="50"/>
  <c r="AN46" i="50"/>
  <c r="AO46" i="50"/>
  <c r="AQ46" i="50"/>
  <c r="AR46" i="50"/>
  <c r="AS46" i="50"/>
  <c r="AU46" i="50"/>
  <c r="AV46" i="50"/>
  <c r="AW46" i="50"/>
  <c r="AX46" i="50"/>
  <c r="AY46" i="50"/>
  <c r="AZ46" i="50"/>
  <c r="BA46" i="50"/>
  <c r="BC46" i="50"/>
  <c r="BD46" i="50"/>
  <c r="BE46" i="50"/>
  <c r="BF46" i="50"/>
  <c r="BG46" i="50"/>
  <c r="BH46" i="50"/>
  <c r="BI46" i="50"/>
  <c r="BJ46" i="50"/>
  <c r="BK46" i="50"/>
  <c r="BL46" i="50"/>
  <c r="BM46" i="50"/>
  <c r="BN46" i="50"/>
  <c r="BO46" i="50"/>
  <c r="BP46" i="50"/>
  <c r="BQ46" i="50"/>
  <c r="BR46" i="50"/>
  <c r="BS46" i="50"/>
  <c r="BT46" i="50"/>
  <c r="BU46" i="50"/>
  <c r="A47" i="50"/>
  <c r="B47" i="50"/>
  <c r="C47" i="50"/>
  <c r="D47" i="50"/>
  <c r="E47" i="50"/>
  <c r="F47" i="50"/>
  <c r="G47" i="50"/>
  <c r="H47" i="50"/>
  <c r="I47" i="50"/>
  <c r="J47" i="50"/>
  <c r="K47" i="50"/>
  <c r="M47" i="50"/>
  <c r="N47" i="50"/>
  <c r="O47" i="50"/>
  <c r="P47" i="50"/>
  <c r="Q47" i="50"/>
  <c r="S47" i="50"/>
  <c r="U47" i="50"/>
  <c r="W47" i="50"/>
  <c r="X47" i="50"/>
  <c r="Y47" i="50"/>
  <c r="AA47" i="50"/>
  <c r="AC47" i="50"/>
  <c r="AD47" i="50"/>
  <c r="AE47" i="50"/>
  <c r="AG47" i="50"/>
  <c r="AI47" i="50"/>
  <c r="AK47" i="50"/>
  <c r="AM47" i="50"/>
  <c r="AN47" i="50"/>
  <c r="AO47" i="50"/>
  <c r="AQ47" i="50"/>
  <c r="AR47" i="50"/>
  <c r="AS47" i="50"/>
  <c r="AU47" i="50"/>
  <c r="AV47" i="50"/>
  <c r="AW47" i="50"/>
  <c r="AX47" i="50"/>
  <c r="AY47" i="50"/>
  <c r="AZ47" i="50"/>
  <c r="BA47" i="50"/>
  <c r="BC47" i="50"/>
  <c r="BD47" i="50"/>
  <c r="BE47" i="50"/>
  <c r="BF47" i="50"/>
  <c r="BG47" i="50"/>
  <c r="BH47" i="50"/>
  <c r="BI47" i="50"/>
  <c r="BJ47" i="50"/>
  <c r="BK47" i="50"/>
  <c r="BL47" i="50"/>
  <c r="BM47" i="50"/>
  <c r="BN47" i="50"/>
  <c r="BO47" i="50"/>
  <c r="BP47" i="50"/>
  <c r="BQ47" i="50"/>
  <c r="BR47" i="50"/>
  <c r="BS47" i="50"/>
  <c r="BT47" i="50"/>
  <c r="BU47" i="50"/>
  <c r="A48" i="50"/>
  <c r="B48" i="50"/>
  <c r="C48" i="50"/>
  <c r="D48" i="50"/>
  <c r="E48" i="50"/>
  <c r="F48" i="50"/>
  <c r="G48" i="50"/>
  <c r="H48" i="50"/>
  <c r="I48" i="50"/>
  <c r="J48" i="50"/>
  <c r="K48" i="50"/>
  <c r="M48" i="50"/>
  <c r="N48" i="50"/>
  <c r="O48" i="50"/>
  <c r="P48" i="50"/>
  <c r="Q48" i="50"/>
  <c r="S48" i="50"/>
  <c r="U48" i="50"/>
  <c r="W48" i="50"/>
  <c r="X48" i="50"/>
  <c r="Y48" i="50"/>
  <c r="AA48" i="50"/>
  <c r="AC48" i="50"/>
  <c r="AD48" i="50"/>
  <c r="AE48" i="50"/>
  <c r="AG48" i="50"/>
  <c r="AI48" i="50"/>
  <c r="AK48" i="50"/>
  <c r="AM48" i="50"/>
  <c r="AN48" i="50"/>
  <c r="AO48" i="50"/>
  <c r="AQ48" i="50"/>
  <c r="AR48" i="50"/>
  <c r="AS48" i="50"/>
  <c r="AU48" i="50"/>
  <c r="AV48" i="50"/>
  <c r="AW48" i="50"/>
  <c r="AX48" i="50"/>
  <c r="AY48" i="50"/>
  <c r="AZ48" i="50"/>
  <c r="BA48" i="50"/>
  <c r="BC48" i="50"/>
  <c r="BD48" i="50"/>
  <c r="BE48" i="50"/>
  <c r="BF48" i="50"/>
  <c r="BG48" i="50"/>
  <c r="BH48" i="50"/>
  <c r="BI48" i="50"/>
  <c r="BJ48" i="50"/>
  <c r="BK48" i="50"/>
  <c r="BL48" i="50"/>
  <c r="BM48" i="50"/>
  <c r="BN48" i="50"/>
  <c r="BO48" i="50"/>
  <c r="BP48" i="50"/>
  <c r="BQ48" i="50"/>
  <c r="BR48" i="50"/>
  <c r="BS48" i="50"/>
  <c r="BT48" i="50"/>
  <c r="BU48" i="50"/>
  <c r="A49" i="50"/>
  <c r="B49" i="50"/>
  <c r="C49" i="50"/>
  <c r="D49" i="50"/>
  <c r="E49" i="50"/>
  <c r="F49" i="50"/>
  <c r="G49" i="50"/>
  <c r="H49" i="50"/>
  <c r="I49" i="50"/>
  <c r="J49" i="50"/>
  <c r="K49" i="50"/>
  <c r="M49" i="50"/>
  <c r="N49" i="50"/>
  <c r="O49" i="50"/>
  <c r="P49" i="50"/>
  <c r="Q49" i="50"/>
  <c r="S49" i="50"/>
  <c r="U49" i="50"/>
  <c r="W49" i="50"/>
  <c r="X49" i="50"/>
  <c r="Y49" i="50"/>
  <c r="AA49" i="50"/>
  <c r="AC49" i="50"/>
  <c r="AD49" i="50"/>
  <c r="AE49" i="50"/>
  <c r="AG49" i="50"/>
  <c r="AI49" i="50"/>
  <c r="AK49" i="50"/>
  <c r="AM49" i="50"/>
  <c r="AN49" i="50"/>
  <c r="AO49" i="50"/>
  <c r="AQ49" i="50"/>
  <c r="AR49" i="50"/>
  <c r="AS49" i="50"/>
  <c r="AU49" i="50"/>
  <c r="AV49" i="50"/>
  <c r="AW49" i="50"/>
  <c r="AX49" i="50"/>
  <c r="AY49" i="50"/>
  <c r="AZ49" i="50"/>
  <c r="BA49" i="50"/>
  <c r="BC49" i="50"/>
  <c r="BD49" i="50"/>
  <c r="BE49" i="50"/>
  <c r="BF49" i="50"/>
  <c r="BG49" i="50"/>
  <c r="BH49" i="50"/>
  <c r="BI49" i="50"/>
  <c r="BJ49" i="50"/>
  <c r="BK49" i="50"/>
  <c r="BL49" i="50"/>
  <c r="BM49" i="50"/>
  <c r="BN49" i="50"/>
  <c r="BO49" i="50"/>
  <c r="BP49" i="50"/>
  <c r="BQ49" i="50"/>
  <c r="BR49" i="50"/>
  <c r="BS49" i="50"/>
  <c r="BT49" i="50"/>
  <c r="BU49" i="50"/>
  <c r="A50" i="50"/>
  <c r="B50" i="50"/>
  <c r="C50" i="50"/>
  <c r="D50" i="50"/>
  <c r="E50" i="50"/>
  <c r="F50" i="50"/>
  <c r="G50" i="50"/>
  <c r="H50" i="50"/>
  <c r="I50" i="50"/>
  <c r="J50" i="50"/>
  <c r="K50" i="50"/>
  <c r="M50" i="50"/>
  <c r="N50" i="50"/>
  <c r="O50" i="50"/>
  <c r="P50" i="50"/>
  <c r="Q50" i="50"/>
  <c r="S50" i="50"/>
  <c r="U50" i="50"/>
  <c r="W50" i="50"/>
  <c r="X50" i="50"/>
  <c r="Y50" i="50"/>
  <c r="AA50" i="50"/>
  <c r="AC50" i="50"/>
  <c r="AD50" i="50"/>
  <c r="AE50" i="50"/>
  <c r="AG50" i="50"/>
  <c r="AI50" i="50"/>
  <c r="AK50" i="50"/>
  <c r="AM50" i="50"/>
  <c r="AN50" i="50"/>
  <c r="AO50" i="50"/>
  <c r="AQ50" i="50"/>
  <c r="AR50" i="50"/>
  <c r="AS50" i="50"/>
  <c r="AU50" i="50"/>
  <c r="AV50" i="50"/>
  <c r="AW50" i="50"/>
  <c r="AX50" i="50"/>
  <c r="AY50" i="50"/>
  <c r="AZ50" i="50"/>
  <c r="BA50" i="50"/>
  <c r="BC50" i="50"/>
  <c r="BD50" i="50"/>
  <c r="BE50" i="50"/>
  <c r="BF50" i="50"/>
  <c r="BG50" i="50"/>
  <c r="BH50" i="50"/>
  <c r="BI50" i="50"/>
  <c r="BJ50" i="50"/>
  <c r="BK50" i="50"/>
  <c r="BL50" i="50"/>
  <c r="BM50" i="50"/>
  <c r="BN50" i="50"/>
  <c r="BO50" i="50"/>
  <c r="BP50" i="50"/>
  <c r="BQ50" i="50"/>
  <c r="BR50" i="50"/>
  <c r="BS50" i="50"/>
  <c r="BT50" i="50"/>
  <c r="BU50" i="50"/>
  <c r="A51" i="50"/>
  <c r="B51" i="50"/>
  <c r="C51" i="50"/>
  <c r="D51" i="50"/>
  <c r="E51" i="50"/>
  <c r="F51" i="50"/>
  <c r="G51" i="50"/>
  <c r="H51" i="50"/>
  <c r="I51" i="50"/>
  <c r="J51" i="50"/>
  <c r="K51" i="50"/>
  <c r="M51" i="50"/>
  <c r="N51" i="50"/>
  <c r="O51" i="50"/>
  <c r="P51" i="50"/>
  <c r="Q51" i="50"/>
  <c r="S51" i="50"/>
  <c r="U51" i="50"/>
  <c r="W51" i="50"/>
  <c r="X51" i="50"/>
  <c r="Y51" i="50"/>
  <c r="AA51" i="50"/>
  <c r="AC51" i="50"/>
  <c r="AD51" i="50"/>
  <c r="AE51" i="50"/>
  <c r="AG51" i="50"/>
  <c r="AI51" i="50"/>
  <c r="AK51" i="50"/>
  <c r="AM51" i="50"/>
  <c r="AN51" i="50"/>
  <c r="AO51" i="50"/>
  <c r="AQ51" i="50"/>
  <c r="AR51" i="50"/>
  <c r="AS51" i="50"/>
  <c r="AU51" i="50"/>
  <c r="AV51" i="50"/>
  <c r="AW51" i="50"/>
  <c r="AX51" i="50"/>
  <c r="AY51" i="50"/>
  <c r="AZ51" i="50"/>
  <c r="BA51" i="50"/>
  <c r="BC51" i="50"/>
  <c r="BD51" i="50"/>
  <c r="BE51" i="50"/>
  <c r="BF51" i="50"/>
  <c r="BG51" i="50"/>
  <c r="BH51" i="50"/>
  <c r="BI51" i="50"/>
  <c r="BJ51" i="50"/>
  <c r="BK51" i="50"/>
  <c r="BL51" i="50"/>
  <c r="BM51" i="50"/>
  <c r="BN51" i="50"/>
  <c r="BO51" i="50"/>
  <c r="BP51" i="50"/>
  <c r="BQ51" i="50"/>
  <c r="BR51" i="50"/>
  <c r="BS51" i="50"/>
  <c r="BT51" i="50"/>
  <c r="BU51" i="50"/>
  <c r="A52" i="50"/>
  <c r="B52" i="50"/>
  <c r="C52" i="50"/>
  <c r="D52" i="50"/>
  <c r="E52" i="50"/>
  <c r="F52" i="50"/>
  <c r="G52" i="50"/>
  <c r="H52" i="50"/>
  <c r="I52" i="50"/>
  <c r="J52" i="50"/>
  <c r="K52" i="50"/>
  <c r="M52" i="50"/>
  <c r="N52" i="50"/>
  <c r="O52" i="50"/>
  <c r="P52" i="50"/>
  <c r="Q52" i="50"/>
  <c r="S52" i="50"/>
  <c r="U52" i="50"/>
  <c r="W52" i="50"/>
  <c r="X52" i="50"/>
  <c r="Y52" i="50"/>
  <c r="AA52" i="50"/>
  <c r="AC52" i="50"/>
  <c r="AD52" i="50"/>
  <c r="AE52" i="50"/>
  <c r="AG52" i="50"/>
  <c r="AI52" i="50"/>
  <c r="AK52" i="50"/>
  <c r="AM52" i="50"/>
  <c r="AN52" i="50"/>
  <c r="AO52" i="50"/>
  <c r="AQ52" i="50"/>
  <c r="AR52" i="50"/>
  <c r="AS52" i="50"/>
  <c r="AU52" i="50"/>
  <c r="AV52" i="50"/>
  <c r="AW52" i="50"/>
  <c r="AX52" i="50"/>
  <c r="AY52" i="50"/>
  <c r="AZ52" i="50"/>
  <c r="BA52" i="50"/>
  <c r="BC52" i="50"/>
  <c r="BD52" i="50"/>
  <c r="BE52" i="50"/>
  <c r="BF52" i="50"/>
  <c r="BG52" i="50"/>
  <c r="BH52" i="50"/>
  <c r="BI52" i="50"/>
  <c r="BJ52" i="50"/>
  <c r="BK52" i="50"/>
  <c r="BL52" i="50"/>
  <c r="BM52" i="50"/>
  <c r="BN52" i="50"/>
  <c r="BO52" i="50"/>
  <c r="BP52" i="50"/>
  <c r="BQ52" i="50"/>
  <c r="BR52" i="50"/>
  <c r="BS52" i="50"/>
  <c r="BT52" i="50"/>
  <c r="BU52" i="50"/>
  <c r="A53" i="50"/>
  <c r="B53" i="50"/>
  <c r="C53" i="50"/>
  <c r="D53" i="50"/>
  <c r="E53" i="50"/>
  <c r="F53" i="50"/>
  <c r="G53" i="50"/>
  <c r="H53" i="50"/>
  <c r="I53" i="50"/>
  <c r="J53" i="50"/>
  <c r="K53" i="50"/>
  <c r="M53" i="50"/>
  <c r="N53" i="50"/>
  <c r="O53" i="50"/>
  <c r="P53" i="50"/>
  <c r="Q53" i="50"/>
  <c r="S53" i="50"/>
  <c r="U53" i="50"/>
  <c r="W53" i="50"/>
  <c r="X53" i="50"/>
  <c r="Y53" i="50"/>
  <c r="AA53" i="50"/>
  <c r="AC53" i="50"/>
  <c r="AD53" i="50"/>
  <c r="AE53" i="50"/>
  <c r="AG53" i="50"/>
  <c r="AI53" i="50"/>
  <c r="AK53" i="50"/>
  <c r="AM53" i="50"/>
  <c r="AN53" i="50"/>
  <c r="AO53" i="50"/>
  <c r="AQ53" i="50"/>
  <c r="AR53" i="50"/>
  <c r="AS53" i="50"/>
  <c r="AU53" i="50"/>
  <c r="AV53" i="50"/>
  <c r="AW53" i="50"/>
  <c r="AX53" i="50"/>
  <c r="AY53" i="50"/>
  <c r="AZ53" i="50"/>
  <c r="BA53" i="50"/>
  <c r="BC53" i="50"/>
  <c r="BD53" i="50"/>
  <c r="BE53" i="50"/>
  <c r="BF53" i="50"/>
  <c r="BG53" i="50"/>
  <c r="BH53" i="50"/>
  <c r="BI53" i="50"/>
  <c r="BJ53" i="50"/>
  <c r="BK53" i="50"/>
  <c r="BL53" i="50"/>
  <c r="BM53" i="50"/>
  <c r="BN53" i="50"/>
  <c r="BO53" i="50"/>
  <c r="BP53" i="50"/>
  <c r="BQ53" i="50"/>
  <c r="BR53" i="50"/>
  <c r="BS53" i="50"/>
  <c r="BT53" i="50"/>
  <c r="BU53" i="50"/>
  <c r="A54" i="50"/>
  <c r="B54" i="50"/>
  <c r="C54" i="50"/>
  <c r="D54" i="50"/>
  <c r="E54" i="50"/>
  <c r="F54" i="50"/>
  <c r="G54" i="50"/>
  <c r="H54" i="50"/>
  <c r="I54" i="50"/>
  <c r="J54" i="50"/>
  <c r="K54" i="50"/>
  <c r="M54" i="50"/>
  <c r="N54" i="50"/>
  <c r="O54" i="50"/>
  <c r="P54" i="50"/>
  <c r="Q54" i="50"/>
  <c r="S54" i="50"/>
  <c r="U54" i="50"/>
  <c r="W54" i="50"/>
  <c r="X54" i="50"/>
  <c r="Y54" i="50"/>
  <c r="AA54" i="50"/>
  <c r="AC54" i="50"/>
  <c r="AD54" i="50"/>
  <c r="AE54" i="50"/>
  <c r="AG54" i="50"/>
  <c r="AI54" i="50"/>
  <c r="AK54" i="50"/>
  <c r="AM54" i="50"/>
  <c r="AN54" i="50"/>
  <c r="AO54" i="50"/>
  <c r="AQ54" i="50"/>
  <c r="AR54" i="50"/>
  <c r="AS54" i="50"/>
  <c r="AU54" i="50"/>
  <c r="AV54" i="50"/>
  <c r="AW54" i="50"/>
  <c r="AX54" i="50"/>
  <c r="AY54" i="50"/>
  <c r="AZ54" i="50"/>
  <c r="BA54" i="50"/>
  <c r="BC54" i="50"/>
  <c r="BD54" i="50"/>
  <c r="BE54" i="50"/>
  <c r="BF54" i="50"/>
  <c r="BG54" i="50"/>
  <c r="BH54" i="50"/>
  <c r="BI54" i="50"/>
  <c r="BJ54" i="50"/>
  <c r="BK54" i="50"/>
  <c r="BL54" i="50"/>
  <c r="BM54" i="50"/>
  <c r="BN54" i="50"/>
  <c r="BO54" i="50"/>
  <c r="BP54" i="50"/>
  <c r="BQ54" i="50"/>
  <c r="BR54" i="50"/>
  <c r="BS54" i="50"/>
  <c r="BT54" i="50"/>
  <c r="BU54" i="50"/>
  <c r="A55" i="50"/>
  <c r="B55" i="50"/>
  <c r="C55" i="50"/>
  <c r="D55" i="50"/>
  <c r="E55" i="50"/>
  <c r="F55" i="50"/>
  <c r="G55" i="50"/>
  <c r="H55" i="50"/>
  <c r="I55" i="50"/>
  <c r="J55" i="50"/>
  <c r="K55" i="50"/>
  <c r="M55" i="50"/>
  <c r="N55" i="50"/>
  <c r="O55" i="50"/>
  <c r="P55" i="50"/>
  <c r="Q55" i="50"/>
  <c r="S55" i="50"/>
  <c r="U55" i="50"/>
  <c r="W55" i="50"/>
  <c r="X55" i="50"/>
  <c r="Y55" i="50"/>
  <c r="AA55" i="50"/>
  <c r="AC55" i="50"/>
  <c r="AD55" i="50"/>
  <c r="AE55" i="50"/>
  <c r="AG55" i="50"/>
  <c r="AI55" i="50"/>
  <c r="AK55" i="50"/>
  <c r="AM55" i="50"/>
  <c r="AN55" i="50"/>
  <c r="AO55" i="50"/>
  <c r="AQ55" i="50"/>
  <c r="AR55" i="50"/>
  <c r="AS55" i="50"/>
  <c r="AU55" i="50"/>
  <c r="AV55" i="50"/>
  <c r="AW55" i="50"/>
  <c r="AX55" i="50"/>
  <c r="AY55" i="50"/>
  <c r="AZ55" i="50"/>
  <c r="BA55" i="50"/>
  <c r="BC55" i="50"/>
  <c r="BD55" i="50"/>
  <c r="BE55" i="50"/>
  <c r="BF55" i="50"/>
  <c r="BG55" i="50"/>
  <c r="BH55" i="50"/>
  <c r="BI55" i="50"/>
  <c r="BJ55" i="50"/>
  <c r="BK55" i="50"/>
  <c r="BL55" i="50"/>
  <c r="BM55" i="50"/>
  <c r="BN55" i="50"/>
  <c r="BO55" i="50"/>
  <c r="BP55" i="50"/>
  <c r="BQ55" i="50"/>
  <c r="BR55" i="50"/>
  <c r="BS55" i="50"/>
  <c r="BT55" i="50"/>
  <c r="BU55" i="50"/>
  <c r="A56" i="50"/>
  <c r="B56" i="50"/>
  <c r="C56" i="50"/>
  <c r="D56" i="50"/>
  <c r="E56" i="50"/>
  <c r="F56" i="50"/>
  <c r="G56" i="50"/>
  <c r="H56" i="50"/>
  <c r="I56" i="50"/>
  <c r="J56" i="50"/>
  <c r="K56" i="50"/>
  <c r="M56" i="50"/>
  <c r="N56" i="50"/>
  <c r="O56" i="50"/>
  <c r="P56" i="50"/>
  <c r="Q56" i="50"/>
  <c r="S56" i="50"/>
  <c r="U56" i="50"/>
  <c r="W56" i="50"/>
  <c r="X56" i="50"/>
  <c r="Y56" i="50"/>
  <c r="AA56" i="50"/>
  <c r="AC56" i="50"/>
  <c r="AD56" i="50"/>
  <c r="AE56" i="50"/>
  <c r="AG56" i="50"/>
  <c r="AI56" i="50"/>
  <c r="AK56" i="50"/>
  <c r="AM56" i="50"/>
  <c r="AN56" i="50"/>
  <c r="AO56" i="50"/>
  <c r="AQ56" i="50"/>
  <c r="AR56" i="50"/>
  <c r="AS56" i="50"/>
  <c r="AU56" i="50"/>
  <c r="AV56" i="50"/>
  <c r="AW56" i="50"/>
  <c r="AX56" i="50"/>
  <c r="AY56" i="50"/>
  <c r="AZ56" i="50"/>
  <c r="BA56" i="50"/>
  <c r="BC56" i="50"/>
  <c r="BD56" i="50"/>
  <c r="BE56" i="50"/>
  <c r="BF56" i="50"/>
  <c r="BG56" i="50"/>
  <c r="BH56" i="50"/>
  <c r="BI56" i="50"/>
  <c r="BJ56" i="50"/>
  <c r="BK56" i="50"/>
  <c r="BL56" i="50"/>
  <c r="BM56" i="50"/>
  <c r="BN56" i="50"/>
  <c r="BO56" i="50"/>
  <c r="BP56" i="50"/>
  <c r="BQ56" i="50"/>
  <c r="BR56" i="50"/>
  <c r="BS56" i="50"/>
  <c r="BT56" i="50"/>
  <c r="BU56" i="50"/>
  <c r="A57" i="50"/>
  <c r="B57" i="50"/>
  <c r="C57" i="50"/>
  <c r="D57" i="50"/>
  <c r="E57" i="50"/>
  <c r="F57" i="50"/>
  <c r="G57" i="50"/>
  <c r="H57" i="50"/>
  <c r="I57" i="50"/>
  <c r="J57" i="50"/>
  <c r="K57" i="50"/>
  <c r="M57" i="50"/>
  <c r="N57" i="50"/>
  <c r="O57" i="50"/>
  <c r="P57" i="50"/>
  <c r="Q57" i="50"/>
  <c r="S57" i="50"/>
  <c r="U57" i="50"/>
  <c r="W57" i="50"/>
  <c r="X57" i="50"/>
  <c r="Y57" i="50"/>
  <c r="AA57" i="50"/>
  <c r="AC57" i="50"/>
  <c r="AD57" i="50"/>
  <c r="AE57" i="50"/>
  <c r="AG57" i="50"/>
  <c r="AI57" i="50"/>
  <c r="AK57" i="50"/>
  <c r="AM57" i="50"/>
  <c r="AN57" i="50"/>
  <c r="AO57" i="50"/>
  <c r="AQ57" i="50"/>
  <c r="AR57" i="50"/>
  <c r="AS57" i="50"/>
  <c r="AU57" i="50"/>
  <c r="AV57" i="50"/>
  <c r="AW57" i="50"/>
  <c r="AX57" i="50"/>
  <c r="AY57" i="50"/>
  <c r="AZ57" i="50"/>
  <c r="BA57" i="50"/>
  <c r="BC57" i="50"/>
  <c r="BD57" i="50"/>
  <c r="BE57" i="50"/>
  <c r="BF57" i="50"/>
  <c r="BG57" i="50"/>
  <c r="BH57" i="50"/>
  <c r="BI57" i="50"/>
  <c r="BJ57" i="50"/>
  <c r="BK57" i="50"/>
  <c r="BL57" i="50"/>
  <c r="BM57" i="50"/>
  <c r="BN57" i="50"/>
  <c r="BO57" i="50"/>
  <c r="BP57" i="50"/>
  <c r="BQ57" i="50"/>
  <c r="BR57" i="50"/>
  <c r="BS57" i="50"/>
  <c r="BT57" i="50"/>
  <c r="BU57" i="50"/>
  <c r="A58" i="50"/>
  <c r="B58" i="50"/>
  <c r="C58" i="50"/>
  <c r="D58" i="50"/>
  <c r="E58" i="50"/>
  <c r="F58" i="50"/>
  <c r="G58" i="50"/>
  <c r="H58" i="50"/>
  <c r="I58" i="50"/>
  <c r="J58" i="50"/>
  <c r="K58" i="50"/>
  <c r="M58" i="50"/>
  <c r="N58" i="50"/>
  <c r="O58" i="50"/>
  <c r="P58" i="50"/>
  <c r="Q58" i="50"/>
  <c r="S58" i="50"/>
  <c r="U58" i="50"/>
  <c r="W58" i="50"/>
  <c r="X58" i="50"/>
  <c r="Y58" i="50"/>
  <c r="AA58" i="50"/>
  <c r="AC58" i="50"/>
  <c r="AD58" i="50"/>
  <c r="AE58" i="50"/>
  <c r="AG58" i="50"/>
  <c r="AI58" i="50"/>
  <c r="AK58" i="50"/>
  <c r="AM58" i="50"/>
  <c r="AN58" i="50"/>
  <c r="AO58" i="50"/>
  <c r="AQ58" i="50"/>
  <c r="AR58" i="50"/>
  <c r="AS58" i="50"/>
  <c r="AU58" i="50"/>
  <c r="AV58" i="50"/>
  <c r="AW58" i="50"/>
  <c r="AX58" i="50"/>
  <c r="AY58" i="50"/>
  <c r="AZ58" i="50"/>
  <c r="BA58" i="50"/>
  <c r="BC58" i="50"/>
  <c r="BD58" i="50"/>
  <c r="BE58" i="50"/>
  <c r="BF58" i="50"/>
  <c r="BG58" i="50"/>
  <c r="BH58" i="50"/>
  <c r="BI58" i="50"/>
  <c r="BJ58" i="50"/>
  <c r="BK58" i="50"/>
  <c r="BL58" i="50"/>
  <c r="BM58" i="50"/>
  <c r="BN58" i="50"/>
  <c r="BO58" i="50"/>
  <c r="BP58" i="50"/>
  <c r="BQ58" i="50"/>
  <c r="BR58" i="50"/>
  <c r="BS58" i="50"/>
  <c r="BT58" i="50"/>
  <c r="BU58" i="50"/>
  <c r="A59" i="50"/>
  <c r="B59" i="50"/>
  <c r="C59" i="50"/>
  <c r="D59" i="50"/>
  <c r="E59" i="50"/>
  <c r="F59" i="50"/>
  <c r="G59" i="50"/>
  <c r="H59" i="50"/>
  <c r="I59" i="50"/>
  <c r="J59" i="50"/>
  <c r="K59" i="50"/>
  <c r="M59" i="50"/>
  <c r="N59" i="50"/>
  <c r="O59" i="50"/>
  <c r="P59" i="50"/>
  <c r="Q59" i="50"/>
  <c r="S59" i="50"/>
  <c r="U59" i="50"/>
  <c r="W59" i="50"/>
  <c r="X59" i="50"/>
  <c r="Y59" i="50"/>
  <c r="AA59" i="50"/>
  <c r="AC59" i="50"/>
  <c r="AD59" i="50"/>
  <c r="AE59" i="50"/>
  <c r="AG59" i="50"/>
  <c r="AI59" i="50"/>
  <c r="AK59" i="50"/>
  <c r="AM59" i="50"/>
  <c r="AN59" i="50"/>
  <c r="AO59" i="50"/>
  <c r="AQ59" i="50"/>
  <c r="AR59" i="50"/>
  <c r="AS59" i="50"/>
  <c r="AU59" i="50"/>
  <c r="AV59" i="50"/>
  <c r="AW59" i="50"/>
  <c r="AX59" i="50"/>
  <c r="AY59" i="50"/>
  <c r="AZ59" i="50"/>
  <c r="BA59" i="50"/>
  <c r="BC59" i="50"/>
  <c r="BD59" i="50"/>
  <c r="BE59" i="50"/>
  <c r="BF59" i="50"/>
  <c r="BG59" i="50"/>
  <c r="BH59" i="50"/>
  <c r="BI59" i="50"/>
  <c r="BJ59" i="50"/>
  <c r="BK59" i="50"/>
  <c r="BL59" i="50"/>
  <c r="BM59" i="50"/>
  <c r="BN59" i="50"/>
  <c r="BO59" i="50"/>
  <c r="BP59" i="50"/>
  <c r="BQ59" i="50"/>
  <c r="BR59" i="50"/>
  <c r="BS59" i="50"/>
  <c r="BT59" i="50"/>
  <c r="BU59" i="50"/>
  <c r="A60" i="50"/>
  <c r="B60" i="50"/>
  <c r="C60" i="50"/>
  <c r="D60" i="50"/>
  <c r="E60" i="50"/>
  <c r="F60" i="50"/>
  <c r="G60" i="50"/>
  <c r="H60" i="50"/>
  <c r="I60" i="50"/>
  <c r="J60" i="50"/>
  <c r="K60" i="50"/>
  <c r="M60" i="50"/>
  <c r="N60" i="50"/>
  <c r="O60" i="50"/>
  <c r="P60" i="50"/>
  <c r="Q60" i="50"/>
  <c r="S60" i="50"/>
  <c r="U60" i="50"/>
  <c r="W60" i="50"/>
  <c r="X60" i="50"/>
  <c r="Y60" i="50"/>
  <c r="AA60" i="50"/>
  <c r="AC60" i="50"/>
  <c r="AD60" i="50"/>
  <c r="AE60" i="50"/>
  <c r="AG60" i="50"/>
  <c r="AI60" i="50"/>
  <c r="AK60" i="50"/>
  <c r="AM60" i="50"/>
  <c r="AN60" i="50"/>
  <c r="AO60" i="50"/>
  <c r="AQ60" i="50"/>
  <c r="AR60" i="50"/>
  <c r="AS60" i="50"/>
  <c r="AU60" i="50"/>
  <c r="AV60" i="50"/>
  <c r="AW60" i="50"/>
  <c r="AX60" i="50"/>
  <c r="AY60" i="50"/>
  <c r="AZ60" i="50"/>
  <c r="BA60" i="50"/>
  <c r="BC60" i="50"/>
  <c r="BD60" i="50"/>
  <c r="BE60" i="50"/>
  <c r="BF60" i="50"/>
  <c r="BG60" i="50"/>
  <c r="BH60" i="50"/>
  <c r="BI60" i="50"/>
  <c r="BJ60" i="50"/>
  <c r="BK60" i="50"/>
  <c r="BL60" i="50"/>
  <c r="BM60" i="50"/>
  <c r="BN60" i="50"/>
  <c r="BO60" i="50"/>
  <c r="BP60" i="50"/>
  <c r="BQ60" i="50"/>
  <c r="BR60" i="50"/>
  <c r="BS60" i="50"/>
  <c r="BT60" i="50"/>
  <c r="BU60" i="50"/>
  <c r="A61" i="50"/>
  <c r="B61" i="50"/>
  <c r="C61" i="50"/>
  <c r="D61" i="50"/>
  <c r="E61" i="50"/>
  <c r="F61" i="50"/>
  <c r="G61" i="50"/>
  <c r="H61" i="50"/>
  <c r="I61" i="50"/>
  <c r="J61" i="50"/>
  <c r="K61" i="50"/>
  <c r="M61" i="50"/>
  <c r="N61" i="50"/>
  <c r="O61" i="50"/>
  <c r="P61" i="50"/>
  <c r="Q61" i="50"/>
  <c r="S61" i="50"/>
  <c r="U61" i="50"/>
  <c r="W61" i="50"/>
  <c r="X61" i="50"/>
  <c r="Y61" i="50"/>
  <c r="AA61" i="50"/>
  <c r="AC61" i="50"/>
  <c r="AD61" i="50"/>
  <c r="AE61" i="50"/>
  <c r="AG61" i="50"/>
  <c r="AI61" i="50"/>
  <c r="AK61" i="50"/>
  <c r="AM61" i="50"/>
  <c r="AN61" i="50"/>
  <c r="AO61" i="50"/>
  <c r="AQ61" i="50"/>
  <c r="AR61" i="50"/>
  <c r="AS61" i="50"/>
  <c r="AU61" i="50"/>
  <c r="AV61" i="50"/>
  <c r="AW61" i="50"/>
  <c r="AX61" i="50"/>
  <c r="AY61" i="50"/>
  <c r="AZ61" i="50"/>
  <c r="BA61" i="50"/>
  <c r="BC61" i="50"/>
  <c r="BD61" i="50"/>
  <c r="BE61" i="50"/>
  <c r="BF61" i="50"/>
  <c r="BG61" i="50"/>
  <c r="BH61" i="50"/>
  <c r="BI61" i="50"/>
  <c r="BJ61" i="50"/>
  <c r="BK61" i="50"/>
  <c r="BL61" i="50"/>
  <c r="BM61" i="50"/>
  <c r="BN61" i="50"/>
  <c r="BO61" i="50"/>
  <c r="BP61" i="50"/>
  <c r="BQ61" i="50"/>
  <c r="BR61" i="50"/>
  <c r="BS61" i="50"/>
  <c r="BT61" i="50"/>
  <c r="BU61" i="50"/>
  <c r="A62" i="50"/>
  <c r="B62" i="50"/>
  <c r="C62" i="50"/>
  <c r="D62" i="50"/>
  <c r="E62" i="50"/>
  <c r="F62" i="50"/>
  <c r="G62" i="50"/>
  <c r="H62" i="50"/>
  <c r="I62" i="50"/>
  <c r="J62" i="50"/>
  <c r="K62" i="50"/>
  <c r="M62" i="50"/>
  <c r="N62" i="50"/>
  <c r="O62" i="50"/>
  <c r="P62" i="50"/>
  <c r="Q62" i="50"/>
  <c r="S62" i="50"/>
  <c r="U62" i="50"/>
  <c r="W62" i="50"/>
  <c r="X62" i="50"/>
  <c r="Y62" i="50"/>
  <c r="AA62" i="50"/>
  <c r="AC62" i="50"/>
  <c r="AD62" i="50"/>
  <c r="AE62" i="50"/>
  <c r="AG62" i="50"/>
  <c r="AI62" i="50"/>
  <c r="AK62" i="50"/>
  <c r="AM62" i="50"/>
  <c r="AN62" i="50"/>
  <c r="AO62" i="50"/>
  <c r="AQ62" i="50"/>
  <c r="AR62" i="50"/>
  <c r="AS62" i="50"/>
  <c r="AU62" i="50"/>
  <c r="AV62" i="50"/>
  <c r="AW62" i="50"/>
  <c r="AX62" i="50"/>
  <c r="AY62" i="50"/>
  <c r="AZ62" i="50"/>
  <c r="BA62" i="50"/>
  <c r="BC62" i="50"/>
  <c r="BD62" i="50"/>
  <c r="BE62" i="50"/>
  <c r="BF62" i="50"/>
  <c r="BG62" i="50"/>
  <c r="BH62" i="50"/>
  <c r="BI62" i="50"/>
  <c r="BJ62" i="50"/>
  <c r="BK62" i="50"/>
  <c r="BL62" i="50"/>
  <c r="BM62" i="50"/>
  <c r="BN62" i="50"/>
  <c r="BO62" i="50"/>
  <c r="BP62" i="50"/>
  <c r="BQ62" i="50"/>
  <c r="BR62" i="50"/>
  <c r="BS62" i="50"/>
  <c r="BT62" i="50"/>
  <c r="BU62" i="50"/>
  <c r="A63" i="50"/>
  <c r="B63" i="50"/>
  <c r="C63" i="50"/>
  <c r="D63" i="50"/>
  <c r="E63" i="50"/>
  <c r="F63" i="50"/>
  <c r="G63" i="50"/>
  <c r="H63" i="50"/>
  <c r="I63" i="50"/>
  <c r="J63" i="50"/>
  <c r="K63" i="50"/>
  <c r="M63" i="50"/>
  <c r="N63" i="50"/>
  <c r="O63" i="50"/>
  <c r="P63" i="50"/>
  <c r="Q63" i="50"/>
  <c r="S63" i="50"/>
  <c r="U63" i="50"/>
  <c r="W63" i="50"/>
  <c r="X63" i="50"/>
  <c r="Y63" i="50"/>
  <c r="AA63" i="50"/>
  <c r="AC63" i="50"/>
  <c r="AD63" i="50"/>
  <c r="AE63" i="50"/>
  <c r="AG63" i="50"/>
  <c r="AI63" i="50"/>
  <c r="AK63" i="50"/>
  <c r="AM63" i="50"/>
  <c r="AN63" i="50"/>
  <c r="AO63" i="50"/>
  <c r="AQ63" i="50"/>
  <c r="AR63" i="50"/>
  <c r="AS63" i="50"/>
  <c r="AU63" i="50"/>
  <c r="AV63" i="50"/>
  <c r="AW63" i="50"/>
  <c r="AX63" i="50"/>
  <c r="AY63" i="50"/>
  <c r="AZ63" i="50"/>
  <c r="BA63" i="50"/>
  <c r="BC63" i="50"/>
  <c r="BD63" i="50"/>
  <c r="BE63" i="50"/>
  <c r="BF63" i="50"/>
  <c r="BG63" i="50"/>
  <c r="BH63" i="50"/>
  <c r="BI63" i="50"/>
  <c r="BJ63" i="50"/>
  <c r="BK63" i="50"/>
  <c r="BL63" i="50"/>
  <c r="BM63" i="50"/>
  <c r="BN63" i="50"/>
  <c r="BO63" i="50"/>
  <c r="BP63" i="50"/>
  <c r="BQ63" i="50"/>
  <c r="BR63" i="50"/>
  <c r="BS63" i="50"/>
  <c r="BT63" i="50"/>
  <c r="BU63" i="50"/>
  <c r="A64" i="50"/>
  <c r="B64" i="50"/>
  <c r="C64" i="50"/>
  <c r="D64" i="50"/>
  <c r="E64" i="50"/>
  <c r="F64" i="50"/>
  <c r="G64" i="50"/>
  <c r="H64" i="50"/>
  <c r="I64" i="50"/>
  <c r="J64" i="50"/>
  <c r="K64" i="50"/>
  <c r="M64" i="50"/>
  <c r="N64" i="50"/>
  <c r="O64" i="50"/>
  <c r="P64" i="50"/>
  <c r="Q64" i="50"/>
  <c r="S64" i="50"/>
  <c r="U64" i="50"/>
  <c r="W64" i="50"/>
  <c r="X64" i="50"/>
  <c r="Y64" i="50"/>
  <c r="AA64" i="50"/>
  <c r="AC64" i="50"/>
  <c r="AD64" i="50"/>
  <c r="AE64" i="50"/>
  <c r="AG64" i="50"/>
  <c r="AI64" i="50"/>
  <c r="AK64" i="50"/>
  <c r="AM64" i="50"/>
  <c r="AN64" i="50"/>
  <c r="AO64" i="50"/>
  <c r="AQ64" i="50"/>
  <c r="AR64" i="50"/>
  <c r="AS64" i="50"/>
  <c r="AU64" i="50"/>
  <c r="AV64" i="50"/>
  <c r="AW64" i="50"/>
  <c r="AX64" i="50"/>
  <c r="AY64" i="50"/>
  <c r="AZ64" i="50"/>
  <c r="BA64" i="50"/>
  <c r="BC64" i="50"/>
  <c r="BD64" i="50"/>
  <c r="BE64" i="50"/>
  <c r="BF64" i="50"/>
  <c r="BG64" i="50"/>
  <c r="BH64" i="50"/>
  <c r="BI64" i="50"/>
  <c r="BJ64" i="50"/>
  <c r="BK64" i="50"/>
  <c r="BL64" i="50"/>
  <c r="BM64" i="50"/>
  <c r="BN64" i="50"/>
  <c r="BO64" i="50"/>
  <c r="BP64" i="50"/>
  <c r="BQ64" i="50"/>
  <c r="BR64" i="50"/>
  <c r="BS64" i="50"/>
  <c r="BT64" i="50"/>
  <c r="BU64" i="50"/>
  <c r="A65" i="50"/>
  <c r="B65" i="50"/>
  <c r="C65" i="50"/>
  <c r="D65" i="50"/>
  <c r="E65" i="50"/>
  <c r="F65" i="50"/>
  <c r="G65" i="50"/>
  <c r="H65" i="50"/>
  <c r="I65" i="50"/>
  <c r="J65" i="50"/>
  <c r="K65" i="50"/>
  <c r="M65" i="50"/>
  <c r="N65" i="50"/>
  <c r="O65" i="50"/>
  <c r="P65" i="50"/>
  <c r="Q65" i="50"/>
  <c r="S65" i="50"/>
  <c r="U65" i="50"/>
  <c r="W65" i="50"/>
  <c r="X65" i="50"/>
  <c r="Y65" i="50"/>
  <c r="AA65" i="50"/>
  <c r="AC65" i="50"/>
  <c r="AD65" i="50"/>
  <c r="AE65" i="50"/>
  <c r="AG65" i="50"/>
  <c r="AI65" i="50"/>
  <c r="AK65" i="50"/>
  <c r="AM65" i="50"/>
  <c r="AN65" i="50"/>
  <c r="AO65" i="50"/>
  <c r="AQ65" i="50"/>
  <c r="AR65" i="50"/>
  <c r="AS65" i="50"/>
  <c r="AU65" i="50"/>
  <c r="AV65" i="50"/>
  <c r="AW65" i="50"/>
  <c r="AX65" i="50"/>
  <c r="AY65" i="50"/>
  <c r="AZ65" i="50"/>
  <c r="BA65" i="50"/>
  <c r="BC65" i="50"/>
  <c r="BD65" i="50"/>
  <c r="BE65" i="50"/>
  <c r="BF65" i="50"/>
  <c r="BG65" i="50"/>
  <c r="BH65" i="50"/>
  <c r="BI65" i="50"/>
  <c r="BJ65" i="50"/>
  <c r="BK65" i="50"/>
  <c r="BL65" i="50"/>
  <c r="BM65" i="50"/>
  <c r="BN65" i="50"/>
  <c r="BO65" i="50"/>
  <c r="BP65" i="50"/>
  <c r="BQ65" i="50"/>
  <c r="BR65" i="50"/>
  <c r="BS65" i="50"/>
  <c r="BT65" i="50"/>
  <c r="BU65" i="50"/>
  <c r="A66" i="50"/>
  <c r="B66" i="50"/>
  <c r="C66" i="50"/>
  <c r="D66" i="50"/>
  <c r="E66" i="50"/>
  <c r="F66" i="50"/>
  <c r="G66" i="50"/>
  <c r="H66" i="50"/>
  <c r="I66" i="50"/>
  <c r="J66" i="50"/>
  <c r="K66" i="50"/>
  <c r="M66" i="50"/>
  <c r="N66" i="50"/>
  <c r="O66" i="50"/>
  <c r="P66" i="50"/>
  <c r="Q66" i="50"/>
  <c r="S66" i="50"/>
  <c r="U66" i="50"/>
  <c r="W66" i="50"/>
  <c r="X66" i="50"/>
  <c r="Y66" i="50"/>
  <c r="AA66" i="50"/>
  <c r="AC66" i="50"/>
  <c r="AD66" i="50"/>
  <c r="AE66" i="50"/>
  <c r="AG66" i="50"/>
  <c r="AI66" i="50"/>
  <c r="AK66" i="50"/>
  <c r="AM66" i="50"/>
  <c r="AN66" i="50"/>
  <c r="AO66" i="50"/>
  <c r="AQ66" i="50"/>
  <c r="AR66" i="50"/>
  <c r="AS66" i="50"/>
  <c r="AU66" i="50"/>
  <c r="AV66" i="50"/>
  <c r="AW66" i="50"/>
  <c r="AX66" i="50"/>
  <c r="AY66" i="50"/>
  <c r="AZ66" i="50"/>
  <c r="BA66" i="50"/>
  <c r="BC66" i="50"/>
  <c r="BD66" i="50"/>
  <c r="BE66" i="50"/>
  <c r="BF66" i="50"/>
  <c r="BG66" i="50"/>
  <c r="BH66" i="50"/>
  <c r="BI66" i="50"/>
  <c r="BJ66" i="50"/>
  <c r="BK66" i="50"/>
  <c r="BL66" i="50"/>
  <c r="BM66" i="50"/>
  <c r="BN66" i="50"/>
  <c r="BO66" i="50"/>
  <c r="BP66" i="50"/>
  <c r="BQ66" i="50"/>
  <c r="BR66" i="50"/>
  <c r="BS66" i="50"/>
  <c r="BT66" i="50"/>
  <c r="BU66" i="50"/>
  <c r="A67" i="50"/>
  <c r="B67" i="50"/>
  <c r="C67" i="50"/>
  <c r="D67" i="50"/>
  <c r="E67" i="50"/>
  <c r="F67" i="50"/>
  <c r="G67" i="50"/>
  <c r="H67" i="50"/>
  <c r="I67" i="50"/>
  <c r="J67" i="50"/>
  <c r="K67" i="50"/>
  <c r="M67" i="50"/>
  <c r="N67" i="50"/>
  <c r="O67" i="50"/>
  <c r="P67" i="50"/>
  <c r="Q67" i="50"/>
  <c r="S67" i="50"/>
  <c r="U67" i="50"/>
  <c r="W67" i="50"/>
  <c r="X67" i="50"/>
  <c r="Y67" i="50"/>
  <c r="AA67" i="50"/>
  <c r="AC67" i="50"/>
  <c r="AD67" i="50"/>
  <c r="AE67" i="50"/>
  <c r="AG67" i="50"/>
  <c r="AI67" i="50"/>
  <c r="AK67" i="50"/>
  <c r="AM67" i="50"/>
  <c r="AN67" i="50"/>
  <c r="AO67" i="50"/>
  <c r="AQ67" i="50"/>
  <c r="AR67" i="50"/>
  <c r="AS67" i="50"/>
  <c r="AU67" i="50"/>
  <c r="AV67" i="50"/>
  <c r="AW67" i="50"/>
  <c r="AX67" i="50"/>
  <c r="AY67" i="50"/>
  <c r="AZ67" i="50"/>
  <c r="BA67" i="50"/>
  <c r="BC67" i="50"/>
  <c r="BD67" i="50"/>
  <c r="BE67" i="50"/>
  <c r="BF67" i="50"/>
  <c r="BG67" i="50"/>
  <c r="BH67" i="50"/>
  <c r="BI67" i="50"/>
  <c r="BJ67" i="50"/>
  <c r="BK67" i="50"/>
  <c r="BL67" i="50"/>
  <c r="BM67" i="50"/>
  <c r="BN67" i="50"/>
  <c r="BO67" i="50"/>
  <c r="BP67" i="50"/>
  <c r="BQ67" i="50"/>
  <c r="BR67" i="50"/>
  <c r="BS67" i="50"/>
  <c r="BT67" i="50"/>
  <c r="BU67" i="50"/>
  <c r="A68" i="50"/>
  <c r="B68" i="50"/>
  <c r="C68" i="50"/>
  <c r="D68" i="50"/>
  <c r="E68" i="50"/>
  <c r="F68" i="50"/>
  <c r="G68" i="50"/>
  <c r="H68" i="50"/>
  <c r="I68" i="50"/>
  <c r="J68" i="50"/>
  <c r="K68" i="50"/>
  <c r="M68" i="50"/>
  <c r="N68" i="50"/>
  <c r="O68" i="50"/>
  <c r="P68" i="50"/>
  <c r="Q68" i="50"/>
  <c r="S68" i="50"/>
  <c r="U68" i="50"/>
  <c r="W68" i="50"/>
  <c r="X68" i="50"/>
  <c r="Y68" i="50"/>
  <c r="AA68" i="50"/>
  <c r="AC68" i="50"/>
  <c r="AD68" i="50"/>
  <c r="AE68" i="50"/>
  <c r="AG68" i="50"/>
  <c r="AI68" i="50"/>
  <c r="AK68" i="50"/>
  <c r="AM68" i="50"/>
  <c r="AN68" i="50"/>
  <c r="AO68" i="50"/>
  <c r="AQ68" i="50"/>
  <c r="AR68" i="50"/>
  <c r="AS68" i="50"/>
  <c r="AU68" i="50"/>
  <c r="AV68" i="50"/>
  <c r="AW68" i="50"/>
  <c r="AX68" i="50"/>
  <c r="AY68" i="50"/>
  <c r="AZ68" i="50"/>
  <c r="BA68" i="50"/>
  <c r="BC68" i="50"/>
  <c r="BD68" i="50"/>
  <c r="BE68" i="50"/>
  <c r="BF68" i="50"/>
  <c r="BG68" i="50"/>
  <c r="BH68" i="50"/>
  <c r="BI68" i="50"/>
  <c r="BJ68" i="50"/>
  <c r="BK68" i="50"/>
  <c r="BL68" i="50"/>
  <c r="BM68" i="50"/>
  <c r="BN68" i="50"/>
  <c r="BO68" i="50"/>
  <c r="BP68" i="50"/>
  <c r="BQ68" i="50"/>
  <c r="BR68" i="50"/>
  <c r="BS68" i="50"/>
  <c r="BT68" i="50"/>
  <c r="BU68" i="50"/>
  <c r="A69" i="50"/>
  <c r="B69" i="50"/>
  <c r="C69" i="50"/>
  <c r="D69" i="50"/>
  <c r="E69" i="50"/>
  <c r="F69" i="50"/>
  <c r="G69" i="50"/>
  <c r="H69" i="50"/>
  <c r="I69" i="50"/>
  <c r="J69" i="50"/>
  <c r="K69" i="50"/>
  <c r="M69" i="50"/>
  <c r="N69" i="50"/>
  <c r="O69" i="50"/>
  <c r="P69" i="50"/>
  <c r="Q69" i="50"/>
  <c r="S69" i="50"/>
  <c r="U69" i="50"/>
  <c r="W69" i="50"/>
  <c r="X69" i="50"/>
  <c r="Y69" i="50"/>
  <c r="AA69" i="50"/>
  <c r="AC69" i="50"/>
  <c r="AD69" i="50"/>
  <c r="AE69" i="50"/>
  <c r="AG69" i="50"/>
  <c r="AI69" i="50"/>
  <c r="AK69" i="50"/>
  <c r="AM69" i="50"/>
  <c r="AN69" i="50"/>
  <c r="AO69" i="50"/>
  <c r="AQ69" i="50"/>
  <c r="AR69" i="50"/>
  <c r="AS69" i="50"/>
  <c r="AU69" i="50"/>
  <c r="AV69" i="50"/>
  <c r="AW69" i="50"/>
  <c r="AX69" i="50"/>
  <c r="AY69" i="50"/>
  <c r="AZ69" i="50"/>
  <c r="BA69" i="50"/>
  <c r="BC69" i="50"/>
  <c r="BD69" i="50"/>
  <c r="BE69" i="50"/>
  <c r="BF69" i="50"/>
  <c r="BG69" i="50"/>
  <c r="BH69" i="50"/>
  <c r="BI69" i="50"/>
  <c r="BJ69" i="50"/>
  <c r="BK69" i="50"/>
  <c r="BL69" i="50"/>
  <c r="BM69" i="50"/>
  <c r="BN69" i="50"/>
  <c r="BO69" i="50"/>
  <c r="BP69" i="50"/>
  <c r="BQ69" i="50"/>
  <c r="BR69" i="50"/>
  <c r="BS69" i="50"/>
  <c r="BT69" i="50"/>
  <c r="BU69" i="50"/>
  <c r="A70" i="50"/>
  <c r="B70" i="50"/>
  <c r="C70" i="50"/>
  <c r="D70" i="50"/>
  <c r="E70" i="50"/>
  <c r="F70" i="50"/>
  <c r="G70" i="50"/>
  <c r="H70" i="50"/>
  <c r="I70" i="50"/>
  <c r="J70" i="50"/>
  <c r="K70" i="50"/>
  <c r="M70" i="50"/>
  <c r="N70" i="50"/>
  <c r="O70" i="50"/>
  <c r="P70" i="50"/>
  <c r="Q70" i="50"/>
  <c r="S70" i="50"/>
  <c r="U70" i="50"/>
  <c r="W70" i="50"/>
  <c r="X70" i="50"/>
  <c r="Y70" i="50"/>
  <c r="AA70" i="50"/>
  <c r="AC70" i="50"/>
  <c r="AD70" i="50"/>
  <c r="AE70" i="50"/>
  <c r="AG70" i="50"/>
  <c r="AI70" i="50"/>
  <c r="AK70" i="50"/>
  <c r="AM70" i="50"/>
  <c r="AN70" i="50"/>
  <c r="AO70" i="50"/>
  <c r="AQ70" i="50"/>
  <c r="AR70" i="50"/>
  <c r="AS70" i="50"/>
  <c r="AU70" i="50"/>
  <c r="AV70" i="50"/>
  <c r="AW70" i="50"/>
  <c r="AX70" i="50"/>
  <c r="AY70" i="50"/>
  <c r="AZ70" i="50"/>
  <c r="BA70" i="50"/>
  <c r="BC70" i="50"/>
  <c r="BD70" i="50"/>
  <c r="BE70" i="50"/>
  <c r="BF70" i="50"/>
  <c r="BG70" i="50"/>
  <c r="BH70" i="50"/>
  <c r="BI70" i="50"/>
  <c r="BJ70" i="50"/>
  <c r="BK70" i="50"/>
  <c r="BL70" i="50"/>
  <c r="BM70" i="50"/>
  <c r="BN70" i="50"/>
  <c r="BO70" i="50"/>
  <c r="BP70" i="50"/>
  <c r="BQ70" i="50"/>
  <c r="BR70" i="50"/>
  <c r="BS70" i="50"/>
  <c r="BT70" i="50"/>
  <c r="BU70" i="50"/>
  <c r="A71" i="50"/>
  <c r="B71" i="50"/>
  <c r="C71" i="50"/>
  <c r="D71" i="50"/>
  <c r="E71" i="50"/>
  <c r="F71" i="50"/>
  <c r="G71" i="50"/>
  <c r="H71" i="50"/>
  <c r="I71" i="50"/>
  <c r="J71" i="50"/>
  <c r="K71" i="50"/>
  <c r="M71" i="50"/>
  <c r="N71" i="50"/>
  <c r="O71" i="50"/>
  <c r="P71" i="50"/>
  <c r="Q71" i="50"/>
  <c r="S71" i="50"/>
  <c r="U71" i="50"/>
  <c r="W71" i="50"/>
  <c r="X71" i="50"/>
  <c r="Y71" i="50"/>
  <c r="AA71" i="50"/>
  <c r="AC71" i="50"/>
  <c r="AD71" i="50"/>
  <c r="AE71" i="50"/>
  <c r="AG71" i="50"/>
  <c r="AI71" i="50"/>
  <c r="AK71" i="50"/>
  <c r="AM71" i="50"/>
  <c r="AN71" i="50"/>
  <c r="AO71" i="50"/>
  <c r="AQ71" i="50"/>
  <c r="AR71" i="50"/>
  <c r="AS71" i="50"/>
  <c r="AU71" i="50"/>
  <c r="AV71" i="50"/>
  <c r="AW71" i="50"/>
  <c r="AX71" i="50"/>
  <c r="AY71" i="50"/>
  <c r="AZ71" i="50"/>
  <c r="BA71" i="50"/>
  <c r="BC71" i="50"/>
  <c r="BD71" i="50"/>
  <c r="BE71" i="50"/>
  <c r="BF71" i="50"/>
  <c r="BG71" i="50"/>
  <c r="BH71" i="50"/>
  <c r="BI71" i="50"/>
  <c r="BJ71" i="50"/>
  <c r="BK71" i="50"/>
  <c r="BL71" i="50"/>
  <c r="BM71" i="50"/>
  <c r="BN71" i="50"/>
  <c r="BO71" i="50"/>
  <c r="BP71" i="50"/>
  <c r="BQ71" i="50"/>
  <c r="BR71" i="50"/>
  <c r="BS71" i="50"/>
  <c r="BT71" i="50"/>
  <c r="BU71" i="50"/>
  <c r="A72" i="50"/>
  <c r="B72" i="50"/>
  <c r="C72" i="50"/>
  <c r="D72" i="50"/>
  <c r="E72" i="50"/>
  <c r="F72" i="50"/>
  <c r="G72" i="50"/>
  <c r="H72" i="50"/>
  <c r="I72" i="50"/>
  <c r="J72" i="50"/>
  <c r="K72" i="50"/>
  <c r="M72" i="50"/>
  <c r="N72" i="50"/>
  <c r="O72" i="50"/>
  <c r="P72" i="50"/>
  <c r="Q72" i="50"/>
  <c r="S72" i="50"/>
  <c r="U72" i="50"/>
  <c r="W72" i="50"/>
  <c r="X72" i="50"/>
  <c r="Y72" i="50"/>
  <c r="AA72" i="50"/>
  <c r="AC72" i="50"/>
  <c r="AD72" i="50"/>
  <c r="AE72" i="50"/>
  <c r="AG72" i="50"/>
  <c r="AI72" i="50"/>
  <c r="AK72" i="50"/>
  <c r="AM72" i="50"/>
  <c r="AN72" i="50"/>
  <c r="AO72" i="50"/>
  <c r="AQ72" i="50"/>
  <c r="AR72" i="50"/>
  <c r="AS72" i="50"/>
  <c r="AU72" i="50"/>
  <c r="AV72" i="50"/>
  <c r="AW72" i="50"/>
  <c r="AX72" i="50"/>
  <c r="AY72" i="50"/>
  <c r="AZ72" i="50"/>
  <c r="BA72" i="50"/>
  <c r="BC72" i="50"/>
  <c r="BD72" i="50"/>
  <c r="BE72" i="50"/>
  <c r="BF72" i="50"/>
  <c r="BG72" i="50"/>
  <c r="BH72" i="50"/>
  <c r="BI72" i="50"/>
  <c r="BJ72" i="50"/>
  <c r="BK72" i="50"/>
  <c r="BL72" i="50"/>
  <c r="BM72" i="50"/>
  <c r="BN72" i="50"/>
  <c r="BO72" i="50"/>
  <c r="BP72" i="50"/>
  <c r="BQ72" i="50"/>
  <c r="BR72" i="50"/>
  <c r="BS72" i="50"/>
  <c r="BT72" i="50"/>
  <c r="BU72" i="50"/>
  <c r="A73" i="50"/>
  <c r="B73" i="50"/>
  <c r="C73" i="50"/>
  <c r="D73" i="50"/>
  <c r="E73" i="50"/>
  <c r="F73" i="50"/>
  <c r="G73" i="50"/>
  <c r="H73" i="50"/>
  <c r="I73" i="50"/>
  <c r="J73" i="50"/>
  <c r="K73" i="50"/>
  <c r="M73" i="50"/>
  <c r="N73" i="50"/>
  <c r="O73" i="50"/>
  <c r="P73" i="50"/>
  <c r="Q73" i="50"/>
  <c r="S73" i="50"/>
  <c r="U73" i="50"/>
  <c r="W73" i="50"/>
  <c r="X73" i="50"/>
  <c r="Y73" i="50"/>
  <c r="AA73" i="50"/>
  <c r="AC73" i="50"/>
  <c r="AD73" i="50"/>
  <c r="AE73" i="50"/>
  <c r="AG73" i="50"/>
  <c r="AI73" i="50"/>
  <c r="AK73" i="50"/>
  <c r="AM73" i="50"/>
  <c r="AN73" i="50"/>
  <c r="AO73" i="50"/>
  <c r="AQ73" i="50"/>
  <c r="AR73" i="50"/>
  <c r="AS73" i="50"/>
  <c r="AU73" i="50"/>
  <c r="AV73" i="50"/>
  <c r="AW73" i="50"/>
  <c r="AX73" i="50"/>
  <c r="AY73" i="50"/>
  <c r="AZ73" i="50"/>
  <c r="BA73" i="50"/>
  <c r="BC73" i="50"/>
  <c r="BD73" i="50"/>
  <c r="BE73" i="50"/>
  <c r="BF73" i="50"/>
  <c r="BG73" i="50"/>
  <c r="BH73" i="50"/>
  <c r="BI73" i="50"/>
  <c r="BJ73" i="50"/>
  <c r="BK73" i="50"/>
  <c r="BL73" i="50"/>
  <c r="BM73" i="50"/>
  <c r="BN73" i="50"/>
  <c r="BO73" i="50"/>
  <c r="BP73" i="50"/>
  <c r="BQ73" i="50"/>
  <c r="BR73" i="50"/>
  <c r="BS73" i="50"/>
  <c r="BT73" i="50"/>
  <c r="BU73" i="50"/>
  <c r="A74" i="50"/>
  <c r="B74" i="50"/>
  <c r="C74" i="50"/>
  <c r="D74" i="50"/>
  <c r="E74" i="50"/>
  <c r="F74" i="50"/>
  <c r="G74" i="50"/>
  <c r="H74" i="50"/>
  <c r="I74" i="50"/>
  <c r="J74" i="50"/>
  <c r="K74" i="50"/>
  <c r="M74" i="50"/>
  <c r="N74" i="50"/>
  <c r="O74" i="50"/>
  <c r="P74" i="50"/>
  <c r="Q74" i="50"/>
  <c r="S74" i="50"/>
  <c r="U74" i="50"/>
  <c r="W74" i="50"/>
  <c r="X74" i="50"/>
  <c r="Y74" i="50"/>
  <c r="AA74" i="50"/>
  <c r="AC74" i="50"/>
  <c r="AD74" i="50"/>
  <c r="AE74" i="50"/>
  <c r="AG74" i="50"/>
  <c r="AI74" i="50"/>
  <c r="AK74" i="50"/>
  <c r="AM74" i="50"/>
  <c r="AN74" i="50"/>
  <c r="AO74" i="50"/>
  <c r="AQ74" i="50"/>
  <c r="AR74" i="50"/>
  <c r="AS74" i="50"/>
  <c r="AU74" i="50"/>
  <c r="AV74" i="50"/>
  <c r="AW74" i="50"/>
  <c r="AX74" i="50"/>
  <c r="AY74" i="50"/>
  <c r="AZ74" i="50"/>
  <c r="BA74" i="50"/>
  <c r="BC74" i="50"/>
  <c r="BD74" i="50"/>
  <c r="BE74" i="50"/>
  <c r="BF74" i="50"/>
  <c r="BG74" i="50"/>
  <c r="BH74" i="50"/>
  <c r="BI74" i="50"/>
  <c r="BJ74" i="50"/>
  <c r="BK74" i="50"/>
  <c r="BL74" i="50"/>
  <c r="BM74" i="50"/>
  <c r="BN74" i="50"/>
  <c r="BO74" i="50"/>
  <c r="BP74" i="50"/>
  <c r="BQ74" i="50"/>
  <c r="BR74" i="50"/>
  <c r="BS74" i="50"/>
  <c r="BT74" i="50"/>
  <c r="BU74" i="50"/>
  <c r="A75" i="50"/>
  <c r="B75" i="50"/>
  <c r="C75" i="50"/>
  <c r="D75" i="50"/>
  <c r="E75" i="50"/>
  <c r="F75" i="50"/>
  <c r="G75" i="50"/>
  <c r="H75" i="50"/>
  <c r="I75" i="50"/>
  <c r="J75" i="50"/>
  <c r="K75" i="50"/>
  <c r="M75" i="50"/>
  <c r="N75" i="50"/>
  <c r="O75" i="50"/>
  <c r="P75" i="50"/>
  <c r="Q75" i="50"/>
  <c r="S75" i="50"/>
  <c r="U75" i="50"/>
  <c r="W75" i="50"/>
  <c r="X75" i="50"/>
  <c r="Y75" i="50"/>
  <c r="AA75" i="50"/>
  <c r="AC75" i="50"/>
  <c r="AD75" i="50"/>
  <c r="AE75" i="50"/>
  <c r="AG75" i="50"/>
  <c r="AI75" i="50"/>
  <c r="AK75" i="50"/>
  <c r="AM75" i="50"/>
  <c r="AN75" i="50"/>
  <c r="AO75" i="50"/>
  <c r="AQ75" i="50"/>
  <c r="AR75" i="50"/>
  <c r="AS75" i="50"/>
  <c r="AU75" i="50"/>
  <c r="AV75" i="50"/>
  <c r="AW75" i="50"/>
  <c r="AX75" i="50"/>
  <c r="AY75" i="50"/>
  <c r="AZ75" i="50"/>
  <c r="BA75" i="50"/>
  <c r="BC75" i="50"/>
  <c r="BD75" i="50"/>
  <c r="BE75" i="50"/>
  <c r="BF75" i="50"/>
  <c r="BG75" i="50"/>
  <c r="BH75" i="50"/>
  <c r="BI75" i="50"/>
  <c r="BJ75" i="50"/>
  <c r="BK75" i="50"/>
  <c r="BL75" i="50"/>
  <c r="BM75" i="50"/>
  <c r="BN75" i="50"/>
  <c r="BO75" i="50"/>
  <c r="BP75" i="50"/>
  <c r="BQ75" i="50"/>
  <c r="BR75" i="50"/>
  <c r="BS75" i="50"/>
  <c r="BT75" i="50"/>
  <c r="BU75" i="50"/>
  <c r="A76" i="50"/>
  <c r="B76" i="50"/>
  <c r="C76" i="50"/>
  <c r="D76" i="50"/>
  <c r="E76" i="50"/>
  <c r="F76" i="50"/>
  <c r="G76" i="50"/>
  <c r="H76" i="50"/>
  <c r="I76" i="50"/>
  <c r="J76" i="50"/>
  <c r="K76" i="50"/>
  <c r="M76" i="50"/>
  <c r="N76" i="50"/>
  <c r="O76" i="50"/>
  <c r="P76" i="50"/>
  <c r="Q76" i="50"/>
  <c r="S76" i="50"/>
  <c r="U76" i="50"/>
  <c r="W76" i="50"/>
  <c r="X76" i="50"/>
  <c r="Y76" i="50"/>
  <c r="AA76" i="50"/>
  <c r="AC76" i="50"/>
  <c r="AD76" i="50"/>
  <c r="AE76" i="50"/>
  <c r="AG76" i="50"/>
  <c r="AI76" i="50"/>
  <c r="AK76" i="50"/>
  <c r="AM76" i="50"/>
  <c r="AN76" i="50"/>
  <c r="AO76" i="50"/>
  <c r="AQ76" i="50"/>
  <c r="AR76" i="50"/>
  <c r="AS76" i="50"/>
  <c r="AU76" i="50"/>
  <c r="AV76" i="50"/>
  <c r="AW76" i="50"/>
  <c r="AX76" i="50"/>
  <c r="AY76" i="50"/>
  <c r="AZ76" i="50"/>
  <c r="BA76" i="50"/>
  <c r="BC76" i="50"/>
  <c r="BD76" i="50"/>
  <c r="BE76" i="50"/>
  <c r="BF76" i="50"/>
  <c r="BG76" i="50"/>
  <c r="BH76" i="50"/>
  <c r="BI76" i="50"/>
  <c r="BJ76" i="50"/>
  <c r="BK76" i="50"/>
  <c r="BL76" i="50"/>
  <c r="BM76" i="50"/>
  <c r="BN76" i="50"/>
  <c r="BO76" i="50"/>
  <c r="BP76" i="50"/>
  <c r="BQ76" i="50"/>
  <c r="BR76" i="50"/>
  <c r="BS76" i="50"/>
  <c r="BT76" i="50"/>
  <c r="BU76" i="50"/>
  <c r="A77" i="50"/>
  <c r="B77" i="50"/>
  <c r="C77" i="50"/>
  <c r="D77" i="50"/>
  <c r="E77" i="50"/>
  <c r="F77" i="50"/>
  <c r="G77" i="50"/>
  <c r="H77" i="50"/>
  <c r="I77" i="50"/>
  <c r="J77" i="50"/>
  <c r="K77" i="50"/>
  <c r="M77" i="50"/>
  <c r="N77" i="50"/>
  <c r="O77" i="50"/>
  <c r="P77" i="50"/>
  <c r="Q77" i="50"/>
  <c r="S77" i="50"/>
  <c r="U77" i="50"/>
  <c r="W77" i="50"/>
  <c r="X77" i="50"/>
  <c r="Y77" i="50"/>
  <c r="AA77" i="50"/>
  <c r="AC77" i="50"/>
  <c r="AD77" i="50"/>
  <c r="AE77" i="50"/>
  <c r="AG77" i="50"/>
  <c r="AI77" i="50"/>
  <c r="AK77" i="50"/>
  <c r="AM77" i="50"/>
  <c r="AN77" i="50"/>
  <c r="AO77" i="50"/>
  <c r="AQ77" i="50"/>
  <c r="AR77" i="50"/>
  <c r="AS77" i="50"/>
  <c r="AU77" i="50"/>
  <c r="AV77" i="50"/>
  <c r="AW77" i="50"/>
  <c r="AX77" i="50"/>
  <c r="AY77" i="50"/>
  <c r="AZ77" i="50"/>
  <c r="BA77" i="50"/>
  <c r="BC77" i="50"/>
  <c r="BD77" i="50"/>
  <c r="BE77" i="50"/>
  <c r="BF77" i="50"/>
  <c r="BG77" i="50"/>
  <c r="BH77" i="50"/>
  <c r="BI77" i="50"/>
  <c r="BJ77" i="50"/>
  <c r="BK77" i="50"/>
  <c r="BL77" i="50"/>
  <c r="BM77" i="50"/>
  <c r="BN77" i="50"/>
  <c r="BO77" i="50"/>
  <c r="BP77" i="50"/>
  <c r="BQ77" i="50"/>
  <c r="BR77" i="50"/>
  <c r="BS77" i="50"/>
  <c r="BT77" i="50"/>
  <c r="BU77" i="50"/>
  <c r="A78" i="50"/>
  <c r="B78" i="50"/>
  <c r="C78" i="50"/>
  <c r="D78" i="50"/>
  <c r="E78" i="50"/>
  <c r="F78" i="50"/>
  <c r="G78" i="50"/>
  <c r="H78" i="50"/>
  <c r="I78" i="50"/>
  <c r="J78" i="50"/>
  <c r="K78" i="50"/>
  <c r="M78" i="50"/>
  <c r="N78" i="50"/>
  <c r="O78" i="50"/>
  <c r="P78" i="50"/>
  <c r="Q78" i="50"/>
  <c r="S78" i="50"/>
  <c r="U78" i="50"/>
  <c r="W78" i="50"/>
  <c r="X78" i="50"/>
  <c r="Y78" i="50"/>
  <c r="AA78" i="50"/>
  <c r="AC78" i="50"/>
  <c r="AD78" i="50"/>
  <c r="AE78" i="50"/>
  <c r="AG78" i="50"/>
  <c r="AI78" i="50"/>
  <c r="AK78" i="50"/>
  <c r="AM78" i="50"/>
  <c r="AN78" i="50"/>
  <c r="AO78" i="50"/>
  <c r="AQ78" i="50"/>
  <c r="AR78" i="50"/>
  <c r="AS78" i="50"/>
  <c r="AU78" i="50"/>
  <c r="AV78" i="50"/>
  <c r="AW78" i="50"/>
  <c r="AX78" i="50"/>
  <c r="AY78" i="50"/>
  <c r="AZ78" i="50"/>
  <c r="BA78" i="50"/>
  <c r="BC78" i="50"/>
  <c r="BD78" i="50"/>
  <c r="BE78" i="50"/>
  <c r="BF78" i="50"/>
  <c r="BG78" i="50"/>
  <c r="BH78" i="50"/>
  <c r="BI78" i="50"/>
  <c r="BJ78" i="50"/>
  <c r="BK78" i="50"/>
  <c r="BL78" i="50"/>
  <c r="BM78" i="50"/>
  <c r="BN78" i="50"/>
  <c r="BO78" i="50"/>
  <c r="BP78" i="50"/>
  <c r="BQ78" i="50"/>
  <c r="BR78" i="50"/>
  <c r="BS78" i="50"/>
  <c r="BT78" i="50"/>
  <c r="BU78" i="50"/>
  <c r="A79" i="50"/>
  <c r="B79" i="50"/>
  <c r="C79" i="50"/>
  <c r="D79" i="50"/>
  <c r="E79" i="50"/>
  <c r="F79" i="50"/>
  <c r="G79" i="50"/>
  <c r="H79" i="50"/>
  <c r="I79" i="50"/>
  <c r="J79" i="50"/>
  <c r="K79" i="50"/>
  <c r="M79" i="50"/>
  <c r="N79" i="50"/>
  <c r="O79" i="50"/>
  <c r="P79" i="50"/>
  <c r="Q79" i="50"/>
  <c r="S79" i="50"/>
  <c r="U79" i="50"/>
  <c r="W79" i="50"/>
  <c r="X79" i="50"/>
  <c r="Y79" i="50"/>
  <c r="AA79" i="50"/>
  <c r="AC79" i="50"/>
  <c r="AD79" i="50"/>
  <c r="AE79" i="50"/>
  <c r="AG79" i="50"/>
  <c r="AI79" i="50"/>
  <c r="AK79" i="50"/>
  <c r="AM79" i="50"/>
  <c r="AN79" i="50"/>
  <c r="AO79" i="50"/>
  <c r="AQ79" i="50"/>
  <c r="AR79" i="50"/>
  <c r="AS79" i="50"/>
  <c r="AU79" i="50"/>
  <c r="AV79" i="50"/>
  <c r="AW79" i="50"/>
  <c r="AX79" i="50"/>
  <c r="AY79" i="50"/>
  <c r="AZ79" i="50"/>
  <c r="BA79" i="50"/>
  <c r="BC79" i="50"/>
  <c r="BD79" i="50"/>
  <c r="BE79" i="50"/>
  <c r="BF79" i="50"/>
  <c r="BG79" i="50"/>
  <c r="BH79" i="50"/>
  <c r="BI79" i="50"/>
  <c r="BJ79" i="50"/>
  <c r="BK79" i="50"/>
  <c r="BL79" i="50"/>
  <c r="BM79" i="50"/>
  <c r="BN79" i="50"/>
  <c r="BO79" i="50"/>
  <c r="BP79" i="50"/>
  <c r="BQ79" i="50"/>
  <c r="BR79" i="50"/>
  <c r="BS79" i="50"/>
  <c r="BT79" i="50"/>
  <c r="BU79" i="50"/>
  <c r="A80" i="50"/>
  <c r="B80" i="50"/>
  <c r="C80" i="50"/>
  <c r="D80" i="50"/>
  <c r="E80" i="50"/>
  <c r="F80" i="50"/>
  <c r="G80" i="50"/>
  <c r="H80" i="50"/>
  <c r="I80" i="50"/>
  <c r="J80" i="50"/>
  <c r="K80" i="50"/>
  <c r="M80" i="50"/>
  <c r="N80" i="50"/>
  <c r="O80" i="50"/>
  <c r="P80" i="50"/>
  <c r="Q80" i="50"/>
  <c r="S80" i="50"/>
  <c r="U80" i="50"/>
  <c r="W80" i="50"/>
  <c r="X80" i="50"/>
  <c r="Y80" i="50"/>
  <c r="AA80" i="50"/>
  <c r="AC80" i="50"/>
  <c r="AD80" i="50"/>
  <c r="AE80" i="50"/>
  <c r="AG80" i="50"/>
  <c r="AI80" i="50"/>
  <c r="AK80" i="50"/>
  <c r="AM80" i="50"/>
  <c r="AN80" i="50"/>
  <c r="AO80" i="50"/>
  <c r="AQ80" i="50"/>
  <c r="AR80" i="50"/>
  <c r="AS80" i="50"/>
  <c r="AU80" i="50"/>
  <c r="AV80" i="50"/>
  <c r="AW80" i="50"/>
  <c r="AX80" i="50"/>
  <c r="AY80" i="50"/>
  <c r="AZ80" i="50"/>
  <c r="BA80" i="50"/>
  <c r="BC80" i="50"/>
  <c r="BD80" i="50"/>
  <c r="BE80" i="50"/>
  <c r="BF80" i="50"/>
  <c r="BG80" i="50"/>
  <c r="BH80" i="50"/>
  <c r="BI80" i="50"/>
  <c r="BJ80" i="50"/>
  <c r="BK80" i="50"/>
  <c r="BL80" i="50"/>
  <c r="BM80" i="50"/>
  <c r="BN80" i="50"/>
  <c r="BO80" i="50"/>
  <c r="BP80" i="50"/>
  <c r="BQ80" i="50"/>
  <c r="BR80" i="50"/>
  <c r="BS80" i="50"/>
  <c r="BT80" i="50"/>
  <c r="BU80" i="50"/>
  <c r="A81" i="50"/>
  <c r="B81" i="50"/>
  <c r="C81" i="50"/>
  <c r="D81" i="50"/>
  <c r="E81" i="50"/>
  <c r="F81" i="50"/>
  <c r="G81" i="50"/>
  <c r="H81" i="50"/>
  <c r="I81" i="50"/>
  <c r="J81" i="50"/>
  <c r="K81" i="50"/>
  <c r="M81" i="50"/>
  <c r="N81" i="50"/>
  <c r="O81" i="50"/>
  <c r="P81" i="50"/>
  <c r="Q81" i="50"/>
  <c r="S81" i="50"/>
  <c r="U81" i="50"/>
  <c r="W81" i="50"/>
  <c r="X81" i="50"/>
  <c r="Y81" i="50"/>
  <c r="AA81" i="50"/>
  <c r="AC81" i="50"/>
  <c r="AD81" i="50"/>
  <c r="AE81" i="50"/>
  <c r="AG81" i="50"/>
  <c r="AI81" i="50"/>
  <c r="AK81" i="50"/>
  <c r="AM81" i="50"/>
  <c r="AN81" i="50"/>
  <c r="AO81" i="50"/>
  <c r="AQ81" i="50"/>
  <c r="AR81" i="50"/>
  <c r="AS81" i="50"/>
  <c r="AU81" i="50"/>
  <c r="AV81" i="50"/>
  <c r="AW81" i="50"/>
  <c r="AX81" i="50"/>
  <c r="AY81" i="50"/>
  <c r="AZ81" i="50"/>
  <c r="BA81" i="50"/>
  <c r="BC81" i="50"/>
  <c r="BD81" i="50"/>
  <c r="BE81" i="50"/>
  <c r="BF81" i="50"/>
  <c r="BG81" i="50"/>
  <c r="BH81" i="50"/>
  <c r="BI81" i="50"/>
  <c r="BJ81" i="50"/>
  <c r="BK81" i="50"/>
  <c r="BL81" i="50"/>
  <c r="BM81" i="50"/>
  <c r="BN81" i="50"/>
  <c r="BO81" i="50"/>
  <c r="BP81" i="50"/>
  <c r="BQ81" i="50"/>
  <c r="BR81" i="50"/>
  <c r="BS81" i="50"/>
  <c r="BT81" i="50"/>
  <c r="BU81" i="50"/>
  <c r="A82" i="50"/>
  <c r="B82" i="50"/>
  <c r="C82" i="50"/>
  <c r="D82" i="50"/>
  <c r="E82" i="50"/>
  <c r="F82" i="50"/>
  <c r="G82" i="50"/>
  <c r="H82" i="50"/>
  <c r="I82" i="50"/>
  <c r="J82" i="50"/>
  <c r="K82" i="50"/>
  <c r="M82" i="50"/>
  <c r="N82" i="50"/>
  <c r="O82" i="50"/>
  <c r="P82" i="50"/>
  <c r="Q82" i="50"/>
  <c r="S82" i="50"/>
  <c r="U82" i="50"/>
  <c r="W82" i="50"/>
  <c r="X82" i="50"/>
  <c r="Y82" i="50"/>
  <c r="AA82" i="50"/>
  <c r="AC82" i="50"/>
  <c r="AD82" i="50"/>
  <c r="AE82" i="50"/>
  <c r="AG82" i="50"/>
  <c r="AI82" i="50"/>
  <c r="AK82" i="50"/>
  <c r="AM82" i="50"/>
  <c r="AN82" i="50"/>
  <c r="AO82" i="50"/>
  <c r="AQ82" i="50"/>
  <c r="AR82" i="50"/>
  <c r="AS82" i="50"/>
  <c r="AU82" i="50"/>
  <c r="AV82" i="50"/>
  <c r="AW82" i="50"/>
  <c r="AX82" i="50"/>
  <c r="AY82" i="50"/>
  <c r="AZ82" i="50"/>
  <c r="BA82" i="50"/>
  <c r="BC82" i="50"/>
  <c r="BD82" i="50"/>
  <c r="BE82" i="50"/>
  <c r="BF82" i="50"/>
  <c r="BG82" i="50"/>
  <c r="BH82" i="50"/>
  <c r="BI82" i="50"/>
  <c r="BJ82" i="50"/>
  <c r="BK82" i="50"/>
  <c r="BL82" i="50"/>
  <c r="BM82" i="50"/>
  <c r="BN82" i="50"/>
  <c r="BO82" i="50"/>
  <c r="BP82" i="50"/>
  <c r="BQ82" i="50"/>
  <c r="BR82" i="50"/>
  <c r="BS82" i="50"/>
  <c r="BT82" i="50"/>
  <c r="BU82" i="50"/>
  <c r="A83" i="50"/>
  <c r="B83" i="50"/>
  <c r="C83" i="50"/>
  <c r="D83" i="50"/>
  <c r="E83" i="50"/>
  <c r="F83" i="50"/>
  <c r="G83" i="50"/>
  <c r="H83" i="50"/>
  <c r="I83" i="50"/>
  <c r="J83" i="50"/>
  <c r="K83" i="50"/>
  <c r="M83" i="50"/>
  <c r="N83" i="50"/>
  <c r="O83" i="50"/>
  <c r="P83" i="50"/>
  <c r="Q83" i="50"/>
  <c r="S83" i="50"/>
  <c r="U83" i="50"/>
  <c r="W83" i="50"/>
  <c r="X83" i="50"/>
  <c r="Y83" i="50"/>
  <c r="AA83" i="50"/>
  <c r="AC83" i="50"/>
  <c r="AD83" i="50"/>
  <c r="AE83" i="50"/>
  <c r="AG83" i="50"/>
  <c r="AI83" i="50"/>
  <c r="AK83" i="50"/>
  <c r="AM83" i="50"/>
  <c r="AN83" i="50"/>
  <c r="AO83" i="50"/>
  <c r="AQ83" i="50"/>
  <c r="AR83" i="50"/>
  <c r="AS83" i="50"/>
  <c r="AU83" i="50"/>
  <c r="AV83" i="50"/>
  <c r="AW83" i="50"/>
  <c r="AX83" i="50"/>
  <c r="AY83" i="50"/>
  <c r="AZ83" i="50"/>
  <c r="BA83" i="50"/>
  <c r="BC83" i="50"/>
  <c r="BD83" i="50"/>
  <c r="BE83" i="50"/>
  <c r="BF83" i="50"/>
  <c r="BG83" i="50"/>
  <c r="BH83" i="50"/>
  <c r="BI83" i="50"/>
  <c r="BJ83" i="50"/>
  <c r="BK83" i="50"/>
  <c r="BL83" i="50"/>
  <c r="BM83" i="50"/>
  <c r="BN83" i="50"/>
  <c r="BO83" i="50"/>
  <c r="BP83" i="50"/>
  <c r="BQ83" i="50"/>
  <c r="BR83" i="50"/>
  <c r="BS83" i="50"/>
  <c r="BT83" i="50"/>
  <c r="BU83" i="50"/>
  <c r="A84" i="50"/>
  <c r="B84" i="50"/>
  <c r="C84" i="50"/>
  <c r="D84" i="50"/>
  <c r="E84" i="50"/>
  <c r="F84" i="50"/>
  <c r="G84" i="50"/>
  <c r="H84" i="50"/>
  <c r="I84" i="50"/>
  <c r="J84" i="50"/>
  <c r="K84" i="50"/>
  <c r="M84" i="50"/>
  <c r="N84" i="50"/>
  <c r="O84" i="50"/>
  <c r="P84" i="50"/>
  <c r="Q84" i="50"/>
  <c r="S84" i="50"/>
  <c r="U84" i="50"/>
  <c r="W84" i="50"/>
  <c r="X84" i="50"/>
  <c r="Y84" i="50"/>
  <c r="AA84" i="50"/>
  <c r="AC84" i="50"/>
  <c r="AD84" i="50"/>
  <c r="AE84" i="50"/>
  <c r="AG84" i="50"/>
  <c r="AI84" i="50"/>
  <c r="AK84" i="50"/>
  <c r="AM84" i="50"/>
  <c r="AN84" i="50"/>
  <c r="AO84" i="50"/>
  <c r="AQ84" i="50"/>
  <c r="AR84" i="50"/>
  <c r="AS84" i="50"/>
  <c r="AU84" i="50"/>
  <c r="AV84" i="50"/>
  <c r="AW84" i="50"/>
  <c r="AX84" i="50"/>
  <c r="AY84" i="50"/>
  <c r="AZ84" i="50"/>
  <c r="BA84" i="50"/>
  <c r="BC84" i="50"/>
  <c r="BD84" i="50"/>
  <c r="BE84" i="50"/>
  <c r="BF84" i="50"/>
  <c r="BG84" i="50"/>
  <c r="BH84" i="50"/>
  <c r="BI84" i="50"/>
  <c r="BJ84" i="50"/>
  <c r="BK84" i="50"/>
  <c r="BL84" i="50"/>
  <c r="BM84" i="50"/>
  <c r="BN84" i="50"/>
  <c r="BO84" i="50"/>
  <c r="BP84" i="50"/>
  <c r="BQ84" i="50"/>
  <c r="BR84" i="50"/>
  <c r="BS84" i="50"/>
  <c r="BT84" i="50"/>
  <c r="BU84" i="50"/>
  <c r="A85" i="50"/>
  <c r="B85" i="50"/>
  <c r="C85" i="50"/>
  <c r="D85" i="50"/>
  <c r="E85" i="50"/>
  <c r="F85" i="50"/>
  <c r="G85" i="50"/>
  <c r="H85" i="50"/>
  <c r="I85" i="50"/>
  <c r="J85" i="50"/>
  <c r="K85" i="50"/>
  <c r="M85" i="50"/>
  <c r="N85" i="50"/>
  <c r="O85" i="50"/>
  <c r="P85" i="50"/>
  <c r="Q85" i="50"/>
  <c r="S85" i="50"/>
  <c r="U85" i="50"/>
  <c r="W85" i="50"/>
  <c r="X85" i="50"/>
  <c r="Y85" i="50"/>
  <c r="AA85" i="50"/>
  <c r="AC85" i="50"/>
  <c r="AD85" i="50"/>
  <c r="AE85" i="50"/>
  <c r="AG85" i="50"/>
  <c r="AI85" i="50"/>
  <c r="AK85" i="50"/>
  <c r="AM85" i="50"/>
  <c r="AN85" i="50"/>
  <c r="AO85" i="50"/>
  <c r="AQ85" i="50"/>
  <c r="AR85" i="50"/>
  <c r="AS85" i="50"/>
  <c r="AU85" i="50"/>
  <c r="AV85" i="50"/>
  <c r="AW85" i="50"/>
  <c r="AX85" i="50"/>
  <c r="AY85" i="50"/>
  <c r="AZ85" i="50"/>
  <c r="BA85" i="50"/>
  <c r="BC85" i="50"/>
  <c r="BD85" i="50"/>
  <c r="BE85" i="50"/>
  <c r="BF85" i="50"/>
  <c r="BG85" i="50"/>
  <c r="BH85" i="50"/>
  <c r="BI85" i="50"/>
  <c r="BJ85" i="50"/>
  <c r="BK85" i="50"/>
  <c r="BL85" i="50"/>
  <c r="BM85" i="50"/>
  <c r="BN85" i="50"/>
  <c r="BO85" i="50"/>
  <c r="BP85" i="50"/>
  <c r="BQ85" i="50"/>
  <c r="BR85" i="50"/>
  <c r="BS85" i="50"/>
  <c r="BT85" i="50"/>
  <c r="BU85" i="50"/>
  <c r="A86" i="50"/>
  <c r="B86" i="50"/>
  <c r="C86" i="50"/>
  <c r="D86" i="50"/>
  <c r="E86" i="50"/>
  <c r="F86" i="50"/>
  <c r="G86" i="50"/>
  <c r="H86" i="50"/>
  <c r="I86" i="50"/>
  <c r="J86" i="50"/>
  <c r="K86" i="50"/>
  <c r="M86" i="50"/>
  <c r="N86" i="50"/>
  <c r="O86" i="50"/>
  <c r="P86" i="50"/>
  <c r="Q86" i="50"/>
  <c r="S86" i="50"/>
  <c r="U86" i="50"/>
  <c r="W86" i="50"/>
  <c r="X86" i="50"/>
  <c r="Y86" i="50"/>
  <c r="AA86" i="50"/>
  <c r="AC86" i="50"/>
  <c r="AD86" i="50"/>
  <c r="AE86" i="50"/>
  <c r="AG86" i="50"/>
  <c r="AI86" i="50"/>
  <c r="AK86" i="50"/>
  <c r="AM86" i="50"/>
  <c r="AN86" i="50"/>
  <c r="AO86" i="50"/>
  <c r="AQ86" i="50"/>
  <c r="AR86" i="50"/>
  <c r="AS86" i="50"/>
  <c r="AU86" i="50"/>
  <c r="AV86" i="50"/>
  <c r="AW86" i="50"/>
  <c r="AX86" i="50"/>
  <c r="AY86" i="50"/>
  <c r="AZ86" i="50"/>
  <c r="BA86" i="50"/>
  <c r="BC86" i="50"/>
  <c r="BD86" i="50"/>
  <c r="BE86" i="50"/>
  <c r="BF86" i="50"/>
  <c r="BG86" i="50"/>
  <c r="BH86" i="50"/>
  <c r="BI86" i="50"/>
  <c r="BJ86" i="50"/>
  <c r="BK86" i="50"/>
  <c r="BL86" i="50"/>
  <c r="BM86" i="50"/>
  <c r="BN86" i="50"/>
  <c r="BO86" i="50"/>
  <c r="BP86" i="50"/>
  <c r="BQ86" i="50"/>
  <c r="BR86" i="50"/>
  <c r="BS86" i="50"/>
  <c r="BT86" i="50"/>
  <c r="BU86" i="50"/>
  <c r="A87" i="50"/>
  <c r="B87" i="50"/>
  <c r="C87" i="50"/>
  <c r="D87" i="50"/>
  <c r="E87" i="50"/>
  <c r="F87" i="50"/>
  <c r="G87" i="50"/>
  <c r="H87" i="50"/>
  <c r="I87" i="50"/>
  <c r="J87" i="50"/>
  <c r="K87" i="50"/>
  <c r="M87" i="50"/>
  <c r="N87" i="50"/>
  <c r="O87" i="50"/>
  <c r="P87" i="50"/>
  <c r="Q87" i="50"/>
  <c r="S87" i="50"/>
  <c r="U87" i="50"/>
  <c r="W87" i="50"/>
  <c r="X87" i="50"/>
  <c r="Y87" i="50"/>
  <c r="AA87" i="50"/>
  <c r="AC87" i="50"/>
  <c r="AD87" i="50"/>
  <c r="AE87" i="50"/>
  <c r="AG87" i="50"/>
  <c r="AI87" i="50"/>
  <c r="AK87" i="50"/>
  <c r="AM87" i="50"/>
  <c r="AN87" i="50"/>
  <c r="AO87" i="50"/>
  <c r="AQ87" i="50"/>
  <c r="AR87" i="50"/>
  <c r="AS87" i="50"/>
  <c r="AU87" i="50"/>
  <c r="AV87" i="50"/>
  <c r="AW87" i="50"/>
  <c r="AX87" i="50"/>
  <c r="AY87" i="50"/>
  <c r="AZ87" i="50"/>
  <c r="BA87" i="50"/>
  <c r="BC87" i="50"/>
  <c r="BD87" i="50"/>
  <c r="BE87" i="50"/>
  <c r="BF87" i="50"/>
  <c r="BG87" i="50"/>
  <c r="BH87" i="50"/>
  <c r="BI87" i="50"/>
  <c r="BJ87" i="50"/>
  <c r="BK87" i="50"/>
  <c r="BL87" i="50"/>
  <c r="BM87" i="50"/>
  <c r="BN87" i="50"/>
  <c r="BO87" i="50"/>
  <c r="BP87" i="50"/>
  <c r="BQ87" i="50"/>
  <c r="BR87" i="50"/>
  <c r="BS87" i="50"/>
  <c r="BT87" i="50"/>
  <c r="BU87" i="50"/>
  <c r="A88" i="50"/>
  <c r="B88" i="50"/>
  <c r="C88" i="50"/>
  <c r="D88" i="50"/>
  <c r="E88" i="50"/>
  <c r="F88" i="50"/>
  <c r="G88" i="50"/>
  <c r="H88" i="50"/>
  <c r="I88" i="50"/>
  <c r="J88" i="50"/>
  <c r="K88" i="50"/>
  <c r="M88" i="50"/>
  <c r="N88" i="50"/>
  <c r="O88" i="50"/>
  <c r="P88" i="50"/>
  <c r="Q88" i="50"/>
  <c r="S88" i="50"/>
  <c r="U88" i="50"/>
  <c r="W88" i="50"/>
  <c r="X88" i="50"/>
  <c r="Y88" i="50"/>
  <c r="AA88" i="50"/>
  <c r="AC88" i="50"/>
  <c r="AD88" i="50"/>
  <c r="AE88" i="50"/>
  <c r="AG88" i="50"/>
  <c r="AI88" i="50"/>
  <c r="AK88" i="50"/>
  <c r="AM88" i="50"/>
  <c r="AN88" i="50"/>
  <c r="AO88" i="50"/>
  <c r="AQ88" i="50"/>
  <c r="AR88" i="50"/>
  <c r="AS88" i="50"/>
  <c r="AU88" i="50"/>
  <c r="AV88" i="50"/>
  <c r="AW88" i="50"/>
  <c r="AX88" i="50"/>
  <c r="AY88" i="50"/>
  <c r="AZ88" i="50"/>
  <c r="BA88" i="50"/>
  <c r="BC88" i="50"/>
  <c r="BD88" i="50"/>
  <c r="BE88" i="50"/>
  <c r="BF88" i="50"/>
  <c r="BG88" i="50"/>
  <c r="BH88" i="50"/>
  <c r="BI88" i="50"/>
  <c r="BJ88" i="50"/>
  <c r="BK88" i="50"/>
  <c r="BL88" i="50"/>
  <c r="BM88" i="50"/>
  <c r="BN88" i="50"/>
  <c r="BO88" i="50"/>
  <c r="BP88" i="50"/>
  <c r="BQ88" i="50"/>
  <c r="BR88" i="50"/>
  <c r="BS88" i="50"/>
  <c r="BT88" i="50"/>
  <c r="BU88" i="50"/>
  <c r="A89" i="50"/>
  <c r="B89" i="50"/>
  <c r="C89" i="50"/>
  <c r="D89" i="50"/>
  <c r="E89" i="50"/>
  <c r="F89" i="50"/>
  <c r="G89" i="50"/>
  <c r="H89" i="50"/>
  <c r="I89" i="50"/>
  <c r="J89" i="50"/>
  <c r="K89" i="50"/>
  <c r="M89" i="50"/>
  <c r="N89" i="50"/>
  <c r="O89" i="50"/>
  <c r="P89" i="50"/>
  <c r="Q89" i="50"/>
  <c r="S89" i="50"/>
  <c r="U89" i="50"/>
  <c r="W89" i="50"/>
  <c r="X89" i="50"/>
  <c r="Y89" i="50"/>
  <c r="AA89" i="50"/>
  <c r="AC89" i="50"/>
  <c r="AD89" i="50"/>
  <c r="AE89" i="50"/>
  <c r="AG89" i="50"/>
  <c r="AI89" i="50"/>
  <c r="AK89" i="50"/>
  <c r="AM89" i="50"/>
  <c r="AN89" i="50"/>
  <c r="AO89" i="50"/>
  <c r="AQ89" i="50"/>
  <c r="AR89" i="50"/>
  <c r="AS89" i="50"/>
  <c r="AU89" i="50"/>
  <c r="AV89" i="50"/>
  <c r="AW89" i="50"/>
  <c r="AX89" i="50"/>
  <c r="AY89" i="50"/>
  <c r="AZ89" i="50"/>
  <c r="BA89" i="50"/>
  <c r="BC89" i="50"/>
  <c r="BD89" i="50"/>
  <c r="BE89" i="50"/>
  <c r="BF89" i="50"/>
  <c r="BG89" i="50"/>
  <c r="BH89" i="50"/>
  <c r="BI89" i="50"/>
  <c r="BJ89" i="50"/>
  <c r="BK89" i="50"/>
  <c r="BL89" i="50"/>
  <c r="BM89" i="50"/>
  <c r="BN89" i="50"/>
  <c r="BO89" i="50"/>
  <c r="BP89" i="50"/>
  <c r="BQ89" i="50"/>
  <c r="BR89" i="50"/>
  <c r="BS89" i="50"/>
  <c r="BT89" i="50"/>
  <c r="BU89" i="50"/>
  <c r="A90" i="50"/>
  <c r="B90" i="50"/>
  <c r="C90" i="50"/>
  <c r="D90" i="50"/>
  <c r="E90" i="50"/>
  <c r="F90" i="50"/>
  <c r="G90" i="50"/>
  <c r="H90" i="50"/>
  <c r="I90" i="50"/>
  <c r="J90" i="50"/>
  <c r="K90" i="50"/>
  <c r="M90" i="50"/>
  <c r="N90" i="50"/>
  <c r="O90" i="50"/>
  <c r="P90" i="50"/>
  <c r="Q90" i="50"/>
  <c r="S90" i="50"/>
  <c r="U90" i="50"/>
  <c r="W90" i="50"/>
  <c r="X90" i="50"/>
  <c r="Y90" i="50"/>
  <c r="AA90" i="50"/>
  <c r="AC90" i="50"/>
  <c r="AD90" i="50"/>
  <c r="AE90" i="50"/>
  <c r="AG90" i="50"/>
  <c r="AI90" i="50"/>
  <c r="AK90" i="50"/>
  <c r="AM90" i="50"/>
  <c r="AN90" i="50"/>
  <c r="AO90" i="50"/>
  <c r="AQ90" i="50"/>
  <c r="AR90" i="50"/>
  <c r="AS90" i="50"/>
  <c r="AU90" i="50"/>
  <c r="AV90" i="50"/>
  <c r="AW90" i="50"/>
  <c r="AX90" i="50"/>
  <c r="AY90" i="50"/>
  <c r="AZ90" i="50"/>
  <c r="BA90" i="50"/>
  <c r="BC90" i="50"/>
  <c r="BD90" i="50"/>
  <c r="BE90" i="50"/>
  <c r="BF90" i="50"/>
  <c r="BG90" i="50"/>
  <c r="BH90" i="50"/>
  <c r="BI90" i="50"/>
  <c r="BJ90" i="50"/>
  <c r="BK90" i="50"/>
  <c r="BL90" i="50"/>
  <c r="BM90" i="50"/>
  <c r="BN90" i="50"/>
  <c r="BO90" i="50"/>
  <c r="BP90" i="50"/>
  <c r="BQ90" i="50"/>
  <c r="BR90" i="50"/>
  <c r="BS90" i="50"/>
  <c r="BT90" i="50"/>
  <c r="BU90" i="50"/>
  <c r="A91" i="50"/>
  <c r="B91" i="50"/>
  <c r="C91" i="50"/>
  <c r="D91" i="50"/>
  <c r="E91" i="50"/>
  <c r="F91" i="50"/>
  <c r="G91" i="50"/>
  <c r="H91" i="50"/>
  <c r="I91" i="50"/>
  <c r="J91" i="50"/>
  <c r="K91" i="50"/>
  <c r="M91" i="50"/>
  <c r="N91" i="50"/>
  <c r="O91" i="50"/>
  <c r="P91" i="50"/>
  <c r="Q91" i="50"/>
  <c r="S91" i="50"/>
  <c r="U91" i="50"/>
  <c r="W91" i="50"/>
  <c r="X91" i="50"/>
  <c r="Y91" i="50"/>
  <c r="AA91" i="50"/>
  <c r="AC91" i="50"/>
  <c r="AD91" i="50"/>
  <c r="AE91" i="50"/>
  <c r="AG91" i="50"/>
  <c r="AI91" i="50"/>
  <c r="AK91" i="50"/>
  <c r="AM91" i="50"/>
  <c r="AN91" i="50"/>
  <c r="AO91" i="50"/>
  <c r="AQ91" i="50"/>
  <c r="AR91" i="50"/>
  <c r="AS91" i="50"/>
  <c r="AU91" i="50"/>
  <c r="AV91" i="50"/>
  <c r="AW91" i="50"/>
  <c r="AX91" i="50"/>
  <c r="AY91" i="50"/>
  <c r="AZ91" i="50"/>
  <c r="BA91" i="50"/>
  <c r="BC91" i="50"/>
  <c r="BD91" i="50"/>
  <c r="BE91" i="50"/>
  <c r="BF91" i="50"/>
  <c r="BG91" i="50"/>
  <c r="BH91" i="50"/>
  <c r="BI91" i="50"/>
  <c r="BJ91" i="50"/>
  <c r="BK91" i="50"/>
  <c r="BL91" i="50"/>
  <c r="BM91" i="50"/>
  <c r="BN91" i="50"/>
  <c r="BO91" i="50"/>
  <c r="BP91" i="50"/>
  <c r="BQ91" i="50"/>
  <c r="BR91" i="50"/>
  <c r="BS91" i="50"/>
  <c r="BT91" i="50"/>
  <c r="BU91" i="50"/>
  <c r="A92" i="50"/>
  <c r="B92" i="50"/>
  <c r="C92" i="50"/>
  <c r="D92" i="50"/>
  <c r="E92" i="50"/>
  <c r="F92" i="50"/>
  <c r="G92" i="50"/>
  <c r="H92" i="50"/>
  <c r="I92" i="50"/>
  <c r="J92" i="50"/>
  <c r="K92" i="50"/>
  <c r="M92" i="50"/>
  <c r="N92" i="50"/>
  <c r="O92" i="50"/>
  <c r="P92" i="50"/>
  <c r="Q92" i="50"/>
  <c r="S92" i="50"/>
  <c r="U92" i="50"/>
  <c r="W92" i="50"/>
  <c r="X92" i="50"/>
  <c r="Y92" i="50"/>
  <c r="AA92" i="50"/>
  <c r="AC92" i="50"/>
  <c r="AD92" i="50"/>
  <c r="AE92" i="50"/>
  <c r="AG92" i="50"/>
  <c r="AI92" i="50"/>
  <c r="AK92" i="50"/>
  <c r="AM92" i="50"/>
  <c r="AN92" i="50"/>
  <c r="AO92" i="50"/>
  <c r="AQ92" i="50"/>
  <c r="AR92" i="50"/>
  <c r="AS92" i="50"/>
  <c r="AU92" i="50"/>
  <c r="AV92" i="50"/>
  <c r="AW92" i="50"/>
  <c r="AX92" i="50"/>
  <c r="AY92" i="50"/>
  <c r="AZ92" i="50"/>
  <c r="BA92" i="50"/>
  <c r="BC92" i="50"/>
  <c r="BD92" i="50"/>
  <c r="BE92" i="50"/>
  <c r="BF92" i="50"/>
  <c r="BG92" i="50"/>
  <c r="BH92" i="50"/>
  <c r="BI92" i="50"/>
  <c r="BJ92" i="50"/>
  <c r="BK92" i="50"/>
  <c r="BL92" i="50"/>
  <c r="BM92" i="50"/>
  <c r="BN92" i="50"/>
  <c r="BO92" i="50"/>
  <c r="BP92" i="50"/>
  <c r="BQ92" i="50"/>
  <c r="BR92" i="50"/>
  <c r="BS92" i="50"/>
  <c r="BT92" i="50"/>
  <c r="BU92" i="50"/>
  <c r="A93" i="50"/>
  <c r="B93" i="50"/>
  <c r="C93" i="50"/>
  <c r="D93" i="50"/>
  <c r="E93" i="50"/>
  <c r="F93" i="50"/>
  <c r="G93" i="50"/>
  <c r="H93" i="50"/>
  <c r="I93" i="50"/>
  <c r="J93" i="50"/>
  <c r="K93" i="50"/>
  <c r="M93" i="50"/>
  <c r="N93" i="50"/>
  <c r="O93" i="50"/>
  <c r="P93" i="50"/>
  <c r="Q93" i="50"/>
  <c r="S93" i="50"/>
  <c r="U93" i="50"/>
  <c r="W93" i="50"/>
  <c r="X93" i="50"/>
  <c r="Y93" i="50"/>
  <c r="AA93" i="50"/>
  <c r="AC93" i="50"/>
  <c r="AD93" i="50"/>
  <c r="AE93" i="50"/>
  <c r="AG93" i="50"/>
  <c r="AI93" i="50"/>
  <c r="AK93" i="50"/>
  <c r="AM93" i="50"/>
  <c r="AN93" i="50"/>
  <c r="AO93" i="50"/>
  <c r="AQ93" i="50"/>
  <c r="AR93" i="50"/>
  <c r="AS93" i="50"/>
  <c r="AU93" i="50"/>
  <c r="AV93" i="50"/>
  <c r="AW93" i="50"/>
  <c r="AX93" i="50"/>
  <c r="AY93" i="50"/>
  <c r="AZ93" i="50"/>
  <c r="BA93" i="50"/>
  <c r="BC93" i="50"/>
  <c r="BD93" i="50"/>
  <c r="BE93" i="50"/>
  <c r="BF93" i="50"/>
  <c r="BG93" i="50"/>
  <c r="BH93" i="50"/>
  <c r="BI93" i="50"/>
  <c r="BJ93" i="50"/>
  <c r="BK93" i="50"/>
  <c r="BL93" i="50"/>
  <c r="BM93" i="50"/>
  <c r="BN93" i="50"/>
  <c r="BO93" i="50"/>
  <c r="BP93" i="50"/>
  <c r="BQ93" i="50"/>
  <c r="BR93" i="50"/>
  <c r="BS93" i="50"/>
  <c r="BT93" i="50"/>
  <c r="BU93" i="50"/>
  <c r="A94" i="50"/>
  <c r="B94" i="50"/>
  <c r="C94" i="50"/>
  <c r="D94" i="50"/>
  <c r="E94" i="50"/>
  <c r="F94" i="50"/>
  <c r="G94" i="50"/>
  <c r="H94" i="50"/>
  <c r="I94" i="50"/>
  <c r="J94" i="50"/>
  <c r="K94" i="50"/>
  <c r="M94" i="50"/>
  <c r="N94" i="50"/>
  <c r="O94" i="50"/>
  <c r="P94" i="50"/>
  <c r="Q94" i="50"/>
  <c r="S94" i="50"/>
  <c r="U94" i="50"/>
  <c r="W94" i="50"/>
  <c r="X94" i="50"/>
  <c r="Y94" i="50"/>
  <c r="AA94" i="50"/>
  <c r="AC94" i="50"/>
  <c r="AD94" i="50"/>
  <c r="AE94" i="50"/>
  <c r="AG94" i="50"/>
  <c r="AI94" i="50"/>
  <c r="AK94" i="50"/>
  <c r="AM94" i="50"/>
  <c r="AN94" i="50"/>
  <c r="AO94" i="50"/>
  <c r="AQ94" i="50"/>
  <c r="AR94" i="50"/>
  <c r="AS94" i="50"/>
  <c r="AU94" i="50"/>
  <c r="AV94" i="50"/>
  <c r="AW94" i="50"/>
  <c r="AX94" i="50"/>
  <c r="AY94" i="50"/>
  <c r="AZ94" i="50"/>
  <c r="BA94" i="50"/>
  <c r="BC94" i="50"/>
  <c r="BD94" i="50"/>
  <c r="BE94" i="50"/>
  <c r="BF94" i="50"/>
  <c r="BG94" i="50"/>
  <c r="BH94" i="50"/>
  <c r="BI94" i="50"/>
  <c r="BJ94" i="50"/>
  <c r="BK94" i="50"/>
  <c r="BL94" i="50"/>
  <c r="BM94" i="50"/>
  <c r="BN94" i="50"/>
  <c r="BO94" i="50"/>
  <c r="BP94" i="50"/>
  <c r="BQ94" i="50"/>
  <c r="BR94" i="50"/>
  <c r="BS94" i="50"/>
  <c r="BT94" i="50"/>
  <c r="BU94" i="50"/>
  <c r="A95" i="50"/>
  <c r="B95" i="50"/>
  <c r="C95" i="50"/>
  <c r="D95" i="50"/>
  <c r="E95" i="50"/>
  <c r="F95" i="50"/>
  <c r="G95" i="50"/>
  <c r="H95" i="50"/>
  <c r="I95" i="50"/>
  <c r="J95" i="50"/>
  <c r="K95" i="50"/>
  <c r="M95" i="50"/>
  <c r="N95" i="50"/>
  <c r="O95" i="50"/>
  <c r="P95" i="50"/>
  <c r="Q95" i="50"/>
  <c r="S95" i="50"/>
  <c r="U95" i="50"/>
  <c r="W95" i="50"/>
  <c r="X95" i="50"/>
  <c r="Y95" i="50"/>
  <c r="AA95" i="50"/>
  <c r="AC95" i="50"/>
  <c r="AD95" i="50"/>
  <c r="AE95" i="50"/>
  <c r="AG95" i="50"/>
  <c r="AI95" i="50"/>
  <c r="AK95" i="50"/>
  <c r="AM95" i="50"/>
  <c r="AN95" i="50"/>
  <c r="AO95" i="50"/>
  <c r="AQ95" i="50"/>
  <c r="AR95" i="50"/>
  <c r="AS95" i="50"/>
  <c r="AU95" i="50"/>
  <c r="AV95" i="50"/>
  <c r="AW95" i="50"/>
  <c r="AX95" i="50"/>
  <c r="AY95" i="50"/>
  <c r="AZ95" i="50"/>
  <c r="BA95" i="50"/>
  <c r="BC95" i="50"/>
  <c r="BD95" i="50"/>
  <c r="BE95" i="50"/>
  <c r="BF95" i="50"/>
  <c r="BG95" i="50"/>
  <c r="BH95" i="50"/>
  <c r="BI95" i="50"/>
  <c r="BJ95" i="50"/>
  <c r="BK95" i="50"/>
  <c r="BL95" i="50"/>
  <c r="BM95" i="50"/>
  <c r="BN95" i="50"/>
  <c r="BO95" i="50"/>
  <c r="BP95" i="50"/>
  <c r="BQ95" i="50"/>
  <c r="BR95" i="50"/>
  <c r="BS95" i="50"/>
  <c r="BT95" i="50"/>
  <c r="BU95" i="50"/>
  <c r="A96" i="50"/>
  <c r="B96" i="50"/>
  <c r="C96" i="50"/>
  <c r="D96" i="50"/>
  <c r="E96" i="50"/>
  <c r="F96" i="50"/>
  <c r="G96" i="50"/>
  <c r="H96" i="50"/>
  <c r="I96" i="50"/>
  <c r="J96" i="50"/>
  <c r="K96" i="50"/>
  <c r="M96" i="50"/>
  <c r="N96" i="50"/>
  <c r="O96" i="50"/>
  <c r="P96" i="50"/>
  <c r="Q96" i="50"/>
  <c r="S96" i="50"/>
  <c r="U96" i="50"/>
  <c r="W96" i="50"/>
  <c r="X96" i="50"/>
  <c r="Y96" i="50"/>
  <c r="AA96" i="50"/>
  <c r="AC96" i="50"/>
  <c r="AD96" i="50"/>
  <c r="AE96" i="50"/>
  <c r="AG96" i="50"/>
  <c r="AI96" i="50"/>
  <c r="AK96" i="50"/>
  <c r="AM96" i="50"/>
  <c r="AN96" i="50"/>
  <c r="AO96" i="50"/>
  <c r="AQ96" i="50"/>
  <c r="AR96" i="50"/>
  <c r="AS96" i="50"/>
  <c r="AU96" i="50"/>
  <c r="AV96" i="50"/>
  <c r="AW96" i="50"/>
  <c r="AX96" i="50"/>
  <c r="AY96" i="50"/>
  <c r="AZ96" i="50"/>
  <c r="BA96" i="50"/>
  <c r="BC96" i="50"/>
  <c r="BD96" i="50"/>
  <c r="BE96" i="50"/>
  <c r="BF96" i="50"/>
  <c r="BG96" i="50"/>
  <c r="BH96" i="50"/>
  <c r="BI96" i="50"/>
  <c r="BJ96" i="50"/>
  <c r="BK96" i="50"/>
  <c r="BL96" i="50"/>
  <c r="BM96" i="50"/>
  <c r="BN96" i="50"/>
  <c r="BO96" i="50"/>
  <c r="BP96" i="50"/>
  <c r="BQ96" i="50"/>
  <c r="BR96" i="50"/>
  <c r="BS96" i="50"/>
  <c r="BT96" i="50"/>
  <c r="BU96" i="50"/>
  <c r="A97" i="50"/>
  <c r="B97" i="50"/>
  <c r="C97" i="50"/>
  <c r="D97" i="50"/>
  <c r="E97" i="50"/>
  <c r="F97" i="50"/>
  <c r="G97" i="50"/>
  <c r="H97" i="50"/>
  <c r="I97" i="50"/>
  <c r="J97" i="50"/>
  <c r="K97" i="50"/>
  <c r="M97" i="50"/>
  <c r="N97" i="50"/>
  <c r="O97" i="50"/>
  <c r="P97" i="50"/>
  <c r="Q97" i="50"/>
  <c r="S97" i="50"/>
  <c r="U97" i="50"/>
  <c r="W97" i="50"/>
  <c r="X97" i="50"/>
  <c r="Y97" i="50"/>
  <c r="AA97" i="50"/>
  <c r="AC97" i="50"/>
  <c r="AD97" i="50"/>
  <c r="AE97" i="50"/>
  <c r="AG97" i="50"/>
  <c r="AI97" i="50"/>
  <c r="AK97" i="50"/>
  <c r="AM97" i="50"/>
  <c r="AN97" i="50"/>
  <c r="AO97" i="50"/>
  <c r="AQ97" i="50"/>
  <c r="AR97" i="50"/>
  <c r="AS97" i="50"/>
  <c r="AU97" i="50"/>
  <c r="AV97" i="50"/>
  <c r="AW97" i="50"/>
  <c r="AX97" i="50"/>
  <c r="AY97" i="50"/>
  <c r="AZ97" i="50"/>
  <c r="BA97" i="50"/>
  <c r="BC97" i="50"/>
  <c r="BD97" i="50"/>
  <c r="BE97" i="50"/>
  <c r="BF97" i="50"/>
  <c r="BG97" i="50"/>
  <c r="BH97" i="50"/>
  <c r="BI97" i="50"/>
  <c r="BJ97" i="50"/>
  <c r="BK97" i="50"/>
  <c r="BL97" i="50"/>
  <c r="BM97" i="50"/>
  <c r="BN97" i="50"/>
  <c r="BO97" i="50"/>
  <c r="BP97" i="50"/>
  <c r="BQ97" i="50"/>
  <c r="BR97" i="50"/>
  <c r="BS97" i="50"/>
  <c r="BT97" i="50"/>
  <c r="BU97" i="50"/>
  <c r="A98" i="50"/>
  <c r="B98" i="50"/>
  <c r="C98" i="50"/>
  <c r="D98" i="50"/>
  <c r="E98" i="50"/>
  <c r="F98" i="50"/>
  <c r="G98" i="50"/>
  <c r="H98" i="50"/>
  <c r="I98" i="50"/>
  <c r="J98" i="50"/>
  <c r="K98" i="50"/>
  <c r="M98" i="50"/>
  <c r="N98" i="50"/>
  <c r="O98" i="50"/>
  <c r="P98" i="50"/>
  <c r="Q98" i="50"/>
  <c r="S98" i="50"/>
  <c r="U98" i="50"/>
  <c r="W98" i="50"/>
  <c r="X98" i="50"/>
  <c r="Y98" i="50"/>
  <c r="AA98" i="50"/>
  <c r="AC98" i="50"/>
  <c r="AD98" i="50"/>
  <c r="AE98" i="50"/>
  <c r="AG98" i="50"/>
  <c r="AI98" i="50"/>
  <c r="AK98" i="50"/>
  <c r="AM98" i="50"/>
  <c r="AN98" i="50"/>
  <c r="AO98" i="50"/>
  <c r="AQ98" i="50"/>
  <c r="AR98" i="50"/>
  <c r="AS98" i="50"/>
  <c r="AU98" i="50"/>
  <c r="AV98" i="50"/>
  <c r="AW98" i="50"/>
  <c r="AX98" i="50"/>
  <c r="AY98" i="50"/>
  <c r="AZ98" i="50"/>
  <c r="BA98" i="50"/>
  <c r="BC98" i="50"/>
  <c r="BD98" i="50"/>
  <c r="BE98" i="50"/>
  <c r="BF98" i="50"/>
  <c r="BG98" i="50"/>
  <c r="BH98" i="50"/>
  <c r="BI98" i="50"/>
  <c r="BJ98" i="50"/>
  <c r="BK98" i="50"/>
  <c r="BL98" i="50"/>
  <c r="BM98" i="50"/>
  <c r="BN98" i="50"/>
  <c r="BO98" i="50"/>
  <c r="BP98" i="50"/>
  <c r="BQ98" i="50"/>
  <c r="BR98" i="50"/>
  <c r="BS98" i="50"/>
  <c r="BT98" i="50"/>
  <c r="BU98" i="50"/>
  <c r="A99" i="50"/>
  <c r="B99" i="50"/>
  <c r="C99" i="50"/>
  <c r="D99" i="50"/>
  <c r="E99" i="50"/>
  <c r="F99" i="50"/>
  <c r="G99" i="50"/>
  <c r="H99" i="50"/>
  <c r="I99" i="50"/>
  <c r="J99" i="50"/>
  <c r="K99" i="50"/>
  <c r="M99" i="50"/>
  <c r="N99" i="50"/>
  <c r="O99" i="50"/>
  <c r="P99" i="50"/>
  <c r="Q99" i="50"/>
  <c r="S99" i="50"/>
  <c r="U99" i="50"/>
  <c r="W99" i="50"/>
  <c r="X99" i="50"/>
  <c r="Y99" i="50"/>
  <c r="AA99" i="50"/>
  <c r="AC99" i="50"/>
  <c r="AD99" i="50"/>
  <c r="AE99" i="50"/>
  <c r="AG99" i="50"/>
  <c r="AI99" i="50"/>
  <c r="AK99" i="50"/>
  <c r="AM99" i="50"/>
  <c r="AN99" i="50"/>
  <c r="AO99" i="50"/>
  <c r="AQ99" i="50"/>
  <c r="AR99" i="50"/>
  <c r="AS99" i="50"/>
  <c r="AU99" i="50"/>
  <c r="AV99" i="50"/>
  <c r="AW99" i="50"/>
  <c r="AX99" i="50"/>
  <c r="AY99" i="50"/>
  <c r="AZ99" i="50"/>
  <c r="BA99" i="50"/>
  <c r="BC99" i="50"/>
  <c r="BD99" i="50"/>
  <c r="BE99" i="50"/>
  <c r="BF99" i="50"/>
  <c r="BG99" i="50"/>
  <c r="BH99" i="50"/>
  <c r="BI99" i="50"/>
  <c r="BJ99" i="50"/>
  <c r="BK99" i="50"/>
  <c r="BL99" i="50"/>
  <c r="BM99" i="50"/>
  <c r="BN99" i="50"/>
  <c r="BO99" i="50"/>
  <c r="BP99" i="50"/>
  <c r="BQ99" i="50"/>
  <c r="BR99" i="50"/>
  <c r="BS99" i="50"/>
  <c r="BT99" i="50"/>
  <c r="BU99" i="50"/>
  <c r="A100" i="50"/>
  <c r="B100" i="50"/>
  <c r="C100" i="50"/>
  <c r="D100" i="50"/>
  <c r="E100" i="50"/>
  <c r="F100" i="50"/>
  <c r="G100" i="50"/>
  <c r="H100" i="50"/>
  <c r="I100" i="50"/>
  <c r="J100" i="50"/>
  <c r="K100" i="50"/>
  <c r="M100" i="50"/>
  <c r="N100" i="50"/>
  <c r="O100" i="50"/>
  <c r="P100" i="50"/>
  <c r="Q100" i="50"/>
  <c r="S100" i="50"/>
  <c r="U100" i="50"/>
  <c r="W100" i="50"/>
  <c r="X100" i="50"/>
  <c r="Y100" i="50"/>
  <c r="AA100" i="50"/>
  <c r="AC100" i="50"/>
  <c r="AD100" i="50"/>
  <c r="AE100" i="50"/>
  <c r="AG100" i="50"/>
  <c r="AI100" i="50"/>
  <c r="AK100" i="50"/>
  <c r="AM100" i="50"/>
  <c r="AN100" i="50"/>
  <c r="AO100" i="50"/>
  <c r="AQ100" i="50"/>
  <c r="AR100" i="50"/>
  <c r="AS100" i="50"/>
  <c r="AU100" i="50"/>
  <c r="AV100" i="50"/>
  <c r="AW100" i="50"/>
  <c r="AX100" i="50"/>
  <c r="AY100" i="50"/>
  <c r="AZ100" i="50"/>
  <c r="BA100" i="50"/>
  <c r="BC100" i="50"/>
  <c r="BD100" i="50"/>
  <c r="BE100" i="50"/>
  <c r="BF100" i="50"/>
  <c r="BG100" i="50"/>
  <c r="BH100" i="50"/>
  <c r="BI100" i="50"/>
  <c r="BJ100" i="50"/>
  <c r="BK100" i="50"/>
  <c r="BL100" i="50"/>
  <c r="BM100" i="50"/>
  <c r="BN100" i="50"/>
  <c r="BO100" i="50"/>
  <c r="BP100" i="50"/>
  <c r="BQ100" i="50"/>
  <c r="BR100" i="50"/>
  <c r="BS100" i="50"/>
  <c r="BT100" i="50"/>
  <c r="BU100" i="50"/>
  <c r="A101" i="50"/>
  <c r="B101" i="50"/>
  <c r="C101" i="50"/>
  <c r="D101" i="50"/>
  <c r="E101" i="50"/>
  <c r="F101" i="50"/>
  <c r="G101" i="50"/>
  <c r="H101" i="50"/>
  <c r="I101" i="50"/>
  <c r="J101" i="50"/>
  <c r="K101" i="50"/>
  <c r="M101" i="50"/>
  <c r="N101" i="50"/>
  <c r="O101" i="50"/>
  <c r="P101" i="50"/>
  <c r="Q101" i="50"/>
  <c r="S101" i="50"/>
  <c r="U101" i="50"/>
  <c r="W101" i="50"/>
  <c r="X101" i="50"/>
  <c r="Y101" i="50"/>
  <c r="AA101" i="50"/>
  <c r="AC101" i="50"/>
  <c r="AD101" i="50"/>
  <c r="AE101" i="50"/>
  <c r="AG101" i="50"/>
  <c r="AI101" i="50"/>
  <c r="AK101" i="50"/>
  <c r="AM101" i="50"/>
  <c r="AN101" i="50"/>
  <c r="AO101" i="50"/>
  <c r="AQ101" i="50"/>
  <c r="AR101" i="50"/>
  <c r="AS101" i="50"/>
  <c r="AU101" i="50"/>
  <c r="AV101" i="50"/>
  <c r="AW101" i="50"/>
  <c r="AX101" i="50"/>
  <c r="AY101" i="50"/>
  <c r="AZ101" i="50"/>
  <c r="BA101" i="50"/>
  <c r="BC101" i="50"/>
  <c r="BD101" i="50"/>
  <c r="BE101" i="50"/>
  <c r="BF101" i="50"/>
  <c r="BG101" i="50"/>
  <c r="BH101" i="50"/>
  <c r="BI101" i="50"/>
  <c r="BJ101" i="50"/>
  <c r="BK101" i="50"/>
  <c r="BL101" i="50"/>
  <c r="BM101" i="50"/>
  <c r="BN101" i="50"/>
  <c r="BO101" i="50"/>
  <c r="BP101" i="50"/>
  <c r="BQ101" i="50"/>
  <c r="BR101" i="50"/>
  <c r="BS101" i="50"/>
  <c r="BT101" i="50"/>
  <c r="BU101" i="50"/>
  <c r="A102" i="50"/>
  <c r="B102" i="50"/>
  <c r="C102" i="50"/>
  <c r="D102" i="50"/>
  <c r="E102" i="50"/>
  <c r="F102" i="50"/>
  <c r="G102" i="50"/>
  <c r="H102" i="50"/>
  <c r="I102" i="50"/>
  <c r="J102" i="50"/>
  <c r="K102" i="50"/>
  <c r="M102" i="50"/>
  <c r="N102" i="50"/>
  <c r="O102" i="50"/>
  <c r="P102" i="50"/>
  <c r="Q102" i="50"/>
  <c r="S102" i="50"/>
  <c r="U102" i="50"/>
  <c r="W102" i="50"/>
  <c r="X102" i="50"/>
  <c r="Y102" i="50"/>
  <c r="AA102" i="50"/>
  <c r="AC102" i="50"/>
  <c r="AD102" i="50"/>
  <c r="AE102" i="50"/>
  <c r="AG102" i="50"/>
  <c r="AI102" i="50"/>
  <c r="AK102" i="50"/>
  <c r="AM102" i="50"/>
  <c r="AN102" i="50"/>
  <c r="AO102" i="50"/>
  <c r="AQ102" i="50"/>
  <c r="AR102" i="50"/>
  <c r="AS102" i="50"/>
  <c r="AU102" i="50"/>
  <c r="AV102" i="50"/>
  <c r="AW102" i="50"/>
  <c r="AX102" i="50"/>
  <c r="AY102" i="50"/>
  <c r="AZ102" i="50"/>
  <c r="BA102" i="50"/>
  <c r="BC102" i="50"/>
  <c r="BD102" i="50"/>
  <c r="BE102" i="50"/>
  <c r="BF102" i="50"/>
  <c r="BG102" i="50"/>
  <c r="BH102" i="50"/>
  <c r="BI102" i="50"/>
  <c r="BJ102" i="50"/>
  <c r="BK102" i="50"/>
  <c r="BL102" i="50"/>
  <c r="BM102" i="50"/>
  <c r="BN102" i="50"/>
  <c r="BO102" i="50"/>
  <c r="BP102" i="50"/>
  <c r="BQ102" i="50"/>
  <c r="BR102" i="50"/>
  <c r="BS102" i="50"/>
  <c r="BT102" i="50"/>
  <c r="BU102" i="50"/>
  <c r="A103" i="50"/>
  <c r="B103" i="50"/>
  <c r="C103" i="50"/>
  <c r="D103" i="50"/>
  <c r="E103" i="50"/>
  <c r="F103" i="50"/>
  <c r="G103" i="50"/>
  <c r="H103" i="50"/>
  <c r="I103" i="50"/>
  <c r="J103" i="50"/>
  <c r="K103" i="50"/>
  <c r="M103" i="50"/>
  <c r="N103" i="50"/>
  <c r="O103" i="50"/>
  <c r="P103" i="50"/>
  <c r="Q103" i="50"/>
  <c r="S103" i="50"/>
  <c r="U103" i="50"/>
  <c r="W103" i="50"/>
  <c r="X103" i="50"/>
  <c r="Y103" i="50"/>
  <c r="AA103" i="50"/>
  <c r="AC103" i="50"/>
  <c r="AD103" i="50"/>
  <c r="AE103" i="50"/>
  <c r="AG103" i="50"/>
  <c r="AI103" i="50"/>
  <c r="AK103" i="50"/>
  <c r="AM103" i="50"/>
  <c r="AN103" i="50"/>
  <c r="AO103" i="50"/>
  <c r="AQ103" i="50"/>
  <c r="AR103" i="50"/>
  <c r="AS103" i="50"/>
  <c r="AU103" i="50"/>
  <c r="AV103" i="50"/>
  <c r="AW103" i="50"/>
  <c r="AX103" i="50"/>
  <c r="AY103" i="50"/>
  <c r="AZ103" i="50"/>
  <c r="BA103" i="50"/>
  <c r="BC103" i="50"/>
  <c r="BD103" i="50"/>
  <c r="BE103" i="50"/>
  <c r="BF103" i="50"/>
  <c r="BG103" i="50"/>
  <c r="BH103" i="50"/>
  <c r="BI103" i="50"/>
  <c r="BJ103" i="50"/>
  <c r="BK103" i="50"/>
  <c r="BL103" i="50"/>
  <c r="BM103" i="50"/>
  <c r="BN103" i="50"/>
  <c r="BO103" i="50"/>
  <c r="BP103" i="50"/>
  <c r="BQ103" i="50"/>
  <c r="BR103" i="50"/>
  <c r="BS103" i="50"/>
  <c r="BT103" i="50"/>
  <c r="BU103" i="50"/>
  <c r="A104" i="50"/>
  <c r="B104" i="50"/>
  <c r="C104" i="50"/>
  <c r="D104" i="50"/>
  <c r="E104" i="50"/>
  <c r="F104" i="50"/>
  <c r="G104" i="50"/>
  <c r="H104" i="50"/>
  <c r="I104" i="50"/>
  <c r="J104" i="50"/>
  <c r="K104" i="50"/>
  <c r="M104" i="50"/>
  <c r="N104" i="50"/>
  <c r="O104" i="50"/>
  <c r="P104" i="50"/>
  <c r="Q104" i="50"/>
  <c r="S104" i="50"/>
  <c r="U104" i="50"/>
  <c r="W104" i="50"/>
  <c r="X104" i="50"/>
  <c r="Y104" i="50"/>
  <c r="AA104" i="50"/>
  <c r="AC104" i="50"/>
  <c r="AD104" i="50"/>
  <c r="AE104" i="50"/>
  <c r="AG104" i="50"/>
  <c r="AI104" i="50"/>
  <c r="AK104" i="50"/>
  <c r="AM104" i="50"/>
  <c r="AN104" i="50"/>
  <c r="AO104" i="50"/>
  <c r="AQ104" i="50"/>
  <c r="AR104" i="50"/>
  <c r="AS104" i="50"/>
  <c r="AU104" i="50"/>
  <c r="AV104" i="50"/>
  <c r="AW104" i="50"/>
  <c r="AX104" i="50"/>
  <c r="AY104" i="50"/>
  <c r="AZ104" i="50"/>
  <c r="BA104" i="50"/>
  <c r="BC104" i="50"/>
  <c r="BD104" i="50"/>
  <c r="BE104" i="50"/>
  <c r="BF104" i="50"/>
  <c r="BG104" i="50"/>
  <c r="BH104" i="50"/>
  <c r="BI104" i="50"/>
  <c r="BJ104" i="50"/>
  <c r="BK104" i="50"/>
  <c r="BL104" i="50"/>
  <c r="BM104" i="50"/>
  <c r="BN104" i="50"/>
  <c r="BO104" i="50"/>
  <c r="BP104" i="50"/>
  <c r="BQ104" i="50"/>
  <c r="BR104" i="50"/>
  <c r="BS104" i="50"/>
  <c r="BT104" i="50"/>
  <c r="BU104" i="50"/>
  <c r="A105" i="50"/>
  <c r="B105" i="50"/>
  <c r="C105" i="50"/>
  <c r="D105" i="50"/>
  <c r="E105" i="50"/>
  <c r="F105" i="50"/>
  <c r="G105" i="50"/>
  <c r="H105" i="50"/>
  <c r="I105" i="50"/>
  <c r="J105" i="50"/>
  <c r="K105" i="50"/>
  <c r="M105" i="50"/>
  <c r="N105" i="50"/>
  <c r="O105" i="50"/>
  <c r="P105" i="50"/>
  <c r="Q105" i="50"/>
  <c r="S105" i="50"/>
  <c r="U105" i="50"/>
  <c r="W105" i="50"/>
  <c r="X105" i="50"/>
  <c r="Y105" i="50"/>
  <c r="AA105" i="50"/>
  <c r="AC105" i="50"/>
  <c r="AD105" i="50"/>
  <c r="AE105" i="50"/>
  <c r="AG105" i="50"/>
  <c r="AI105" i="50"/>
  <c r="AK105" i="50"/>
  <c r="AM105" i="50"/>
  <c r="AN105" i="50"/>
  <c r="AO105" i="50"/>
  <c r="AQ105" i="50"/>
  <c r="AR105" i="50"/>
  <c r="AS105" i="50"/>
  <c r="AU105" i="50"/>
  <c r="AV105" i="50"/>
  <c r="AW105" i="50"/>
  <c r="AX105" i="50"/>
  <c r="AY105" i="50"/>
  <c r="AZ105" i="50"/>
  <c r="BA105" i="50"/>
  <c r="BC105" i="50"/>
  <c r="BD105" i="50"/>
  <c r="BE105" i="50"/>
  <c r="BF105" i="50"/>
  <c r="BG105" i="50"/>
  <c r="BH105" i="50"/>
  <c r="BI105" i="50"/>
  <c r="BJ105" i="50"/>
  <c r="BK105" i="50"/>
  <c r="BL105" i="50"/>
  <c r="BM105" i="50"/>
  <c r="BN105" i="50"/>
  <c r="BO105" i="50"/>
  <c r="BP105" i="50"/>
  <c r="BQ105" i="50"/>
  <c r="BR105" i="50"/>
  <c r="BS105" i="50"/>
  <c r="BT105" i="50"/>
  <c r="BU105" i="50"/>
  <c r="A106" i="50"/>
  <c r="B106" i="50"/>
  <c r="C106" i="50"/>
  <c r="D106" i="50"/>
  <c r="E106" i="50"/>
  <c r="F106" i="50"/>
  <c r="G106" i="50"/>
  <c r="H106" i="50"/>
  <c r="I106" i="50"/>
  <c r="J106" i="50"/>
  <c r="K106" i="50"/>
  <c r="M106" i="50"/>
  <c r="N106" i="50"/>
  <c r="O106" i="50"/>
  <c r="P106" i="50"/>
  <c r="Q106" i="50"/>
  <c r="S106" i="50"/>
  <c r="U106" i="50"/>
  <c r="W106" i="50"/>
  <c r="X106" i="50"/>
  <c r="Y106" i="50"/>
  <c r="AA106" i="50"/>
  <c r="AC106" i="50"/>
  <c r="AD106" i="50"/>
  <c r="AE106" i="50"/>
  <c r="AG106" i="50"/>
  <c r="AI106" i="50"/>
  <c r="AK106" i="50"/>
  <c r="AM106" i="50"/>
  <c r="AN106" i="50"/>
  <c r="AO106" i="50"/>
  <c r="AQ106" i="50"/>
  <c r="AR106" i="50"/>
  <c r="AS106" i="50"/>
  <c r="AU106" i="50"/>
  <c r="AV106" i="50"/>
  <c r="AW106" i="50"/>
  <c r="AX106" i="50"/>
  <c r="AY106" i="50"/>
  <c r="AZ106" i="50"/>
  <c r="BA106" i="50"/>
  <c r="BC106" i="50"/>
  <c r="BD106" i="50"/>
  <c r="BE106" i="50"/>
  <c r="BF106" i="50"/>
  <c r="BG106" i="50"/>
  <c r="BH106" i="50"/>
  <c r="BI106" i="50"/>
  <c r="BJ106" i="50"/>
  <c r="BK106" i="50"/>
  <c r="BL106" i="50"/>
  <c r="BM106" i="50"/>
  <c r="BN106" i="50"/>
  <c r="BO106" i="50"/>
  <c r="BP106" i="50"/>
  <c r="BQ106" i="50"/>
  <c r="BR106" i="50"/>
  <c r="BS106" i="50"/>
  <c r="BT106" i="50"/>
  <c r="BU106" i="50"/>
  <c r="A107" i="50"/>
  <c r="B107" i="50"/>
  <c r="C107" i="50"/>
  <c r="D107" i="50"/>
  <c r="E107" i="50"/>
  <c r="F107" i="50"/>
  <c r="G107" i="50"/>
  <c r="H107" i="50"/>
  <c r="I107" i="50"/>
  <c r="J107" i="50"/>
  <c r="K107" i="50"/>
  <c r="M107" i="50"/>
  <c r="N107" i="50"/>
  <c r="O107" i="50"/>
  <c r="P107" i="50"/>
  <c r="Q107" i="50"/>
  <c r="S107" i="50"/>
  <c r="U107" i="50"/>
  <c r="W107" i="50"/>
  <c r="X107" i="50"/>
  <c r="Y107" i="50"/>
  <c r="AA107" i="50"/>
  <c r="AC107" i="50"/>
  <c r="AD107" i="50"/>
  <c r="AE107" i="50"/>
  <c r="AG107" i="50"/>
  <c r="AI107" i="50"/>
  <c r="AK107" i="50"/>
  <c r="AM107" i="50"/>
  <c r="AN107" i="50"/>
  <c r="AO107" i="50"/>
  <c r="AQ107" i="50"/>
  <c r="AR107" i="50"/>
  <c r="AS107" i="50"/>
  <c r="AU107" i="50"/>
  <c r="AV107" i="50"/>
  <c r="AW107" i="50"/>
  <c r="AX107" i="50"/>
  <c r="AY107" i="50"/>
  <c r="AZ107" i="50"/>
  <c r="BA107" i="50"/>
  <c r="BC107" i="50"/>
  <c r="BD107" i="50"/>
  <c r="BE107" i="50"/>
  <c r="BF107" i="50"/>
  <c r="BG107" i="50"/>
  <c r="BH107" i="50"/>
  <c r="BI107" i="50"/>
  <c r="BJ107" i="50"/>
  <c r="BK107" i="50"/>
  <c r="BL107" i="50"/>
  <c r="BM107" i="50"/>
  <c r="BN107" i="50"/>
  <c r="BO107" i="50"/>
  <c r="BP107" i="50"/>
  <c r="BQ107" i="50"/>
  <c r="BR107" i="50"/>
  <c r="BS107" i="50"/>
  <c r="BT107" i="50"/>
  <c r="BU107" i="50"/>
  <c r="A108" i="50"/>
  <c r="B108" i="50"/>
  <c r="C108" i="50"/>
  <c r="D108" i="50"/>
  <c r="E108" i="50"/>
  <c r="F108" i="50"/>
  <c r="G108" i="50"/>
  <c r="H108" i="50"/>
  <c r="I108" i="50"/>
  <c r="J108" i="50"/>
  <c r="K108" i="50"/>
  <c r="M108" i="50"/>
  <c r="N108" i="50"/>
  <c r="O108" i="50"/>
  <c r="P108" i="50"/>
  <c r="Q108" i="50"/>
  <c r="S108" i="50"/>
  <c r="U108" i="50"/>
  <c r="W108" i="50"/>
  <c r="X108" i="50"/>
  <c r="Y108" i="50"/>
  <c r="AA108" i="50"/>
  <c r="AC108" i="50"/>
  <c r="AD108" i="50"/>
  <c r="AE108" i="50"/>
  <c r="AG108" i="50"/>
  <c r="AI108" i="50"/>
  <c r="AK108" i="50"/>
  <c r="AM108" i="50"/>
  <c r="AN108" i="50"/>
  <c r="AO108" i="50"/>
  <c r="AQ108" i="50"/>
  <c r="AR108" i="50"/>
  <c r="AS108" i="50"/>
  <c r="AU108" i="50"/>
  <c r="AV108" i="50"/>
  <c r="AW108" i="50"/>
  <c r="AX108" i="50"/>
  <c r="AY108" i="50"/>
  <c r="AZ108" i="50"/>
  <c r="BA108" i="50"/>
  <c r="BC108" i="50"/>
  <c r="BD108" i="50"/>
  <c r="BE108" i="50"/>
  <c r="BF108" i="50"/>
  <c r="BG108" i="50"/>
  <c r="BH108" i="50"/>
  <c r="BI108" i="50"/>
  <c r="BJ108" i="50"/>
  <c r="BK108" i="50"/>
  <c r="BL108" i="50"/>
  <c r="BM108" i="50"/>
  <c r="BN108" i="50"/>
  <c r="BO108" i="50"/>
  <c r="BP108" i="50"/>
  <c r="BQ108" i="50"/>
  <c r="BR108" i="50"/>
  <c r="BS108" i="50"/>
  <c r="BT108" i="50"/>
  <c r="BU108" i="50"/>
  <c r="A109" i="50"/>
  <c r="B109" i="50"/>
  <c r="C109" i="50"/>
  <c r="D109" i="50"/>
  <c r="E109" i="50"/>
  <c r="F109" i="50"/>
  <c r="G109" i="50"/>
  <c r="H109" i="50"/>
  <c r="I109" i="50"/>
  <c r="J109" i="50"/>
  <c r="K109" i="50"/>
  <c r="M109" i="50"/>
  <c r="N109" i="50"/>
  <c r="O109" i="50"/>
  <c r="P109" i="50"/>
  <c r="Q109" i="50"/>
  <c r="S109" i="50"/>
  <c r="U109" i="50"/>
  <c r="W109" i="50"/>
  <c r="X109" i="50"/>
  <c r="Y109" i="50"/>
  <c r="AA109" i="50"/>
  <c r="AC109" i="50"/>
  <c r="AD109" i="50"/>
  <c r="AE109" i="50"/>
  <c r="AG109" i="50"/>
  <c r="AI109" i="50"/>
  <c r="AK109" i="50"/>
  <c r="AM109" i="50"/>
  <c r="AN109" i="50"/>
  <c r="AO109" i="50"/>
  <c r="AQ109" i="50"/>
  <c r="AR109" i="50"/>
  <c r="AS109" i="50"/>
  <c r="AU109" i="50"/>
  <c r="AV109" i="50"/>
  <c r="AW109" i="50"/>
  <c r="AX109" i="50"/>
  <c r="AY109" i="50"/>
  <c r="AZ109" i="50"/>
  <c r="BA109" i="50"/>
  <c r="BC109" i="50"/>
  <c r="BD109" i="50"/>
  <c r="BE109" i="50"/>
  <c r="BF109" i="50"/>
  <c r="BG109" i="50"/>
  <c r="BH109" i="50"/>
  <c r="BI109" i="50"/>
  <c r="BJ109" i="50"/>
  <c r="BK109" i="50"/>
  <c r="BL109" i="50"/>
  <c r="BM109" i="50"/>
  <c r="BN109" i="50"/>
  <c r="BO109" i="50"/>
  <c r="BP109" i="50"/>
  <c r="BQ109" i="50"/>
  <c r="BR109" i="50"/>
  <c r="BS109" i="50"/>
  <c r="BT109" i="50"/>
  <c r="BU109" i="50"/>
  <c r="A110" i="50"/>
  <c r="B110" i="50"/>
  <c r="C110" i="50"/>
  <c r="D110" i="50"/>
  <c r="E110" i="50"/>
  <c r="F110" i="50"/>
  <c r="G110" i="50"/>
  <c r="H110" i="50"/>
  <c r="I110" i="50"/>
  <c r="J110" i="50"/>
  <c r="K110" i="50"/>
  <c r="M110" i="50"/>
  <c r="N110" i="50"/>
  <c r="O110" i="50"/>
  <c r="P110" i="50"/>
  <c r="Q110" i="50"/>
  <c r="S110" i="50"/>
  <c r="U110" i="50"/>
  <c r="W110" i="50"/>
  <c r="X110" i="50"/>
  <c r="Y110" i="50"/>
  <c r="AA110" i="50"/>
  <c r="AC110" i="50"/>
  <c r="AD110" i="50"/>
  <c r="AE110" i="50"/>
  <c r="AG110" i="50"/>
  <c r="AI110" i="50"/>
  <c r="AK110" i="50"/>
  <c r="AM110" i="50"/>
  <c r="AN110" i="50"/>
  <c r="AO110" i="50"/>
  <c r="AQ110" i="50"/>
  <c r="AR110" i="50"/>
  <c r="AS110" i="50"/>
  <c r="AU110" i="50"/>
  <c r="AV110" i="50"/>
  <c r="AW110" i="50"/>
  <c r="AX110" i="50"/>
  <c r="AY110" i="50"/>
  <c r="AZ110" i="50"/>
  <c r="BA110" i="50"/>
  <c r="BC110" i="50"/>
  <c r="BD110" i="50"/>
  <c r="BE110" i="50"/>
  <c r="BF110" i="50"/>
  <c r="BG110" i="50"/>
  <c r="BH110" i="50"/>
  <c r="BI110" i="50"/>
  <c r="BJ110" i="50"/>
  <c r="BK110" i="50"/>
  <c r="BL110" i="50"/>
  <c r="BM110" i="50"/>
  <c r="BN110" i="50"/>
  <c r="BO110" i="50"/>
  <c r="BP110" i="50"/>
  <c r="BQ110" i="50"/>
  <c r="BR110" i="50"/>
  <c r="BS110" i="50"/>
  <c r="BT110" i="50"/>
  <c r="BU110" i="50"/>
  <c r="A111" i="50"/>
  <c r="B111" i="50"/>
  <c r="C111" i="50"/>
  <c r="D111" i="50"/>
  <c r="E111" i="50"/>
  <c r="F111" i="50"/>
  <c r="G111" i="50"/>
  <c r="H111" i="50"/>
  <c r="I111" i="50"/>
  <c r="J111" i="50"/>
  <c r="K111" i="50"/>
  <c r="M111" i="50"/>
  <c r="N111" i="50"/>
  <c r="O111" i="50"/>
  <c r="P111" i="50"/>
  <c r="Q111" i="50"/>
  <c r="S111" i="50"/>
  <c r="U111" i="50"/>
  <c r="W111" i="50"/>
  <c r="X111" i="50"/>
  <c r="Y111" i="50"/>
  <c r="AA111" i="50"/>
  <c r="AC111" i="50"/>
  <c r="AD111" i="50"/>
  <c r="AE111" i="50"/>
  <c r="AG111" i="50"/>
  <c r="AI111" i="50"/>
  <c r="AK111" i="50"/>
  <c r="AM111" i="50"/>
  <c r="AN111" i="50"/>
  <c r="AO111" i="50"/>
  <c r="AQ111" i="50"/>
  <c r="AR111" i="50"/>
  <c r="AS111" i="50"/>
  <c r="AU111" i="50"/>
  <c r="AV111" i="50"/>
  <c r="AW111" i="50"/>
  <c r="AX111" i="50"/>
  <c r="AY111" i="50"/>
  <c r="AZ111" i="50"/>
  <c r="BA111" i="50"/>
  <c r="BC111" i="50"/>
  <c r="BD111" i="50"/>
  <c r="BE111" i="50"/>
  <c r="BF111" i="50"/>
  <c r="BG111" i="50"/>
  <c r="BH111" i="50"/>
  <c r="BI111" i="50"/>
  <c r="BJ111" i="50"/>
  <c r="BK111" i="50"/>
  <c r="BL111" i="50"/>
  <c r="BM111" i="50"/>
  <c r="BN111" i="50"/>
  <c r="BO111" i="50"/>
  <c r="BP111" i="50"/>
  <c r="BQ111" i="50"/>
  <c r="BR111" i="50"/>
  <c r="BS111" i="50"/>
  <c r="BT111" i="50"/>
  <c r="BU111" i="50"/>
  <c r="A112" i="50"/>
  <c r="B112" i="50"/>
  <c r="C112" i="50"/>
  <c r="D112" i="50"/>
  <c r="E112" i="50"/>
  <c r="F112" i="50"/>
  <c r="G112" i="50"/>
  <c r="H112" i="50"/>
  <c r="I112" i="50"/>
  <c r="J112" i="50"/>
  <c r="K112" i="50"/>
  <c r="M112" i="50"/>
  <c r="N112" i="50"/>
  <c r="O112" i="50"/>
  <c r="P112" i="50"/>
  <c r="Q112" i="50"/>
  <c r="S112" i="50"/>
  <c r="U112" i="50"/>
  <c r="W112" i="50"/>
  <c r="X112" i="50"/>
  <c r="Y112" i="50"/>
  <c r="AA112" i="50"/>
  <c r="AC112" i="50"/>
  <c r="AD112" i="50"/>
  <c r="AE112" i="50"/>
  <c r="AG112" i="50"/>
  <c r="AI112" i="50"/>
  <c r="AK112" i="50"/>
  <c r="AM112" i="50"/>
  <c r="AN112" i="50"/>
  <c r="AO112" i="50"/>
  <c r="AQ112" i="50"/>
  <c r="AR112" i="50"/>
  <c r="AS112" i="50"/>
  <c r="AU112" i="50"/>
  <c r="AV112" i="50"/>
  <c r="AW112" i="50"/>
  <c r="AX112" i="50"/>
  <c r="AY112" i="50"/>
  <c r="AZ112" i="50"/>
  <c r="BA112" i="50"/>
  <c r="BC112" i="50"/>
  <c r="BD112" i="50"/>
  <c r="BE112" i="50"/>
  <c r="BF112" i="50"/>
  <c r="BG112" i="50"/>
  <c r="BH112" i="50"/>
  <c r="BI112" i="50"/>
  <c r="BJ112" i="50"/>
  <c r="BK112" i="50"/>
  <c r="BL112" i="50"/>
  <c r="BM112" i="50"/>
  <c r="BN112" i="50"/>
  <c r="BO112" i="50"/>
  <c r="BP112" i="50"/>
  <c r="BQ112" i="50"/>
  <c r="BR112" i="50"/>
  <c r="BS112" i="50"/>
  <c r="BT112" i="50"/>
  <c r="BU112" i="50"/>
  <c r="A113" i="50"/>
  <c r="B113" i="50"/>
  <c r="C113" i="50"/>
  <c r="D113" i="50"/>
  <c r="E113" i="50"/>
  <c r="F113" i="50"/>
  <c r="G113" i="50"/>
  <c r="H113" i="50"/>
  <c r="I113" i="50"/>
  <c r="J113" i="50"/>
  <c r="K113" i="50"/>
  <c r="M113" i="50"/>
  <c r="N113" i="50"/>
  <c r="O113" i="50"/>
  <c r="P113" i="50"/>
  <c r="Q113" i="50"/>
  <c r="S113" i="50"/>
  <c r="U113" i="50"/>
  <c r="W113" i="50"/>
  <c r="X113" i="50"/>
  <c r="Y113" i="50"/>
  <c r="AA113" i="50"/>
  <c r="AC113" i="50"/>
  <c r="AD113" i="50"/>
  <c r="AE113" i="50"/>
  <c r="AG113" i="50"/>
  <c r="AI113" i="50"/>
  <c r="AK113" i="50"/>
  <c r="AM113" i="50"/>
  <c r="AN113" i="50"/>
  <c r="AO113" i="50"/>
  <c r="AQ113" i="50"/>
  <c r="AR113" i="50"/>
  <c r="AS113" i="50"/>
  <c r="AU113" i="50"/>
  <c r="AV113" i="50"/>
  <c r="AW113" i="50"/>
  <c r="AX113" i="50"/>
  <c r="AY113" i="50"/>
  <c r="AZ113" i="50"/>
  <c r="BA113" i="50"/>
  <c r="BC113" i="50"/>
  <c r="BD113" i="50"/>
  <c r="BE113" i="50"/>
  <c r="BF113" i="50"/>
  <c r="BG113" i="50"/>
  <c r="BH113" i="50"/>
  <c r="BI113" i="50"/>
  <c r="BJ113" i="50"/>
  <c r="BK113" i="50"/>
  <c r="BL113" i="50"/>
  <c r="BM113" i="50"/>
  <c r="BN113" i="50"/>
  <c r="BO113" i="50"/>
  <c r="BP113" i="50"/>
  <c r="BQ113" i="50"/>
  <c r="BR113" i="50"/>
  <c r="BS113" i="50"/>
  <c r="BT113" i="50"/>
  <c r="BU113" i="50"/>
  <c r="A114" i="50"/>
  <c r="B114" i="50"/>
  <c r="C114" i="50"/>
  <c r="D114" i="50"/>
  <c r="E114" i="50"/>
  <c r="F114" i="50"/>
  <c r="G114" i="50"/>
  <c r="H114" i="50"/>
  <c r="I114" i="50"/>
  <c r="J114" i="50"/>
  <c r="K114" i="50"/>
  <c r="M114" i="50"/>
  <c r="N114" i="50"/>
  <c r="O114" i="50"/>
  <c r="P114" i="50"/>
  <c r="Q114" i="50"/>
  <c r="S114" i="50"/>
  <c r="U114" i="50"/>
  <c r="W114" i="50"/>
  <c r="X114" i="50"/>
  <c r="Y114" i="50"/>
  <c r="AA114" i="50"/>
  <c r="AC114" i="50"/>
  <c r="AD114" i="50"/>
  <c r="AE114" i="50"/>
  <c r="AG114" i="50"/>
  <c r="AI114" i="50"/>
  <c r="AK114" i="50"/>
  <c r="AM114" i="50"/>
  <c r="AN114" i="50"/>
  <c r="AO114" i="50"/>
  <c r="AQ114" i="50"/>
  <c r="AR114" i="50"/>
  <c r="AS114" i="50"/>
  <c r="AU114" i="50"/>
  <c r="AV114" i="50"/>
  <c r="AW114" i="50"/>
  <c r="AX114" i="50"/>
  <c r="AY114" i="50"/>
  <c r="AZ114" i="50"/>
  <c r="BA114" i="50"/>
  <c r="BC114" i="50"/>
  <c r="BD114" i="50"/>
  <c r="BE114" i="50"/>
  <c r="BF114" i="50"/>
  <c r="BG114" i="50"/>
  <c r="BH114" i="50"/>
  <c r="BI114" i="50"/>
  <c r="BJ114" i="50"/>
  <c r="BK114" i="50"/>
  <c r="BL114" i="50"/>
  <c r="BM114" i="50"/>
  <c r="BN114" i="50"/>
  <c r="BO114" i="50"/>
  <c r="BP114" i="50"/>
  <c r="BQ114" i="50"/>
  <c r="BR114" i="50"/>
  <c r="BS114" i="50"/>
  <c r="BT114" i="50"/>
  <c r="BU114" i="50"/>
  <c r="A115" i="50"/>
  <c r="B115" i="50"/>
  <c r="C115" i="50"/>
  <c r="D115" i="50"/>
  <c r="E115" i="50"/>
  <c r="F115" i="50"/>
  <c r="G115" i="50"/>
  <c r="H115" i="50"/>
  <c r="I115" i="50"/>
  <c r="J115" i="50"/>
  <c r="K115" i="50"/>
  <c r="M115" i="50"/>
  <c r="N115" i="50"/>
  <c r="O115" i="50"/>
  <c r="P115" i="50"/>
  <c r="Q115" i="50"/>
  <c r="S115" i="50"/>
  <c r="U115" i="50"/>
  <c r="W115" i="50"/>
  <c r="X115" i="50"/>
  <c r="Y115" i="50"/>
  <c r="AA115" i="50"/>
  <c r="AC115" i="50"/>
  <c r="AD115" i="50"/>
  <c r="AE115" i="50"/>
  <c r="AG115" i="50"/>
  <c r="AI115" i="50"/>
  <c r="AK115" i="50"/>
  <c r="AM115" i="50"/>
  <c r="AN115" i="50"/>
  <c r="AO115" i="50"/>
  <c r="AQ115" i="50"/>
  <c r="AR115" i="50"/>
  <c r="AS115" i="50"/>
  <c r="AU115" i="50"/>
  <c r="AV115" i="50"/>
  <c r="AW115" i="50"/>
  <c r="AX115" i="50"/>
  <c r="AY115" i="50"/>
  <c r="AZ115" i="50"/>
  <c r="BA115" i="50"/>
  <c r="BC115" i="50"/>
  <c r="BD115" i="50"/>
  <c r="BE115" i="50"/>
  <c r="BF115" i="50"/>
  <c r="BG115" i="50"/>
  <c r="BH115" i="50"/>
  <c r="BI115" i="50"/>
  <c r="BJ115" i="50"/>
  <c r="BK115" i="50"/>
  <c r="BL115" i="50"/>
  <c r="BM115" i="50"/>
  <c r="BN115" i="50"/>
  <c r="BO115" i="50"/>
  <c r="BP115" i="50"/>
  <c r="BQ115" i="50"/>
  <c r="BR115" i="50"/>
  <c r="BS115" i="50"/>
  <c r="BT115" i="50"/>
  <c r="BU115" i="50"/>
  <c r="A116" i="50"/>
  <c r="B116" i="50"/>
  <c r="C116" i="50"/>
  <c r="D116" i="50"/>
  <c r="E116" i="50"/>
  <c r="F116" i="50"/>
  <c r="G116" i="50"/>
  <c r="H116" i="50"/>
  <c r="I116" i="50"/>
  <c r="J116" i="50"/>
  <c r="K116" i="50"/>
  <c r="M116" i="50"/>
  <c r="N116" i="50"/>
  <c r="O116" i="50"/>
  <c r="P116" i="50"/>
  <c r="Q116" i="50"/>
  <c r="S116" i="50"/>
  <c r="U116" i="50"/>
  <c r="W116" i="50"/>
  <c r="X116" i="50"/>
  <c r="Y116" i="50"/>
  <c r="AA116" i="50"/>
  <c r="AC116" i="50"/>
  <c r="AD116" i="50"/>
  <c r="AE116" i="50"/>
  <c r="AG116" i="50"/>
  <c r="AI116" i="50"/>
  <c r="AK116" i="50"/>
  <c r="AM116" i="50"/>
  <c r="AN116" i="50"/>
  <c r="AO116" i="50"/>
  <c r="AQ116" i="50"/>
  <c r="AR116" i="50"/>
  <c r="AS116" i="50"/>
  <c r="AU116" i="50"/>
  <c r="AV116" i="50"/>
  <c r="AW116" i="50"/>
  <c r="AX116" i="50"/>
  <c r="AY116" i="50"/>
  <c r="AZ116" i="50"/>
  <c r="BA116" i="50"/>
  <c r="BC116" i="50"/>
  <c r="BD116" i="50"/>
  <c r="BE116" i="50"/>
  <c r="BF116" i="50"/>
  <c r="BG116" i="50"/>
  <c r="BH116" i="50"/>
  <c r="BI116" i="50"/>
  <c r="BJ116" i="50"/>
  <c r="BK116" i="50"/>
  <c r="BL116" i="50"/>
  <c r="BM116" i="50"/>
  <c r="BN116" i="50"/>
  <c r="BO116" i="50"/>
  <c r="BP116" i="50"/>
  <c r="BQ116" i="50"/>
  <c r="BR116" i="50"/>
  <c r="BS116" i="50"/>
  <c r="BT116" i="50"/>
  <c r="BU116" i="50"/>
  <c r="A117" i="50"/>
  <c r="B117" i="50"/>
  <c r="C117" i="50"/>
  <c r="D117" i="50"/>
  <c r="E117" i="50"/>
  <c r="F117" i="50"/>
  <c r="G117" i="50"/>
  <c r="H117" i="50"/>
  <c r="I117" i="50"/>
  <c r="J117" i="50"/>
  <c r="K117" i="50"/>
  <c r="M117" i="50"/>
  <c r="N117" i="50"/>
  <c r="O117" i="50"/>
  <c r="P117" i="50"/>
  <c r="Q117" i="50"/>
  <c r="S117" i="50"/>
  <c r="U117" i="50"/>
  <c r="W117" i="50"/>
  <c r="X117" i="50"/>
  <c r="Y117" i="50"/>
  <c r="AA117" i="50"/>
  <c r="AC117" i="50"/>
  <c r="AD117" i="50"/>
  <c r="AE117" i="50"/>
  <c r="AG117" i="50"/>
  <c r="AI117" i="50"/>
  <c r="AK117" i="50"/>
  <c r="AM117" i="50"/>
  <c r="AN117" i="50"/>
  <c r="AO117" i="50"/>
  <c r="AQ117" i="50"/>
  <c r="AR117" i="50"/>
  <c r="AS117" i="50"/>
  <c r="AU117" i="50"/>
  <c r="AV117" i="50"/>
  <c r="AW117" i="50"/>
  <c r="AX117" i="50"/>
  <c r="AY117" i="50"/>
  <c r="AZ117" i="50"/>
  <c r="BA117" i="50"/>
  <c r="BC117" i="50"/>
  <c r="BD117" i="50"/>
  <c r="BE117" i="50"/>
  <c r="BF117" i="50"/>
  <c r="BG117" i="50"/>
  <c r="BH117" i="50"/>
  <c r="BI117" i="50"/>
  <c r="BJ117" i="50"/>
  <c r="BK117" i="50"/>
  <c r="BL117" i="50"/>
  <c r="BM117" i="50"/>
  <c r="BN117" i="50"/>
  <c r="BO117" i="50"/>
  <c r="BP117" i="50"/>
  <c r="BQ117" i="50"/>
  <c r="BR117" i="50"/>
  <c r="BS117" i="50"/>
  <c r="BT117" i="50"/>
  <c r="BU117" i="50"/>
  <c r="A118" i="50"/>
  <c r="B118" i="50"/>
  <c r="C118" i="50"/>
  <c r="D118" i="50"/>
  <c r="E118" i="50"/>
  <c r="F118" i="50"/>
  <c r="G118" i="50"/>
  <c r="H118" i="50"/>
  <c r="I118" i="50"/>
  <c r="J118" i="50"/>
  <c r="K118" i="50"/>
  <c r="M118" i="50"/>
  <c r="N118" i="50"/>
  <c r="O118" i="50"/>
  <c r="P118" i="50"/>
  <c r="Q118" i="50"/>
  <c r="S118" i="50"/>
  <c r="U118" i="50"/>
  <c r="W118" i="50"/>
  <c r="X118" i="50"/>
  <c r="Y118" i="50"/>
  <c r="AA118" i="50"/>
  <c r="AC118" i="50"/>
  <c r="AD118" i="50"/>
  <c r="AE118" i="50"/>
  <c r="AG118" i="50"/>
  <c r="AI118" i="50"/>
  <c r="AK118" i="50"/>
  <c r="AM118" i="50"/>
  <c r="AN118" i="50"/>
  <c r="AO118" i="50"/>
  <c r="AQ118" i="50"/>
  <c r="AR118" i="50"/>
  <c r="AS118" i="50"/>
  <c r="AU118" i="50"/>
  <c r="AV118" i="50"/>
  <c r="AW118" i="50"/>
  <c r="AX118" i="50"/>
  <c r="AY118" i="50"/>
  <c r="AZ118" i="50"/>
  <c r="BA118" i="50"/>
  <c r="BC118" i="50"/>
  <c r="BD118" i="50"/>
  <c r="BE118" i="50"/>
  <c r="BF118" i="50"/>
  <c r="BG118" i="50"/>
  <c r="BH118" i="50"/>
  <c r="BI118" i="50"/>
  <c r="BJ118" i="50"/>
  <c r="BK118" i="50"/>
  <c r="BL118" i="50"/>
  <c r="BM118" i="50"/>
  <c r="BN118" i="50"/>
  <c r="BO118" i="50"/>
  <c r="BP118" i="50"/>
  <c r="BQ118" i="50"/>
  <c r="BR118" i="50"/>
  <c r="BS118" i="50"/>
  <c r="BT118" i="50"/>
  <c r="BU118" i="50"/>
  <c r="A119" i="50"/>
  <c r="B119" i="50"/>
  <c r="C119" i="50"/>
  <c r="D119" i="50"/>
  <c r="E119" i="50"/>
  <c r="F119" i="50"/>
  <c r="G119" i="50"/>
  <c r="H119" i="50"/>
  <c r="I119" i="50"/>
  <c r="J119" i="50"/>
  <c r="K119" i="50"/>
  <c r="M119" i="50"/>
  <c r="N119" i="50"/>
  <c r="O119" i="50"/>
  <c r="P119" i="50"/>
  <c r="Q119" i="50"/>
  <c r="S119" i="50"/>
  <c r="U119" i="50"/>
  <c r="W119" i="50"/>
  <c r="X119" i="50"/>
  <c r="Y119" i="50"/>
  <c r="AA119" i="50"/>
  <c r="AC119" i="50"/>
  <c r="AD119" i="50"/>
  <c r="AE119" i="50"/>
  <c r="AG119" i="50"/>
  <c r="AI119" i="50"/>
  <c r="AK119" i="50"/>
  <c r="AM119" i="50"/>
  <c r="AN119" i="50"/>
  <c r="AO119" i="50"/>
  <c r="AQ119" i="50"/>
  <c r="AR119" i="50"/>
  <c r="AS119" i="50"/>
  <c r="AU119" i="50"/>
  <c r="AV119" i="50"/>
  <c r="AW119" i="50"/>
  <c r="AX119" i="50"/>
  <c r="AY119" i="50"/>
  <c r="AZ119" i="50"/>
  <c r="BA119" i="50"/>
  <c r="BC119" i="50"/>
  <c r="BD119" i="50"/>
  <c r="BE119" i="50"/>
  <c r="BF119" i="50"/>
  <c r="BG119" i="50"/>
  <c r="BH119" i="50"/>
  <c r="BI119" i="50"/>
  <c r="BJ119" i="50"/>
  <c r="BK119" i="50"/>
  <c r="BL119" i="50"/>
  <c r="BM119" i="50"/>
  <c r="BN119" i="50"/>
  <c r="BO119" i="50"/>
  <c r="BP119" i="50"/>
  <c r="BQ119" i="50"/>
  <c r="BR119" i="50"/>
  <c r="BS119" i="50"/>
  <c r="BT119" i="50"/>
  <c r="BU119" i="50"/>
  <c r="A120" i="50"/>
  <c r="B120" i="50"/>
  <c r="C120" i="50"/>
  <c r="D120" i="50"/>
  <c r="E120" i="50"/>
  <c r="F120" i="50"/>
  <c r="G120" i="50"/>
  <c r="H120" i="50"/>
  <c r="I120" i="50"/>
  <c r="J120" i="50"/>
  <c r="K120" i="50"/>
  <c r="M120" i="50"/>
  <c r="N120" i="50"/>
  <c r="O120" i="50"/>
  <c r="P120" i="50"/>
  <c r="Q120" i="50"/>
  <c r="S120" i="50"/>
  <c r="U120" i="50"/>
  <c r="W120" i="50"/>
  <c r="X120" i="50"/>
  <c r="Y120" i="50"/>
  <c r="AA120" i="50"/>
  <c r="AC120" i="50"/>
  <c r="AD120" i="50"/>
  <c r="AE120" i="50"/>
  <c r="AG120" i="50"/>
  <c r="AI120" i="50"/>
  <c r="AK120" i="50"/>
  <c r="AM120" i="50"/>
  <c r="AN120" i="50"/>
  <c r="AO120" i="50"/>
  <c r="AQ120" i="50"/>
  <c r="AR120" i="50"/>
  <c r="AS120" i="50"/>
  <c r="AU120" i="50"/>
  <c r="AV120" i="50"/>
  <c r="AW120" i="50"/>
  <c r="AX120" i="50"/>
  <c r="AY120" i="50"/>
  <c r="AZ120" i="50"/>
  <c r="BA120" i="50"/>
  <c r="BC120" i="50"/>
  <c r="BD120" i="50"/>
  <c r="BE120" i="50"/>
  <c r="BF120" i="50"/>
  <c r="BG120" i="50"/>
  <c r="BH120" i="50"/>
  <c r="BI120" i="50"/>
  <c r="BJ120" i="50"/>
  <c r="BK120" i="50"/>
  <c r="BL120" i="50"/>
  <c r="BM120" i="50"/>
  <c r="BN120" i="50"/>
  <c r="BO120" i="50"/>
  <c r="BP120" i="50"/>
  <c r="BQ120" i="50"/>
  <c r="BR120" i="50"/>
  <c r="BS120" i="50"/>
  <c r="BT120" i="50"/>
  <c r="BU120" i="50"/>
  <c r="A121" i="50"/>
  <c r="B121" i="50"/>
  <c r="C121" i="50"/>
  <c r="D121" i="50"/>
  <c r="E121" i="50"/>
  <c r="F121" i="50"/>
  <c r="G121" i="50"/>
  <c r="H121" i="50"/>
  <c r="I121" i="50"/>
  <c r="J121" i="50"/>
  <c r="K121" i="50"/>
  <c r="M121" i="50"/>
  <c r="N121" i="50"/>
  <c r="O121" i="50"/>
  <c r="P121" i="50"/>
  <c r="Q121" i="50"/>
  <c r="S121" i="50"/>
  <c r="U121" i="50"/>
  <c r="W121" i="50"/>
  <c r="X121" i="50"/>
  <c r="Y121" i="50"/>
  <c r="AA121" i="50"/>
  <c r="AC121" i="50"/>
  <c r="AD121" i="50"/>
  <c r="AE121" i="50"/>
  <c r="AG121" i="50"/>
  <c r="AI121" i="50"/>
  <c r="AK121" i="50"/>
  <c r="AM121" i="50"/>
  <c r="AN121" i="50"/>
  <c r="AO121" i="50"/>
  <c r="AQ121" i="50"/>
  <c r="AR121" i="50"/>
  <c r="AS121" i="50"/>
  <c r="AU121" i="50"/>
  <c r="AV121" i="50"/>
  <c r="AW121" i="50"/>
  <c r="AX121" i="50"/>
  <c r="AY121" i="50"/>
  <c r="AZ121" i="50"/>
  <c r="BA121" i="50"/>
  <c r="BC121" i="50"/>
  <c r="BD121" i="50"/>
  <c r="BE121" i="50"/>
  <c r="BF121" i="50"/>
  <c r="BG121" i="50"/>
  <c r="BH121" i="50"/>
  <c r="BI121" i="50"/>
  <c r="BJ121" i="50"/>
  <c r="BK121" i="50"/>
  <c r="BL121" i="50"/>
  <c r="BM121" i="50"/>
  <c r="BN121" i="50"/>
  <c r="BO121" i="50"/>
  <c r="BP121" i="50"/>
  <c r="BQ121" i="50"/>
  <c r="BR121" i="50"/>
  <c r="BS121" i="50"/>
  <c r="BT121" i="50"/>
  <c r="BU121" i="50"/>
  <c r="A122" i="50"/>
  <c r="B122" i="50"/>
  <c r="C122" i="50"/>
  <c r="D122" i="50"/>
  <c r="E122" i="50"/>
  <c r="F122" i="50"/>
  <c r="G122" i="50"/>
  <c r="H122" i="50"/>
  <c r="I122" i="50"/>
  <c r="J122" i="50"/>
  <c r="K122" i="50"/>
  <c r="M122" i="50"/>
  <c r="N122" i="50"/>
  <c r="O122" i="50"/>
  <c r="P122" i="50"/>
  <c r="Q122" i="50"/>
  <c r="S122" i="50"/>
  <c r="U122" i="50"/>
  <c r="W122" i="50"/>
  <c r="X122" i="50"/>
  <c r="Y122" i="50"/>
  <c r="AA122" i="50"/>
  <c r="AC122" i="50"/>
  <c r="AD122" i="50"/>
  <c r="AE122" i="50"/>
  <c r="AG122" i="50"/>
  <c r="AI122" i="50"/>
  <c r="AK122" i="50"/>
  <c r="AM122" i="50"/>
  <c r="AN122" i="50"/>
  <c r="AO122" i="50"/>
  <c r="AQ122" i="50"/>
  <c r="AR122" i="50"/>
  <c r="AS122" i="50"/>
  <c r="AU122" i="50"/>
  <c r="AV122" i="50"/>
  <c r="AW122" i="50"/>
  <c r="AX122" i="50"/>
  <c r="AY122" i="50"/>
  <c r="AZ122" i="50"/>
  <c r="BA122" i="50"/>
  <c r="BC122" i="50"/>
  <c r="BD122" i="50"/>
  <c r="BE122" i="50"/>
  <c r="BF122" i="50"/>
  <c r="BG122" i="50"/>
  <c r="BH122" i="50"/>
  <c r="BI122" i="50"/>
  <c r="BJ122" i="50"/>
  <c r="BK122" i="50"/>
  <c r="BL122" i="50"/>
  <c r="BM122" i="50"/>
  <c r="BN122" i="50"/>
  <c r="BO122" i="50"/>
  <c r="BP122" i="50"/>
  <c r="BQ122" i="50"/>
  <c r="BR122" i="50"/>
  <c r="BS122" i="50"/>
  <c r="BT122" i="50"/>
  <c r="BU122" i="50"/>
  <c r="A123" i="50"/>
  <c r="B123" i="50"/>
  <c r="C123" i="50"/>
  <c r="D123" i="50"/>
  <c r="E123" i="50"/>
  <c r="F123" i="50"/>
  <c r="G123" i="50"/>
  <c r="H123" i="50"/>
  <c r="I123" i="50"/>
  <c r="J123" i="50"/>
  <c r="K123" i="50"/>
  <c r="M123" i="50"/>
  <c r="N123" i="50"/>
  <c r="O123" i="50"/>
  <c r="P123" i="50"/>
  <c r="Q123" i="50"/>
  <c r="S123" i="50"/>
  <c r="U123" i="50"/>
  <c r="W123" i="50"/>
  <c r="X123" i="50"/>
  <c r="Y123" i="50"/>
  <c r="AA123" i="50"/>
  <c r="AC123" i="50"/>
  <c r="AD123" i="50"/>
  <c r="AE123" i="50"/>
  <c r="AG123" i="50"/>
  <c r="AI123" i="50"/>
  <c r="AK123" i="50"/>
  <c r="AM123" i="50"/>
  <c r="AN123" i="50"/>
  <c r="AO123" i="50"/>
  <c r="AQ123" i="50"/>
  <c r="AR123" i="50"/>
  <c r="AS123" i="50"/>
  <c r="AU123" i="50"/>
  <c r="AV123" i="50"/>
  <c r="AW123" i="50"/>
  <c r="AX123" i="50"/>
  <c r="AY123" i="50"/>
  <c r="AZ123" i="50"/>
  <c r="BA123" i="50"/>
  <c r="BC123" i="50"/>
  <c r="BD123" i="50"/>
  <c r="BE123" i="50"/>
  <c r="BF123" i="50"/>
  <c r="BG123" i="50"/>
  <c r="BH123" i="50"/>
  <c r="BI123" i="50"/>
  <c r="BJ123" i="50"/>
  <c r="BK123" i="50"/>
  <c r="BL123" i="50"/>
  <c r="BM123" i="50"/>
  <c r="BN123" i="50"/>
  <c r="BO123" i="50"/>
  <c r="BP123" i="50"/>
  <c r="BQ123" i="50"/>
  <c r="BR123" i="50"/>
  <c r="BS123" i="50"/>
  <c r="BT123" i="50"/>
  <c r="BU123" i="50"/>
  <c r="A124" i="50"/>
  <c r="B124" i="50"/>
  <c r="C124" i="50"/>
  <c r="D124" i="50"/>
  <c r="E124" i="50"/>
  <c r="F124" i="50"/>
  <c r="G124" i="50"/>
  <c r="H124" i="50"/>
  <c r="I124" i="50"/>
  <c r="J124" i="50"/>
  <c r="K124" i="50"/>
  <c r="M124" i="50"/>
  <c r="N124" i="50"/>
  <c r="O124" i="50"/>
  <c r="P124" i="50"/>
  <c r="Q124" i="50"/>
  <c r="S124" i="50"/>
  <c r="U124" i="50"/>
  <c r="W124" i="50"/>
  <c r="X124" i="50"/>
  <c r="Y124" i="50"/>
  <c r="AA124" i="50"/>
  <c r="AC124" i="50"/>
  <c r="AD124" i="50"/>
  <c r="AE124" i="50"/>
  <c r="AG124" i="50"/>
  <c r="AI124" i="50"/>
  <c r="AK124" i="50"/>
  <c r="AM124" i="50"/>
  <c r="AN124" i="50"/>
  <c r="AO124" i="50"/>
  <c r="AQ124" i="50"/>
  <c r="AR124" i="50"/>
  <c r="AS124" i="50"/>
  <c r="AU124" i="50"/>
  <c r="AV124" i="50"/>
  <c r="AW124" i="50"/>
  <c r="AX124" i="50"/>
  <c r="AY124" i="50"/>
  <c r="AZ124" i="50"/>
  <c r="BA124" i="50"/>
  <c r="BC124" i="50"/>
  <c r="BD124" i="50"/>
  <c r="BE124" i="50"/>
  <c r="BF124" i="50"/>
  <c r="BG124" i="50"/>
  <c r="BH124" i="50"/>
  <c r="BI124" i="50"/>
  <c r="BJ124" i="50"/>
  <c r="BK124" i="50"/>
  <c r="BL124" i="50"/>
  <c r="BM124" i="50"/>
  <c r="BN124" i="50"/>
  <c r="BO124" i="50"/>
  <c r="BP124" i="50"/>
  <c r="BQ124" i="50"/>
  <c r="BR124" i="50"/>
  <c r="BS124" i="50"/>
  <c r="BT124" i="50"/>
  <c r="BU124" i="50"/>
  <c r="A125" i="50"/>
  <c r="B125" i="50"/>
  <c r="C125" i="50"/>
  <c r="D125" i="50"/>
  <c r="E125" i="50"/>
  <c r="F125" i="50"/>
  <c r="G125" i="50"/>
  <c r="H125" i="50"/>
  <c r="I125" i="50"/>
  <c r="J125" i="50"/>
  <c r="K125" i="50"/>
  <c r="M125" i="50"/>
  <c r="N125" i="50"/>
  <c r="O125" i="50"/>
  <c r="P125" i="50"/>
  <c r="Q125" i="50"/>
  <c r="S125" i="50"/>
  <c r="U125" i="50"/>
  <c r="W125" i="50"/>
  <c r="X125" i="50"/>
  <c r="Y125" i="50"/>
  <c r="AA125" i="50"/>
  <c r="AC125" i="50"/>
  <c r="AD125" i="50"/>
  <c r="AE125" i="50"/>
  <c r="AG125" i="50"/>
  <c r="AI125" i="50"/>
  <c r="AK125" i="50"/>
  <c r="AM125" i="50"/>
  <c r="AN125" i="50"/>
  <c r="AO125" i="50"/>
  <c r="AQ125" i="50"/>
  <c r="AR125" i="50"/>
  <c r="AS125" i="50"/>
  <c r="AU125" i="50"/>
  <c r="AV125" i="50"/>
  <c r="AW125" i="50"/>
  <c r="AX125" i="50"/>
  <c r="AY125" i="50"/>
  <c r="AZ125" i="50"/>
  <c r="BA125" i="50"/>
  <c r="BC125" i="50"/>
  <c r="BD125" i="50"/>
  <c r="BE125" i="50"/>
  <c r="BF125" i="50"/>
  <c r="BG125" i="50"/>
  <c r="BH125" i="50"/>
  <c r="BI125" i="50"/>
  <c r="BJ125" i="50"/>
  <c r="BK125" i="50"/>
  <c r="BL125" i="50"/>
  <c r="BM125" i="50"/>
  <c r="BN125" i="50"/>
  <c r="BO125" i="50"/>
  <c r="BP125" i="50"/>
  <c r="BQ125" i="50"/>
  <c r="BR125" i="50"/>
  <c r="BS125" i="50"/>
  <c r="BT125" i="50"/>
  <c r="BU125" i="50"/>
  <c r="A126" i="50"/>
  <c r="B126" i="50"/>
  <c r="C126" i="50"/>
  <c r="D126" i="50"/>
  <c r="E126" i="50"/>
  <c r="F126" i="50"/>
  <c r="G126" i="50"/>
  <c r="H126" i="50"/>
  <c r="I126" i="50"/>
  <c r="J126" i="50"/>
  <c r="K126" i="50"/>
  <c r="M126" i="50"/>
  <c r="N126" i="50"/>
  <c r="O126" i="50"/>
  <c r="P126" i="50"/>
  <c r="Q126" i="50"/>
  <c r="S126" i="50"/>
  <c r="U126" i="50"/>
  <c r="W126" i="50"/>
  <c r="X126" i="50"/>
  <c r="Y126" i="50"/>
  <c r="AA126" i="50"/>
  <c r="AC126" i="50"/>
  <c r="AD126" i="50"/>
  <c r="AE126" i="50"/>
  <c r="AG126" i="50"/>
  <c r="AI126" i="50"/>
  <c r="AK126" i="50"/>
  <c r="AM126" i="50"/>
  <c r="AN126" i="50"/>
  <c r="AO126" i="50"/>
  <c r="AQ126" i="50"/>
  <c r="AR126" i="50"/>
  <c r="AS126" i="50"/>
  <c r="AU126" i="50"/>
  <c r="AV126" i="50"/>
  <c r="AW126" i="50"/>
  <c r="AX126" i="50"/>
  <c r="AY126" i="50"/>
  <c r="AZ126" i="50"/>
  <c r="BA126" i="50"/>
  <c r="BC126" i="50"/>
  <c r="BD126" i="50"/>
  <c r="BE126" i="50"/>
  <c r="BF126" i="50"/>
  <c r="BG126" i="50"/>
  <c r="BH126" i="50"/>
  <c r="BI126" i="50"/>
  <c r="BJ126" i="50"/>
  <c r="BK126" i="50"/>
  <c r="BL126" i="50"/>
  <c r="BM126" i="50"/>
  <c r="BN126" i="50"/>
  <c r="BO126" i="50"/>
  <c r="BP126" i="50"/>
  <c r="BQ126" i="50"/>
  <c r="BR126" i="50"/>
  <c r="BS126" i="50"/>
  <c r="BT126" i="50"/>
  <c r="BU126" i="50"/>
  <c r="A127" i="50"/>
  <c r="B127" i="50"/>
  <c r="C127" i="50"/>
  <c r="D127" i="50"/>
  <c r="E127" i="50"/>
  <c r="F127" i="50"/>
  <c r="G127" i="50"/>
  <c r="H127" i="50"/>
  <c r="I127" i="50"/>
  <c r="J127" i="50"/>
  <c r="K127" i="50"/>
  <c r="M127" i="50"/>
  <c r="N127" i="50"/>
  <c r="O127" i="50"/>
  <c r="P127" i="50"/>
  <c r="Q127" i="50"/>
  <c r="S127" i="50"/>
  <c r="U127" i="50"/>
  <c r="W127" i="50"/>
  <c r="X127" i="50"/>
  <c r="Y127" i="50"/>
  <c r="AA127" i="50"/>
  <c r="AC127" i="50"/>
  <c r="AD127" i="50"/>
  <c r="AE127" i="50"/>
  <c r="AG127" i="50"/>
  <c r="AI127" i="50"/>
  <c r="AK127" i="50"/>
  <c r="AM127" i="50"/>
  <c r="AN127" i="50"/>
  <c r="AO127" i="50"/>
  <c r="AQ127" i="50"/>
  <c r="AR127" i="50"/>
  <c r="AS127" i="50"/>
  <c r="AU127" i="50"/>
  <c r="AV127" i="50"/>
  <c r="AW127" i="50"/>
  <c r="AX127" i="50"/>
  <c r="AY127" i="50"/>
  <c r="AZ127" i="50"/>
  <c r="BA127" i="50"/>
  <c r="BC127" i="50"/>
  <c r="BD127" i="50"/>
  <c r="BE127" i="50"/>
  <c r="BF127" i="50"/>
  <c r="BG127" i="50"/>
  <c r="BH127" i="50"/>
  <c r="BI127" i="50"/>
  <c r="BJ127" i="50"/>
  <c r="BK127" i="50"/>
  <c r="BL127" i="50"/>
  <c r="BM127" i="50"/>
  <c r="BN127" i="50"/>
  <c r="BO127" i="50"/>
  <c r="BP127" i="50"/>
  <c r="BQ127" i="50"/>
  <c r="BR127" i="50"/>
  <c r="BS127" i="50"/>
  <c r="BT127" i="50"/>
  <c r="BU127" i="50"/>
  <c r="A128" i="50"/>
  <c r="B128" i="50"/>
  <c r="C128" i="50"/>
  <c r="D128" i="50"/>
  <c r="E128" i="50"/>
  <c r="F128" i="50"/>
  <c r="G128" i="50"/>
  <c r="H128" i="50"/>
  <c r="I128" i="50"/>
  <c r="J128" i="50"/>
  <c r="K128" i="50"/>
  <c r="M128" i="50"/>
  <c r="N128" i="50"/>
  <c r="O128" i="50"/>
  <c r="P128" i="50"/>
  <c r="Q128" i="50"/>
  <c r="S128" i="50"/>
  <c r="U128" i="50"/>
  <c r="W128" i="50"/>
  <c r="X128" i="50"/>
  <c r="Y128" i="50"/>
  <c r="AA128" i="50"/>
  <c r="AC128" i="50"/>
  <c r="AD128" i="50"/>
  <c r="AE128" i="50"/>
  <c r="AG128" i="50"/>
  <c r="AI128" i="50"/>
  <c r="AK128" i="50"/>
  <c r="AM128" i="50"/>
  <c r="AN128" i="50"/>
  <c r="AO128" i="50"/>
  <c r="AQ128" i="50"/>
  <c r="AR128" i="50"/>
  <c r="AS128" i="50"/>
  <c r="AU128" i="50"/>
  <c r="AV128" i="50"/>
  <c r="AW128" i="50"/>
  <c r="AX128" i="50"/>
  <c r="AY128" i="50"/>
  <c r="AZ128" i="50"/>
  <c r="BA128" i="50"/>
  <c r="BC128" i="50"/>
  <c r="BD128" i="50"/>
  <c r="BE128" i="50"/>
  <c r="BF128" i="50"/>
  <c r="BG128" i="50"/>
  <c r="BH128" i="50"/>
  <c r="BI128" i="50"/>
  <c r="BJ128" i="50"/>
  <c r="BK128" i="50"/>
  <c r="BL128" i="50"/>
  <c r="BM128" i="50"/>
  <c r="BN128" i="50"/>
  <c r="BO128" i="50"/>
  <c r="BP128" i="50"/>
  <c r="BQ128" i="50"/>
  <c r="BR128" i="50"/>
  <c r="BS128" i="50"/>
  <c r="BT128" i="50"/>
  <c r="BU128" i="50"/>
  <c r="A129" i="50"/>
  <c r="B129" i="50"/>
  <c r="C129" i="50"/>
  <c r="D129" i="50"/>
  <c r="E129" i="50"/>
  <c r="F129" i="50"/>
  <c r="G129" i="50"/>
  <c r="H129" i="50"/>
  <c r="I129" i="50"/>
  <c r="J129" i="50"/>
  <c r="K129" i="50"/>
  <c r="M129" i="50"/>
  <c r="N129" i="50"/>
  <c r="O129" i="50"/>
  <c r="P129" i="50"/>
  <c r="Q129" i="50"/>
  <c r="S129" i="50"/>
  <c r="U129" i="50"/>
  <c r="W129" i="50"/>
  <c r="X129" i="50"/>
  <c r="Y129" i="50"/>
  <c r="AA129" i="50"/>
  <c r="AC129" i="50"/>
  <c r="AD129" i="50"/>
  <c r="AE129" i="50"/>
  <c r="AG129" i="50"/>
  <c r="AI129" i="50"/>
  <c r="AK129" i="50"/>
  <c r="AM129" i="50"/>
  <c r="AN129" i="50"/>
  <c r="AO129" i="50"/>
  <c r="AQ129" i="50"/>
  <c r="AR129" i="50"/>
  <c r="AS129" i="50"/>
  <c r="AU129" i="50"/>
  <c r="AV129" i="50"/>
  <c r="AW129" i="50"/>
  <c r="AX129" i="50"/>
  <c r="AY129" i="50"/>
  <c r="AZ129" i="50"/>
  <c r="BA129" i="50"/>
  <c r="BC129" i="50"/>
  <c r="BD129" i="50"/>
  <c r="BE129" i="50"/>
  <c r="BF129" i="50"/>
  <c r="BG129" i="50"/>
  <c r="BH129" i="50"/>
  <c r="BI129" i="50"/>
  <c r="BJ129" i="50"/>
  <c r="BK129" i="50"/>
  <c r="BL129" i="50"/>
  <c r="BM129" i="50"/>
  <c r="BN129" i="50"/>
  <c r="BO129" i="50"/>
  <c r="BP129" i="50"/>
  <c r="BQ129" i="50"/>
  <c r="BR129" i="50"/>
  <c r="BS129" i="50"/>
  <c r="BT129" i="50"/>
  <c r="BU129" i="50"/>
  <c r="A130" i="50"/>
  <c r="B130" i="50"/>
  <c r="C130" i="50"/>
  <c r="D130" i="50"/>
  <c r="E130" i="50"/>
  <c r="F130" i="50"/>
  <c r="G130" i="50"/>
  <c r="H130" i="50"/>
  <c r="I130" i="50"/>
  <c r="J130" i="50"/>
  <c r="K130" i="50"/>
  <c r="M130" i="50"/>
  <c r="N130" i="50"/>
  <c r="O130" i="50"/>
  <c r="P130" i="50"/>
  <c r="Q130" i="50"/>
  <c r="S130" i="50"/>
  <c r="U130" i="50"/>
  <c r="W130" i="50"/>
  <c r="X130" i="50"/>
  <c r="Y130" i="50"/>
  <c r="AA130" i="50"/>
  <c r="AC130" i="50"/>
  <c r="AD130" i="50"/>
  <c r="AE130" i="50"/>
  <c r="AG130" i="50"/>
  <c r="AI130" i="50"/>
  <c r="AK130" i="50"/>
  <c r="AM130" i="50"/>
  <c r="AN130" i="50"/>
  <c r="AO130" i="50"/>
  <c r="AQ130" i="50"/>
  <c r="AR130" i="50"/>
  <c r="AS130" i="50"/>
  <c r="AU130" i="50"/>
  <c r="AV130" i="50"/>
  <c r="AW130" i="50"/>
  <c r="AX130" i="50"/>
  <c r="AY130" i="50"/>
  <c r="AZ130" i="50"/>
  <c r="BA130" i="50"/>
  <c r="BC130" i="50"/>
  <c r="BD130" i="50"/>
  <c r="BE130" i="50"/>
  <c r="BF130" i="50"/>
  <c r="BG130" i="50"/>
  <c r="BH130" i="50"/>
  <c r="BI130" i="50"/>
  <c r="BJ130" i="50"/>
  <c r="BK130" i="50"/>
  <c r="BL130" i="50"/>
  <c r="BM130" i="50"/>
  <c r="BN130" i="50"/>
  <c r="BO130" i="50"/>
  <c r="BP130" i="50"/>
  <c r="BQ130" i="50"/>
  <c r="BR130" i="50"/>
  <c r="BS130" i="50"/>
  <c r="BT130" i="50"/>
  <c r="BU130" i="50"/>
  <c r="A131" i="50"/>
  <c r="B131" i="50"/>
  <c r="C131" i="50"/>
  <c r="D131" i="50"/>
  <c r="E131" i="50"/>
  <c r="F131" i="50"/>
  <c r="G131" i="50"/>
  <c r="H131" i="50"/>
  <c r="I131" i="50"/>
  <c r="J131" i="50"/>
  <c r="K131" i="50"/>
  <c r="M131" i="50"/>
  <c r="N131" i="50"/>
  <c r="O131" i="50"/>
  <c r="P131" i="50"/>
  <c r="Q131" i="50"/>
  <c r="S131" i="50"/>
  <c r="U131" i="50"/>
  <c r="W131" i="50"/>
  <c r="X131" i="50"/>
  <c r="Y131" i="50"/>
  <c r="AA131" i="50"/>
  <c r="AC131" i="50"/>
  <c r="AD131" i="50"/>
  <c r="AE131" i="50"/>
  <c r="AG131" i="50"/>
  <c r="AI131" i="50"/>
  <c r="AK131" i="50"/>
  <c r="AM131" i="50"/>
  <c r="AN131" i="50"/>
  <c r="AO131" i="50"/>
  <c r="AQ131" i="50"/>
  <c r="AR131" i="50"/>
  <c r="AS131" i="50"/>
  <c r="AU131" i="50"/>
  <c r="AV131" i="50"/>
  <c r="AW131" i="50"/>
  <c r="AX131" i="50"/>
  <c r="AY131" i="50"/>
  <c r="AZ131" i="50"/>
  <c r="BA131" i="50"/>
  <c r="BC131" i="50"/>
  <c r="BD131" i="50"/>
  <c r="BE131" i="50"/>
  <c r="BF131" i="50"/>
  <c r="BG131" i="50"/>
  <c r="BH131" i="50"/>
  <c r="BI131" i="50"/>
  <c r="BJ131" i="50"/>
  <c r="BK131" i="50"/>
  <c r="BL131" i="50"/>
  <c r="BM131" i="50"/>
  <c r="BN131" i="50"/>
  <c r="BO131" i="50"/>
  <c r="BP131" i="50"/>
  <c r="BQ131" i="50"/>
  <c r="BR131" i="50"/>
  <c r="BS131" i="50"/>
  <c r="BT131" i="50"/>
  <c r="BU131" i="50"/>
  <c r="A132" i="50"/>
  <c r="B132" i="50"/>
  <c r="C132" i="50"/>
  <c r="D132" i="50"/>
  <c r="E132" i="50"/>
  <c r="F132" i="50"/>
  <c r="G132" i="50"/>
  <c r="H132" i="50"/>
  <c r="I132" i="50"/>
  <c r="J132" i="50"/>
  <c r="K132" i="50"/>
  <c r="M132" i="50"/>
  <c r="N132" i="50"/>
  <c r="O132" i="50"/>
  <c r="P132" i="50"/>
  <c r="Q132" i="50"/>
  <c r="S132" i="50"/>
  <c r="U132" i="50"/>
  <c r="W132" i="50"/>
  <c r="X132" i="50"/>
  <c r="Y132" i="50"/>
  <c r="AA132" i="50"/>
  <c r="AC132" i="50"/>
  <c r="AD132" i="50"/>
  <c r="AE132" i="50"/>
  <c r="AG132" i="50"/>
  <c r="AI132" i="50"/>
  <c r="AK132" i="50"/>
  <c r="AM132" i="50"/>
  <c r="AN132" i="50"/>
  <c r="AO132" i="50"/>
  <c r="AQ132" i="50"/>
  <c r="AR132" i="50"/>
  <c r="AS132" i="50"/>
  <c r="AU132" i="50"/>
  <c r="AV132" i="50"/>
  <c r="AW132" i="50"/>
  <c r="AX132" i="50"/>
  <c r="AY132" i="50"/>
  <c r="AZ132" i="50"/>
  <c r="BA132" i="50"/>
  <c r="BC132" i="50"/>
  <c r="BD132" i="50"/>
  <c r="BE132" i="50"/>
  <c r="BF132" i="50"/>
  <c r="BG132" i="50"/>
  <c r="BH132" i="50"/>
  <c r="BI132" i="50"/>
  <c r="BJ132" i="50"/>
  <c r="BK132" i="50"/>
  <c r="BL132" i="50"/>
  <c r="BM132" i="50"/>
  <c r="BN132" i="50"/>
  <c r="BO132" i="50"/>
  <c r="BP132" i="50"/>
  <c r="BQ132" i="50"/>
  <c r="BR132" i="50"/>
  <c r="BS132" i="50"/>
  <c r="BT132" i="50"/>
  <c r="BU132" i="50"/>
  <c r="A133" i="50"/>
  <c r="B133" i="50"/>
  <c r="C133" i="50"/>
  <c r="D133" i="50"/>
  <c r="E133" i="50"/>
  <c r="F133" i="50"/>
  <c r="G133" i="50"/>
  <c r="H133" i="50"/>
  <c r="I133" i="50"/>
  <c r="J133" i="50"/>
  <c r="K133" i="50"/>
  <c r="M133" i="50"/>
  <c r="N133" i="50"/>
  <c r="O133" i="50"/>
  <c r="P133" i="50"/>
  <c r="Q133" i="50"/>
  <c r="S133" i="50"/>
  <c r="U133" i="50"/>
  <c r="W133" i="50"/>
  <c r="X133" i="50"/>
  <c r="Y133" i="50"/>
  <c r="AA133" i="50"/>
  <c r="AC133" i="50"/>
  <c r="AD133" i="50"/>
  <c r="AE133" i="50"/>
  <c r="AG133" i="50"/>
  <c r="AI133" i="50"/>
  <c r="AK133" i="50"/>
  <c r="AM133" i="50"/>
  <c r="AN133" i="50"/>
  <c r="AO133" i="50"/>
  <c r="AQ133" i="50"/>
  <c r="AR133" i="50"/>
  <c r="AS133" i="50"/>
  <c r="AU133" i="50"/>
  <c r="AV133" i="50"/>
  <c r="AW133" i="50"/>
  <c r="AX133" i="50"/>
  <c r="AY133" i="50"/>
  <c r="AZ133" i="50"/>
  <c r="BA133" i="50"/>
  <c r="BC133" i="50"/>
  <c r="BD133" i="50"/>
  <c r="BE133" i="50"/>
  <c r="BF133" i="50"/>
  <c r="BG133" i="50"/>
  <c r="BH133" i="50"/>
  <c r="BI133" i="50"/>
  <c r="BJ133" i="50"/>
  <c r="BK133" i="50"/>
  <c r="BL133" i="50"/>
  <c r="BM133" i="50"/>
  <c r="BN133" i="50"/>
  <c r="BO133" i="50"/>
  <c r="BP133" i="50"/>
  <c r="BQ133" i="50"/>
  <c r="BR133" i="50"/>
  <c r="BS133" i="50"/>
  <c r="BT133" i="50"/>
  <c r="BU133" i="50"/>
  <c r="A134" i="50"/>
  <c r="B134" i="50"/>
  <c r="C134" i="50"/>
  <c r="D134" i="50"/>
  <c r="E134" i="50"/>
  <c r="F134" i="50"/>
  <c r="G134" i="50"/>
  <c r="H134" i="50"/>
  <c r="I134" i="50"/>
  <c r="J134" i="50"/>
  <c r="K134" i="50"/>
  <c r="M134" i="50"/>
  <c r="N134" i="50"/>
  <c r="O134" i="50"/>
  <c r="P134" i="50"/>
  <c r="Q134" i="50"/>
  <c r="S134" i="50"/>
  <c r="U134" i="50"/>
  <c r="W134" i="50"/>
  <c r="X134" i="50"/>
  <c r="Y134" i="50"/>
  <c r="AA134" i="50"/>
  <c r="AC134" i="50"/>
  <c r="AD134" i="50"/>
  <c r="AE134" i="50"/>
  <c r="AG134" i="50"/>
  <c r="AI134" i="50"/>
  <c r="AK134" i="50"/>
  <c r="AM134" i="50"/>
  <c r="AN134" i="50"/>
  <c r="AO134" i="50"/>
  <c r="AQ134" i="50"/>
  <c r="AR134" i="50"/>
  <c r="AS134" i="50"/>
  <c r="AU134" i="50"/>
  <c r="AV134" i="50"/>
  <c r="AW134" i="50"/>
  <c r="AX134" i="50"/>
  <c r="AY134" i="50"/>
  <c r="AZ134" i="50"/>
  <c r="BA134" i="50"/>
  <c r="BC134" i="50"/>
  <c r="BD134" i="50"/>
  <c r="BE134" i="50"/>
  <c r="BF134" i="50"/>
  <c r="BG134" i="50"/>
  <c r="BH134" i="50"/>
  <c r="BI134" i="50"/>
  <c r="BJ134" i="50"/>
  <c r="BK134" i="50"/>
  <c r="BL134" i="50"/>
  <c r="BM134" i="50"/>
  <c r="BN134" i="50"/>
  <c r="BO134" i="50"/>
  <c r="BP134" i="50"/>
  <c r="BQ134" i="50"/>
  <c r="BR134" i="50"/>
  <c r="BS134" i="50"/>
  <c r="BT134" i="50"/>
  <c r="BU134" i="50"/>
  <c r="A135" i="50"/>
  <c r="B135" i="50"/>
  <c r="C135" i="50"/>
  <c r="D135" i="50"/>
  <c r="E135" i="50"/>
  <c r="F135" i="50"/>
  <c r="G135" i="50"/>
  <c r="H135" i="50"/>
  <c r="I135" i="50"/>
  <c r="J135" i="50"/>
  <c r="K135" i="50"/>
  <c r="M135" i="50"/>
  <c r="N135" i="50"/>
  <c r="O135" i="50"/>
  <c r="P135" i="50"/>
  <c r="Q135" i="50"/>
  <c r="S135" i="50"/>
  <c r="U135" i="50"/>
  <c r="W135" i="50"/>
  <c r="X135" i="50"/>
  <c r="Y135" i="50"/>
  <c r="AA135" i="50"/>
  <c r="AC135" i="50"/>
  <c r="AD135" i="50"/>
  <c r="AE135" i="50"/>
  <c r="AG135" i="50"/>
  <c r="AI135" i="50"/>
  <c r="AK135" i="50"/>
  <c r="AM135" i="50"/>
  <c r="AN135" i="50"/>
  <c r="AO135" i="50"/>
  <c r="AQ135" i="50"/>
  <c r="AR135" i="50"/>
  <c r="AS135" i="50"/>
  <c r="AU135" i="50"/>
  <c r="AV135" i="50"/>
  <c r="AW135" i="50"/>
  <c r="AX135" i="50"/>
  <c r="AY135" i="50"/>
  <c r="AZ135" i="50"/>
  <c r="BA135" i="50"/>
  <c r="BC135" i="50"/>
  <c r="BD135" i="50"/>
  <c r="BE135" i="50"/>
  <c r="BF135" i="50"/>
  <c r="BG135" i="50"/>
  <c r="BH135" i="50"/>
  <c r="BI135" i="50"/>
  <c r="BJ135" i="50"/>
  <c r="BK135" i="50"/>
  <c r="BL135" i="50"/>
  <c r="BM135" i="50"/>
  <c r="BN135" i="50"/>
  <c r="BO135" i="50"/>
  <c r="BP135" i="50"/>
  <c r="BQ135" i="50"/>
  <c r="BR135" i="50"/>
  <c r="BS135" i="50"/>
  <c r="BT135" i="50"/>
  <c r="BU135" i="50"/>
  <c r="A136" i="50"/>
  <c r="B136" i="50"/>
  <c r="C136" i="50"/>
  <c r="D136" i="50"/>
  <c r="E136" i="50"/>
  <c r="F136" i="50"/>
  <c r="G136" i="50"/>
  <c r="H136" i="50"/>
  <c r="I136" i="50"/>
  <c r="J136" i="50"/>
  <c r="K136" i="50"/>
  <c r="M136" i="50"/>
  <c r="N136" i="50"/>
  <c r="O136" i="50"/>
  <c r="P136" i="50"/>
  <c r="Q136" i="50"/>
  <c r="S136" i="50"/>
  <c r="U136" i="50"/>
  <c r="W136" i="50"/>
  <c r="X136" i="50"/>
  <c r="Y136" i="50"/>
  <c r="AA136" i="50"/>
  <c r="AC136" i="50"/>
  <c r="AD136" i="50"/>
  <c r="AE136" i="50"/>
  <c r="AG136" i="50"/>
  <c r="AI136" i="50"/>
  <c r="AK136" i="50"/>
  <c r="AM136" i="50"/>
  <c r="AN136" i="50"/>
  <c r="AO136" i="50"/>
  <c r="AQ136" i="50"/>
  <c r="AR136" i="50"/>
  <c r="AS136" i="50"/>
  <c r="AU136" i="50"/>
  <c r="AV136" i="50"/>
  <c r="AW136" i="50"/>
  <c r="AX136" i="50"/>
  <c r="AY136" i="50"/>
  <c r="AZ136" i="50"/>
  <c r="BA136" i="50"/>
  <c r="BC136" i="50"/>
  <c r="BD136" i="50"/>
  <c r="BE136" i="50"/>
  <c r="BF136" i="50"/>
  <c r="BG136" i="50"/>
  <c r="BH136" i="50"/>
  <c r="BI136" i="50"/>
  <c r="BJ136" i="50"/>
  <c r="BK136" i="50"/>
  <c r="BL136" i="50"/>
  <c r="BM136" i="50"/>
  <c r="BN136" i="50"/>
  <c r="BO136" i="50"/>
  <c r="BP136" i="50"/>
  <c r="BQ136" i="50"/>
  <c r="BR136" i="50"/>
  <c r="BS136" i="50"/>
  <c r="BT136" i="50"/>
  <c r="BU136" i="50"/>
  <c r="A137" i="50"/>
  <c r="B137" i="50"/>
  <c r="C137" i="50"/>
  <c r="D137" i="50"/>
  <c r="E137" i="50"/>
  <c r="F137" i="50"/>
  <c r="G137" i="50"/>
  <c r="H137" i="50"/>
  <c r="I137" i="50"/>
  <c r="J137" i="50"/>
  <c r="K137" i="50"/>
  <c r="M137" i="50"/>
  <c r="N137" i="50"/>
  <c r="O137" i="50"/>
  <c r="P137" i="50"/>
  <c r="Q137" i="50"/>
  <c r="S137" i="50"/>
  <c r="U137" i="50"/>
  <c r="W137" i="50"/>
  <c r="X137" i="50"/>
  <c r="Y137" i="50"/>
  <c r="AA137" i="50"/>
  <c r="AC137" i="50"/>
  <c r="AD137" i="50"/>
  <c r="AE137" i="50"/>
  <c r="AG137" i="50"/>
  <c r="AI137" i="50"/>
  <c r="AK137" i="50"/>
  <c r="AM137" i="50"/>
  <c r="AN137" i="50"/>
  <c r="AO137" i="50"/>
  <c r="AQ137" i="50"/>
  <c r="AR137" i="50"/>
  <c r="AS137" i="50"/>
  <c r="AU137" i="50"/>
  <c r="AV137" i="50"/>
  <c r="AW137" i="50"/>
  <c r="AX137" i="50"/>
  <c r="AY137" i="50"/>
  <c r="AZ137" i="50"/>
  <c r="BA137" i="50"/>
  <c r="BC137" i="50"/>
  <c r="BD137" i="50"/>
  <c r="BE137" i="50"/>
  <c r="BF137" i="50"/>
  <c r="BG137" i="50"/>
  <c r="BH137" i="50"/>
  <c r="BI137" i="50"/>
  <c r="BJ137" i="50"/>
  <c r="BK137" i="50"/>
  <c r="BL137" i="50"/>
  <c r="BM137" i="50"/>
  <c r="BN137" i="50"/>
  <c r="BO137" i="50"/>
  <c r="BP137" i="50"/>
  <c r="BQ137" i="50"/>
  <c r="BR137" i="50"/>
  <c r="BS137" i="50"/>
  <c r="BT137" i="50"/>
  <c r="BU137" i="50"/>
  <c r="A138" i="50"/>
  <c r="B138" i="50"/>
  <c r="C138" i="50"/>
  <c r="D138" i="50"/>
  <c r="E138" i="50"/>
  <c r="F138" i="50"/>
  <c r="G138" i="50"/>
  <c r="H138" i="50"/>
  <c r="I138" i="50"/>
  <c r="J138" i="50"/>
  <c r="K138" i="50"/>
  <c r="M138" i="50"/>
  <c r="N138" i="50"/>
  <c r="O138" i="50"/>
  <c r="P138" i="50"/>
  <c r="Q138" i="50"/>
  <c r="S138" i="50"/>
  <c r="U138" i="50"/>
  <c r="W138" i="50"/>
  <c r="X138" i="50"/>
  <c r="Y138" i="50"/>
  <c r="AA138" i="50"/>
  <c r="AC138" i="50"/>
  <c r="AD138" i="50"/>
  <c r="AE138" i="50"/>
  <c r="AG138" i="50"/>
  <c r="AI138" i="50"/>
  <c r="AK138" i="50"/>
  <c r="AM138" i="50"/>
  <c r="AN138" i="50"/>
  <c r="AO138" i="50"/>
  <c r="AQ138" i="50"/>
  <c r="AR138" i="50"/>
  <c r="AS138" i="50"/>
  <c r="AU138" i="50"/>
  <c r="AV138" i="50"/>
  <c r="AW138" i="50"/>
  <c r="AX138" i="50"/>
  <c r="AY138" i="50"/>
  <c r="AZ138" i="50"/>
  <c r="BA138" i="50"/>
  <c r="BC138" i="50"/>
  <c r="BD138" i="50"/>
  <c r="BE138" i="50"/>
  <c r="BF138" i="50"/>
  <c r="BG138" i="50"/>
  <c r="BH138" i="50"/>
  <c r="BI138" i="50"/>
  <c r="BJ138" i="50"/>
  <c r="BK138" i="50"/>
  <c r="BL138" i="50"/>
  <c r="BM138" i="50"/>
  <c r="BN138" i="50"/>
  <c r="BO138" i="50"/>
  <c r="BP138" i="50"/>
  <c r="BQ138" i="50"/>
  <c r="BR138" i="50"/>
  <c r="BS138" i="50"/>
  <c r="BT138" i="50"/>
  <c r="BU138" i="50"/>
  <c r="A139" i="50"/>
  <c r="B139" i="50"/>
  <c r="C139" i="50"/>
  <c r="D139" i="50"/>
  <c r="E139" i="50"/>
  <c r="F139" i="50"/>
  <c r="G139" i="50"/>
  <c r="H139" i="50"/>
  <c r="I139" i="50"/>
  <c r="J139" i="50"/>
  <c r="K139" i="50"/>
  <c r="M139" i="50"/>
  <c r="N139" i="50"/>
  <c r="O139" i="50"/>
  <c r="P139" i="50"/>
  <c r="Q139" i="50"/>
  <c r="S139" i="50"/>
  <c r="U139" i="50"/>
  <c r="W139" i="50"/>
  <c r="X139" i="50"/>
  <c r="Y139" i="50"/>
  <c r="AA139" i="50"/>
  <c r="AC139" i="50"/>
  <c r="AD139" i="50"/>
  <c r="AE139" i="50"/>
  <c r="AG139" i="50"/>
  <c r="AI139" i="50"/>
  <c r="AK139" i="50"/>
  <c r="AM139" i="50"/>
  <c r="AN139" i="50"/>
  <c r="AO139" i="50"/>
  <c r="AQ139" i="50"/>
  <c r="AR139" i="50"/>
  <c r="AS139" i="50"/>
  <c r="AU139" i="50"/>
  <c r="AV139" i="50"/>
  <c r="AW139" i="50"/>
  <c r="AX139" i="50"/>
  <c r="AY139" i="50"/>
  <c r="AZ139" i="50"/>
  <c r="BA139" i="50"/>
  <c r="BC139" i="50"/>
  <c r="BD139" i="50"/>
  <c r="BE139" i="50"/>
  <c r="BF139" i="50"/>
  <c r="BG139" i="50"/>
  <c r="BH139" i="50"/>
  <c r="BI139" i="50"/>
  <c r="BJ139" i="50"/>
  <c r="BK139" i="50"/>
  <c r="BL139" i="50"/>
  <c r="BM139" i="50"/>
  <c r="BN139" i="50"/>
  <c r="BO139" i="50"/>
  <c r="BP139" i="50"/>
  <c r="BQ139" i="50"/>
  <c r="BR139" i="50"/>
  <c r="BS139" i="50"/>
  <c r="BT139" i="50"/>
  <c r="BU139" i="50"/>
  <c r="A140" i="50"/>
  <c r="B140" i="50"/>
  <c r="C140" i="50"/>
  <c r="D140" i="50"/>
  <c r="E140" i="50"/>
  <c r="F140" i="50"/>
  <c r="G140" i="50"/>
  <c r="H140" i="50"/>
  <c r="I140" i="50"/>
  <c r="J140" i="50"/>
  <c r="K140" i="50"/>
  <c r="M140" i="50"/>
  <c r="N140" i="50"/>
  <c r="O140" i="50"/>
  <c r="P140" i="50"/>
  <c r="Q140" i="50"/>
  <c r="S140" i="50"/>
  <c r="U140" i="50"/>
  <c r="W140" i="50"/>
  <c r="X140" i="50"/>
  <c r="Y140" i="50"/>
  <c r="AA140" i="50"/>
  <c r="AC140" i="50"/>
  <c r="AD140" i="50"/>
  <c r="AE140" i="50"/>
  <c r="AG140" i="50"/>
  <c r="AI140" i="50"/>
  <c r="AK140" i="50"/>
  <c r="AM140" i="50"/>
  <c r="AN140" i="50"/>
  <c r="AO140" i="50"/>
  <c r="AQ140" i="50"/>
  <c r="AR140" i="50"/>
  <c r="AS140" i="50"/>
  <c r="AU140" i="50"/>
  <c r="AV140" i="50"/>
  <c r="AW140" i="50"/>
  <c r="AX140" i="50"/>
  <c r="AY140" i="50"/>
  <c r="AZ140" i="50"/>
  <c r="BA140" i="50"/>
  <c r="BC140" i="50"/>
  <c r="BD140" i="50"/>
  <c r="BE140" i="50"/>
  <c r="BF140" i="50"/>
  <c r="BG140" i="50"/>
  <c r="BH140" i="50"/>
  <c r="BI140" i="50"/>
  <c r="BJ140" i="50"/>
  <c r="BK140" i="50"/>
  <c r="BL140" i="50"/>
  <c r="BM140" i="50"/>
  <c r="BN140" i="50"/>
  <c r="BO140" i="50"/>
  <c r="BP140" i="50"/>
  <c r="BQ140" i="50"/>
  <c r="BR140" i="50"/>
  <c r="BS140" i="50"/>
  <c r="BT140" i="50"/>
  <c r="BU140" i="50"/>
  <c r="A141" i="50"/>
  <c r="B141" i="50"/>
  <c r="C141" i="50"/>
  <c r="D141" i="50"/>
  <c r="E141" i="50"/>
  <c r="F141" i="50"/>
  <c r="G141" i="50"/>
  <c r="H141" i="50"/>
  <c r="I141" i="50"/>
  <c r="J141" i="50"/>
  <c r="K141" i="50"/>
  <c r="M141" i="50"/>
  <c r="N141" i="50"/>
  <c r="O141" i="50"/>
  <c r="P141" i="50"/>
  <c r="Q141" i="50"/>
  <c r="S141" i="50"/>
  <c r="U141" i="50"/>
  <c r="W141" i="50"/>
  <c r="X141" i="50"/>
  <c r="Y141" i="50"/>
  <c r="AA141" i="50"/>
  <c r="AC141" i="50"/>
  <c r="AD141" i="50"/>
  <c r="AE141" i="50"/>
  <c r="AG141" i="50"/>
  <c r="AI141" i="50"/>
  <c r="AK141" i="50"/>
  <c r="AM141" i="50"/>
  <c r="AN141" i="50"/>
  <c r="AO141" i="50"/>
  <c r="AQ141" i="50"/>
  <c r="AR141" i="50"/>
  <c r="AS141" i="50"/>
  <c r="AU141" i="50"/>
  <c r="AV141" i="50"/>
  <c r="AW141" i="50"/>
  <c r="AX141" i="50"/>
  <c r="AY141" i="50"/>
  <c r="AZ141" i="50"/>
  <c r="BA141" i="50"/>
  <c r="BC141" i="50"/>
  <c r="BD141" i="50"/>
  <c r="BE141" i="50"/>
  <c r="BF141" i="50"/>
  <c r="BG141" i="50"/>
  <c r="BH141" i="50"/>
  <c r="BI141" i="50"/>
  <c r="BJ141" i="50"/>
  <c r="BK141" i="50"/>
  <c r="BL141" i="50"/>
  <c r="BM141" i="50"/>
  <c r="BN141" i="50"/>
  <c r="BO141" i="50"/>
  <c r="BP141" i="50"/>
  <c r="BQ141" i="50"/>
  <c r="BR141" i="50"/>
  <c r="BS141" i="50"/>
  <c r="BT141" i="50"/>
  <c r="BU141" i="50"/>
  <c r="A142" i="50"/>
  <c r="B142" i="50"/>
  <c r="C142" i="50"/>
  <c r="D142" i="50"/>
  <c r="E142" i="50"/>
  <c r="F142" i="50"/>
  <c r="G142" i="50"/>
  <c r="H142" i="50"/>
  <c r="I142" i="50"/>
  <c r="J142" i="50"/>
  <c r="K142" i="50"/>
  <c r="M142" i="50"/>
  <c r="N142" i="50"/>
  <c r="O142" i="50"/>
  <c r="P142" i="50"/>
  <c r="Q142" i="50"/>
  <c r="S142" i="50"/>
  <c r="U142" i="50"/>
  <c r="W142" i="50"/>
  <c r="X142" i="50"/>
  <c r="Y142" i="50"/>
  <c r="AA142" i="50"/>
  <c r="AC142" i="50"/>
  <c r="AD142" i="50"/>
  <c r="AE142" i="50"/>
  <c r="AG142" i="50"/>
  <c r="AI142" i="50"/>
  <c r="AK142" i="50"/>
  <c r="AM142" i="50"/>
  <c r="AN142" i="50"/>
  <c r="AO142" i="50"/>
  <c r="AQ142" i="50"/>
  <c r="AR142" i="50"/>
  <c r="AS142" i="50"/>
  <c r="AU142" i="50"/>
  <c r="AV142" i="50"/>
  <c r="AW142" i="50"/>
  <c r="AX142" i="50"/>
  <c r="AY142" i="50"/>
  <c r="AZ142" i="50"/>
  <c r="BA142" i="50"/>
  <c r="BC142" i="50"/>
  <c r="BD142" i="50"/>
  <c r="BE142" i="50"/>
  <c r="BF142" i="50"/>
  <c r="BG142" i="50"/>
  <c r="BH142" i="50"/>
  <c r="BI142" i="50"/>
  <c r="BJ142" i="50"/>
  <c r="BK142" i="50"/>
  <c r="BL142" i="50"/>
  <c r="BM142" i="50"/>
  <c r="BN142" i="50"/>
  <c r="BO142" i="50"/>
  <c r="BP142" i="50"/>
  <c r="BQ142" i="50"/>
  <c r="BR142" i="50"/>
  <c r="BS142" i="50"/>
  <c r="BT142" i="50"/>
  <c r="BU142" i="50"/>
  <c r="A143" i="50"/>
  <c r="B143" i="50"/>
  <c r="C143" i="50"/>
  <c r="D143" i="50"/>
  <c r="E143" i="50"/>
  <c r="F143" i="50"/>
  <c r="G143" i="50"/>
  <c r="H143" i="50"/>
  <c r="I143" i="50"/>
  <c r="J143" i="50"/>
  <c r="K143" i="50"/>
  <c r="M143" i="50"/>
  <c r="N143" i="50"/>
  <c r="O143" i="50"/>
  <c r="P143" i="50"/>
  <c r="Q143" i="50"/>
  <c r="S143" i="50"/>
  <c r="U143" i="50"/>
  <c r="W143" i="50"/>
  <c r="X143" i="50"/>
  <c r="Y143" i="50"/>
  <c r="AA143" i="50"/>
  <c r="AC143" i="50"/>
  <c r="AD143" i="50"/>
  <c r="AE143" i="50"/>
  <c r="AG143" i="50"/>
  <c r="AI143" i="50"/>
  <c r="AK143" i="50"/>
  <c r="AM143" i="50"/>
  <c r="AN143" i="50"/>
  <c r="AO143" i="50"/>
  <c r="AQ143" i="50"/>
  <c r="AR143" i="50"/>
  <c r="AS143" i="50"/>
  <c r="AU143" i="50"/>
  <c r="AV143" i="50"/>
  <c r="AW143" i="50"/>
  <c r="AX143" i="50"/>
  <c r="AY143" i="50"/>
  <c r="AZ143" i="50"/>
  <c r="BA143" i="50"/>
  <c r="BC143" i="50"/>
  <c r="BD143" i="50"/>
  <c r="BE143" i="50"/>
  <c r="BF143" i="50"/>
  <c r="BG143" i="50"/>
  <c r="BH143" i="50"/>
  <c r="BI143" i="50"/>
  <c r="BJ143" i="50"/>
  <c r="BK143" i="50"/>
  <c r="BL143" i="50"/>
  <c r="BM143" i="50"/>
  <c r="BN143" i="50"/>
  <c r="BO143" i="50"/>
  <c r="BP143" i="50"/>
  <c r="BQ143" i="50"/>
  <c r="BR143" i="50"/>
  <c r="BS143" i="50"/>
  <c r="BT143" i="50"/>
  <c r="BU143" i="50"/>
  <c r="A144" i="50"/>
  <c r="B144" i="50"/>
  <c r="C144" i="50"/>
  <c r="D144" i="50"/>
  <c r="E144" i="50"/>
  <c r="F144" i="50"/>
  <c r="G144" i="50"/>
  <c r="H144" i="50"/>
  <c r="I144" i="50"/>
  <c r="J144" i="50"/>
  <c r="K144" i="50"/>
  <c r="M144" i="50"/>
  <c r="N144" i="50"/>
  <c r="O144" i="50"/>
  <c r="P144" i="50"/>
  <c r="Q144" i="50"/>
  <c r="S144" i="50"/>
  <c r="U144" i="50"/>
  <c r="W144" i="50"/>
  <c r="X144" i="50"/>
  <c r="Y144" i="50"/>
  <c r="AA144" i="50"/>
  <c r="AC144" i="50"/>
  <c r="AD144" i="50"/>
  <c r="AE144" i="50"/>
  <c r="AG144" i="50"/>
  <c r="AI144" i="50"/>
  <c r="AK144" i="50"/>
  <c r="AM144" i="50"/>
  <c r="AN144" i="50"/>
  <c r="AO144" i="50"/>
  <c r="AQ144" i="50"/>
  <c r="AR144" i="50"/>
  <c r="AS144" i="50"/>
  <c r="AU144" i="50"/>
  <c r="AV144" i="50"/>
  <c r="AW144" i="50"/>
  <c r="AX144" i="50"/>
  <c r="AY144" i="50"/>
  <c r="AZ144" i="50"/>
  <c r="BA144" i="50"/>
  <c r="BC144" i="50"/>
  <c r="BD144" i="50"/>
  <c r="BE144" i="50"/>
  <c r="BF144" i="50"/>
  <c r="BG144" i="50"/>
  <c r="BH144" i="50"/>
  <c r="BI144" i="50"/>
  <c r="BJ144" i="50"/>
  <c r="BK144" i="50"/>
  <c r="BL144" i="50"/>
  <c r="BM144" i="50"/>
  <c r="BN144" i="50"/>
  <c r="BO144" i="50"/>
  <c r="BP144" i="50"/>
  <c r="BQ144" i="50"/>
  <c r="BR144" i="50"/>
  <c r="BS144" i="50"/>
  <c r="BT144" i="50"/>
  <c r="BU144" i="50"/>
  <c r="A145" i="50"/>
  <c r="B145" i="50"/>
  <c r="C145" i="50"/>
  <c r="D145" i="50"/>
  <c r="E145" i="50"/>
  <c r="F145" i="50"/>
  <c r="G145" i="50"/>
  <c r="H145" i="50"/>
  <c r="I145" i="50"/>
  <c r="J145" i="50"/>
  <c r="K145" i="50"/>
  <c r="M145" i="50"/>
  <c r="N145" i="50"/>
  <c r="O145" i="50"/>
  <c r="P145" i="50"/>
  <c r="Q145" i="50"/>
  <c r="S145" i="50"/>
  <c r="U145" i="50"/>
  <c r="W145" i="50"/>
  <c r="X145" i="50"/>
  <c r="Y145" i="50"/>
  <c r="AA145" i="50"/>
  <c r="AC145" i="50"/>
  <c r="AD145" i="50"/>
  <c r="AE145" i="50"/>
  <c r="AG145" i="50"/>
  <c r="AI145" i="50"/>
  <c r="AK145" i="50"/>
  <c r="AM145" i="50"/>
  <c r="AN145" i="50"/>
  <c r="AO145" i="50"/>
  <c r="AQ145" i="50"/>
  <c r="AR145" i="50"/>
  <c r="AS145" i="50"/>
  <c r="AU145" i="50"/>
  <c r="AV145" i="50"/>
  <c r="AW145" i="50"/>
  <c r="AX145" i="50"/>
  <c r="AY145" i="50"/>
  <c r="AZ145" i="50"/>
  <c r="BA145" i="50"/>
  <c r="BC145" i="50"/>
  <c r="BD145" i="50"/>
  <c r="BE145" i="50"/>
  <c r="BF145" i="50"/>
  <c r="BG145" i="50"/>
  <c r="BH145" i="50"/>
  <c r="BI145" i="50"/>
  <c r="BJ145" i="50"/>
  <c r="BK145" i="50"/>
  <c r="BL145" i="50"/>
  <c r="BM145" i="50"/>
  <c r="BN145" i="50"/>
  <c r="BO145" i="50"/>
  <c r="BP145" i="50"/>
  <c r="BQ145" i="50"/>
  <c r="BR145" i="50"/>
  <c r="BS145" i="50"/>
  <c r="BT145" i="50"/>
  <c r="BU145" i="50"/>
  <c r="A146" i="50"/>
  <c r="B146" i="50"/>
  <c r="C146" i="50"/>
  <c r="D146" i="50"/>
  <c r="E146" i="50"/>
  <c r="F146" i="50"/>
  <c r="G146" i="50"/>
  <c r="H146" i="50"/>
  <c r="I146" i="50"/>
  <c r="J146" i="50"/>
  <c r="K146" i="50"/>
  <c r="M146" i="50"/>
  <c r="N146" i="50"/>
  <c r="O146" i="50"/>
  <c r="P146" i="50"/>
  <c r="Q146" i="50"/>
  <c r="S146" i="50"/>
  <c r="U146" i="50"/>
  <c r="W146" i="50"/>
  <c r="X146" i="50"/>
  <c r="Y146" i="50"/>
  <c r="AA146" i="50"/>
  <c r="AC146" i="50"/>
  <c r="AD146" i="50"/>
  <c r="AE146" i="50"/>
  <c r="AG146" i="50"/>
  <c r="AI146" i="50"/>
  <c r="AK146" i="50"/>
  <c r="AM146" i="50"/>
  <c r="AN146" i="50"/>
  <c r="AO146" i="50"/>
  <c r="AQ146" i="50"/>
  <c r="AR146" i="50"/>
  <c r="AS146" i="50"/>
  <c r="AU146" i="50"/>
  <c r="AV146" i="50"/>
  <c r="AW146" i="50"/>
  <c r="AX146" i="50"/>
  <c r="AY146" i="50"/>
  <c r="AZ146" i="50"/>
  <c r="BA146" i="50"/>
  <c r="BC146" i="50"/>
  <c r="BD146" i="50"/>
  <c r="BE146" i="50"/>
  <c r="BF146" i="50"/>
  <c r="BG146" i="50"/>
  <c r="BH146" i="50"/>
  <c r="BI146" i="50"/>
  <c r="BJ146" i="50"/>
  <c r="BK146" i="50"/>
  <c r="BL146" i="50"/>
  <c r="BM146" i="50"/>
  <c r="BN146" i="50"/>
  <c r="BO146" i="50"/>
  <c r="BP146" i="50"/>
  <c r="BQ146" i="50"/>
  <c r="BR146" i="50"/>
  <c r="BS146" i="50"/>
  <c r="BT146" i="50"/>
  <c r="BU146" i="50"/>
  <c r="A147" i="50"/>
  <c r="B147" i="50"/>
  <c r="C147" i="50"/>
  <c r="D147" i="50"/>
  <c r="E147" i="50"/>
  <c r="F147" i="50"/>
  <c r="G147" i="50"/>
  <c r="H147" i="50"/>
  <c r="I147" i="50"/>
  <c r="J147" i="50"/>
  <c r="K147" i="50"/>
  <c r="M147" i="50"/>
  <c r="N147" i="50"/>
  <c r="O147" i="50"/>
  <c r="P147" i="50"/>
  <c r="Q147" i="50"/>
  <c r="S147" i="50"/>
  <c r="U147" i="50"/>
  <c r="W147" i="50"/>
  <c r="X147" i="50"/>
  <c r="Y147" i="50"/>
  <c r="AA147" i="50"/>
  <c r="AC147" i="50"/>
  <c r="AD147" i="50"/>
  <c r="AE147" i="50"/>
  <c r="AG147" i="50"/>
  <c r="AI147" i="50"/>
  <c r="AK147" i="50"/>
  <c r="AM147" i="50"/>
  <c r="AN147" i="50"/>
  <c r="AO147" i="50"/>
  <c r="AQ147" i="50"/>
  <c r="AR147" i="50"/>
  <c r="AS147" i="50"/>
  <c r="AU147" i="50"/>
  <c r="AV147" i="50"/>
  <c r="AW147" i="50"/>
  <c r="AX147" i="50"/>
  <c r="AY147" i="50"/>
  <c r="AZ147" i="50"/>
  <c r="BA147" i="50"/>
  <c r="BC147" i="50"/>
  <c r="BD147" i="50"/>
  <c r="BE147" i="50"/>
  <c r="BF147" i="50"/>
  <c r="BG147" i="50"/>
  <c r="BH147" i="50"/>
  <c r="BI147" i="50"/>
  <c r="BJ147" i="50"/>
  <c r="BK147" i="50"/>
  <c r="BL147" i="50"/>
  <c r="BM147" i="50"/>
  <c r="BN147" i="50"/>
  <c r="BO147" i="50"/>
  <c r="BP147" i="50"/>
  <c r="BQ147" i="50"/>
  <c r="BR147" i="50"/>
  <c r="BS147" i="50"/>
  <c r="BT147" i="50"/>
  <c r="BU147" i="50"/>
  <c r="A148" i="50"/>
  <c r="B148" i="50"/>
  <c r="C148" i="50"/>
  <c r="D148" i="50"/>
  <c r="E148" i="50"/>
  <c r="F148" i="50"/>
  <c r="G148" i="50"/>
  <c r="H148" i="50"/>
  <c r="I148" i="50"/>
  <c r="J148" i="50"/>
  <c r="K148" i="50"/>
  <c r="M148" i="50"/>
  <c r="N148" i="50"/>
  <c r="O148" i="50"/>
  <c r="P148" i="50"/>
  <c r="Q148" i="50"/>
  <c r="S148" i="50"/>
  <c r="U148" i="50"/>
  <c r="W148" i="50"/>
  <c r="X148" i="50"/>
  <c r="Y148" i="50"/>
  <c r="AA148" i="50"/>
  <c r="AC148" i="50"/>
  <c r="AD148" i="50"/>
  <c r="AE148" i="50"/>
  <c r="AG148" i="50"/>
  <c r="AI148" i="50"/>
  <c r="AK148" i="50"/>
  <c r="AM148" i="50"/>
  <c r="AN148" i="50"/>
  <c r="AO148" i="50"/>
  <c r="AQ148" i="50"/>
  <c r="AR148" i="50"/>
  <c r="AS148" i="50"/>
  <c r="AU148" i="50"/>
  <c r="AV148" i="50"/>
  <c r="AW148" i="50"/>
  <c r="AX148" i="50"/>
  <c r="AY148" i="50"/>
  <c r="AZ148" i="50"/>
  <c r="BA148" i="50"/>
  <c r="BC148" i="50"/>
  <c r="BD148" i="50"/>
  <c r="BE148" i="50"/>
  <c r="BF148" i="50"/>
  <c r="BG148" i="50"/>
  <c r="BH148" i="50"/>
  <c r="BI148" i="50"/>
  <c r="BJ148" i="50"/>
  <c r="BK148" i="50"/>
  <c r="BL148" i="50"/>
  <c r="BM148" i="50"/>
  <c r="BN148" i="50"/>
  <c r="BO148" i="50"/>
  <c r="BP148" i="50"/>
  <c r="BQ148" i="50"/>
  <c r="BR148" i="50"/>
  <c r="BS148" i="50"/>
  <c r="BT148" i="50"/>
  <c r="BU148" i="50"/>
  <c r="A149" i="50"/>
  <c r="B149" i="50"/>
  <c r="C149" i="50"/>
  <c r="D149" i="50"/>
  <c r="E149" i="50"/>
  <c r="F149" i="50"/>
  <c r="G149" i="50"/>
  <c r="H149" i="50"/>
  <c r="I149" i="50"/>
  <c r="J149" i="50"/>
  <c r="K149" i="50"/>
  <c r="M149" i="50"/>
  <c r="N149" i="50"/>
  <c r="O149" i="50"/>
  <c r="P149" i="50"/>
  <c r="Q149" i="50"/>
  <c r="S149" i="50"/>
  <c r="U149" i="50"/>
  <c r="W149" i="50"/>
  <c r="X149" i="50"/>
  <c r="Y149" i="50"/>
  <c r="AA149" i="50"/>
  <c r="AC149" i="50"/>
  <c r="AD149" i="50"/>
  <c r="AE149" i="50"/>
  <c r="AG149" i="50"/>
  <c r="AI149" i="50"/>
  <c r="AK149" i="50"/>
  <c r="AM149" i="50"/>
  <c r="AN149" i="50"/>
  <c r="AO149" i="50"/>
  <c r="AQ149" i="50"/>
  <c r="AR149" i="50"/>
  <c r="AS149" i="50"/>
  <c r="AU149" i="50"/>
  <c r="AV149" i="50"/>
  <c r="AW149" i="50"/>
  <c r="AX149" i="50"/>
  <c r="AY149" i="50"/>
  <c r="AZ149" i="50"/>
  <c r="BA149" i="50"/>
  <c r="BC149" i="50"/>
  <c r="BD149" i="50"/>
  <c r="BE149" i="50"/>
  <c r="BF149" i="50"/>
  <c r="BG149" i="50"/>
  <c r="BH149" i="50"/>
  <c r="BI149" i="50"/>
  <c r="BJ149" i="50"/>
  <c r="BK149" i="50"/>
  <c r="BL149" i="50"/>
  <c r="BM149" i="50"/>
  <c r="BN149" i="50"/>
  <c r="BO149" i="50"/>
  <c r="BP149" i="50"/>
  <c r="BQ149" i="50"/>
  <c r="BR149" i="50"/>
  <c r="BS149" i="50"/>
  <c r="BT149" i="50"/>
  <c r="BU149" i="50"/>
  <c r="A150" i="50"/>
  <c r="B150" i="50"/>
  <c r="C150" i="50"/>
  <c r="D150" i="50"/>
  <c r="E150" i="50"/>
  <c r="F150" i="50"/>
  <c r="G150" i="50"/>
  <c r="H150" i="50"/>
  <c r="I150" i="50"/>
  <c r="J150" i="50"/>
  <c r="K150" i="50"/>
  <c r="M150" i="50"/>
  <c r="N150" i="50"/>
  <c r="O150" i="50"/>
  <c r="P150" i="50"/>
  <c r="Q150" i="50"/>
  <c r="S150" i="50"/>
  <c r="U150" i="50"/>
  <c r="W150" i="50"/>
  <c r="X150" i="50"/>
  <c r="Y150" i="50"/>
  <c r="AA150" i="50"/>
  <c r="AC150" i="50"/>
  <c r="AD150" i="50"/>
  <c r="AE150" i="50"/>
  <c r="AG150" i="50"/>
  <c r="AI150" i="50"/>
  <c r="AK150" i="50"/>
  <c r="AM150" i="50"/>
  <c r="AN150" i="50"/>
  <c r="AO150" i="50"/>
  <c r="AQ150" i="50"/>
  <c r="AR150" i="50"/>
  <c r="AS150" i="50"/>
  <c r="AU150" i="50"/>
  <c r="AV150" i="50"/>
  <c r="AW150" i="50"/>
  <c r="AX150" i="50"/>
  <c r="AY150" i="50"/>
  <c r="AZ150" i="50"/>
  <c r="BA150" i="50"/>
  <c r="BC150" i="50"/>
  <c r="BD150" i="50"/>
  <c r="BE150" i="50"/>
  <c r="BF150" i="50"/>
  <c r="BG150" i="50"/>
  <c r="BH150" i="50"/>
  <c r="BI150" i="50"/>
  <c r="BJ150" i="50"/>
  <c r="BK150" i="50"/>
  <c r="BL150" i="50"/>
  <c r="BM150" i="50"/>
  <c r="BN150" i="50"/>
  <c r="BO150" i="50"/>
  <c r="BP150" i="50"/>
  <c r="BQ150" i="50"/>
  <c r="BR150" i="50"/>
  <c r="BS150" i="50"/>
  <c r="BT150" i="50"/>
  <c r="BU150" i="50"/>
  <c r="A151" i="50"/>
  <c r="B151" i="50"/>
  <c r="C151" i="50"/>
  <c r="D151" i="50"/>
  <c r="E151" i="50"/>
  <c r="F151" i="50"/>
  <c r="G151" i="50"/>
  <c r="H151" i="50"/>
  <c r="I151" i="50"/>
  <c r="J151" i="50"/>
  <c r="K151" i="50"/>
  <c r="M151" i="50"/>
  <c r="N151" i="50"/>
  <c r="O151" i="50"/>
  <c r="P151" i="50"/>
  <c r="Q151" i="50"/>
  <c r="S151" i="50"/>
  <c r="U151" i="50"/>
  <c r="W151" i="50"/>
  <c r="X151" i="50"/>
  <c r="Y151" i="50"/>
  <c r="AA151" i="50"/>
  <c r="AC151" i="50"/>
  <c r="AD151" i="50"/>
  <c r="AE151" i="50"/>
  <c r="AG151" i="50"/>
  <c r="AI151" i="50"/>
  <c r="AK151" i="50"/>
  <c r="AM151" i="50"/>
  <c r="AN151" i="50"/>
  <c r="AO151" i="50"/>
  <c r="AQ151" i="50"/>
  <c r="AR151" i="50"/>
  <c r="AS151" i="50"/>
  <c r="AU151" i="50"/>
  <c r="AV151" i="50"/>
  <c r="AW151" i="50"/>
  <c r="AX151" i="50"/>
  <c r="AY151" i="50"/>
  <c r="AZ151" i="50"/>
  <c r="BA151" i="50"/>
  <c r="BC151" i="50"/>
  <c r="BD151" i="50"/>
  <c r="BE151" i="50"/>
  <c r="BF151" i="50"/>
  <c r="BG151" i="50"/>
  <c r="BH151" i="50"/>
  <c r="BI151" i="50"/>
  <c r="BJ151" i="50"/>
  <c r="BK151" i="50"/>
  <c r="BL151" i="50"/>
  <c r="BM151" i="50"/>
  <c r="BN151" i="50"/>
  <c r="BO151" i="50"/>
  <c r="BP151" i="50"/>
  <c r="BQ151" i="50"/>
  <c r="BR151" i="50"/>
  <c r="BS151" i="50"/>
  <c r="BT151" i="50"/>
  <c r="BU151" i="50"/>
  <c r="A152" i="50"/>
  <c r="B152" i="50"/>
  <c r="C152" i="50"/>
  <c r="D152" i="50"/>
  <c r="E152" i="50"/>
  <c r="F152" i="50"/>
  <c r="G152" i="50"/>
  <c r="H152" i="50"/>
  <c r="I152" i="50"/>
  <c r="J152" i="50"/>
  <c r="K152" i="50"/>
  <c r="M152" i="50"/>
  <c r="N152" i="50"/>
  <c r="O152" i="50"/>
  <c r="P152" i="50"/>
  <c r="Q152" i="50"/>
  <c r="S152" i="50"/>
  <c r="U152" i="50"/>
  <c r="W152" i="50"/>
  <c r="X152" i="50"/>
  <c r="Y152" i="50"/>
  <c r="AA152" i="50"/>
  <c r="AC152" i="50"/>
  <c r="AD152" i="50"/>
  <c r="AE152" i="50"/>
  <c r="AG152" i="50"/>
  <c r="AI152" i="50"/>
  <c r="AK152" i="50"/>
  <c r="AM152" i="50"/>
  <c r="AN152" i="50"/>
  <c r="AO152" i="50"/>
  <c r="AQ152" i="50"/>
  <c r="AR152" i="50"/>
  <c r="AS152" i="50"/>
  <c r="AU152" i="50"/>
  <c r="AV152" i="50"/>
  <c r="AW152" i="50"/>
  <c r="AX152" i="50"/>
  <c r="AY152" i="50"/>
  <c r="AZ152" i="50"/>
  <c r="BA152" i="50"/>
  <c r="BC152" i="50"/>
  <c r="BD152" i="50"/>
  <c r="BE152" i="50"/>
  <c r="BF152" i="50"/>
  <c r="BG152" i="50"/>
  <c r="BH152" i="50"/>
  <c r="BI152" i="50"/>
  <c r="BJ152" i="50"/>
  <c r="BK152" i="50"/>
  <c r="BL152" i="50"/>
  <c r="BM152" i="50"/>
  <c r="BN152" i="50"/>
  <c r="BO152" i="50"/>
  <c r="BP152" i="50"/>
  <c r="BQ152" i="50"/>
  <c r="BR152" i="50"/>
  <c r="BS152" i="50"/>
  <c r="BT152" i="50"/>
  <c r="BU152" i="50"/>
  <c r="A153" i="50"/>
  <c r="B153" i="50"/>
  <c r="C153" i="50"/>
  <c r="D153" i="50"/>
  <c r="E153" i="50"/>
  <c r="F153" i="50"/>
  <c r="G153" i="50"/>
  <c r="H153" i="50"/>
  <c r="I153" i="50"/>
  <c r="J153" i="50"/>
  <c r="K153" i="50"/>
  <c r="M153" i="50"/>
  <c r="N153" i="50"/>
  <c r="O153" i="50"/>
  <c r="P153" i="50"/>
  <c r="Q153" i="50"/>
  <c r="S153" i="50"/>
  <c r="U153" i="50"/>
  <c r="W153" i="50"/>
  <c r="X153" i="50"/>
  <c r="Y153" i="50"/>
  <c r="AA153" i="50"/>
  <c r="AC153" i="50"/>
  <c r="AD153" i="50"/>
  <c r="AE153" i="50"/>
  <c r="AG153" i="50"/>
  <c r="AI153" i="50"/>
  <c r="AK153" i="50"/>
  <c r="AM153" i="50"/>
  <c r="AN153" i="50"/>
  <c r="AO153" i="50"/>
  <c r="AQ153" i="50"/>
  <c r="AR153" i="50"/>
  <c r="AS153" i="50"/>
  <c r="AU153" i="50"/>
  <c r="AV153" i="50"/>
  <c r="AW153" i="50"/>
  <c r="AX153" i="50"/>
  <c r="AY153" i="50"/>
  <c r="AZ153" i="50"/>
  <c r="BA153" i="50"/>
  <c r="BC153" i="50"/>
  <c r="BD153" i="50"/>
  <c r="BE153" i="50"/>
  <c r="BF153" i="50"/>
  <c r="BG153" i="50"/>
  <c r="BH153" i="50"/>
  <c r="BI153" i="50"/>
  <c r="BJ153" i="50"/>
  <c r="BK153" i="50"/>
  <c r="BL153" i="50"/>
  <c r="BM153" i="50"/>
  <c r="BN153" i="50"/>
  <c r="BO153" i="50"/>
  <c r="BP153" i="50"/>
  <c r="BQ153" i="50"/>
  <c r="BR153" i="50"/>
  <c r="BS153" i="50"/>
  <c r="BT153" i="50"/>
  <c r="BU153" i="50"/>
  <c r="A154" i="50"/>
  <c r="B154" i="50"/>
  <c r="C154" i="50"/>
  <c r="D154" i="50"/>
  <c r="E154" i="50"/>
  <c r="F154" i="50"/>
  <c r="G154" i="50"/>
  <c r="H154" i="50"/>
  <c r="I154" i="50"/>
  <c r="J154" i="50"/>
  <c r="K154" i="50"/>
  <c r="M154" i="50"/>
  <c r="N154" i="50"/>
  <c r="O154" i="50"/>
  <c r="P154" i="50"/>
  <c r="Q154" i="50"/>
  <c r="S154" i="50"/>
  <c r="U154" i="50"/>
  <c r="W154" i="50"/>
  <c r="X154" i="50"/>
  <c r="Y154" i="50"/>
  <c r="AA154" i="50"/>
  <c r="AC154" i="50"/>
  <c r="AD154" i="50"/>
  <c r="AE154" i="50"/>
  <c r="AG154" i="50"/>
  <c r="AI154" i="50"/>
  <c r="AK154" i="50"/>
  <c r="AM154" i="50"/>
  <c r="AN154" i="50"/>
  <c r="AO154" i="50"/>
  <c r="AQ154" i="50"/>
  <c r="AR154" i="50"/>
  <c r="AS154" i="50"/>
  <c r="AU154" i="50"/>
  <c r="AV154" i="50"/>
  <c r="AW154" i="50"/>
  <c r="AX154" i="50"/>
  <c r="AY154" i="50"/>
  <c r="AZ154" i="50"/>
  <c r="BA154" i="50"/>
  <c r="BC154" i="50"/>
  <c r="BD154" i="50"/>
  <c r="BE154" i="50"/>
  <c r="BF154" i="50"/>
  <c r="BG154" i="50"/>
  <c r="BH154" i="50"/>
  <c r="BI154" i="50"/>
  <c r="BJ154" i="50"/>
  <c r="BK154" i="50"/>
  <c r="BL154" i="50"/>
  <c r="BM154" i="50"/>
  <c r="BN154" i="50"/>
  <c r="BO154" i="50"/>
  <c r="BP154" i="50"/>
  <c r="BQ154" i="50"/>
  <c r="BR154" i="50"/>
  <c r="BS154" i="50"/>
  <c r="BT154" i="50"/>
  <c r="BU154" i="50"/>
  <c r="A155" i="50"/>
  <c r="B155" i="50"/>
  <c r="C155" i="50"/>
  <c r="D155" i="50"/>
  <c r="E155" i="50"/>
  <c r="F155" i="50"/>
  <c r="G155" i="50"/>
  <c r="H155" i="50"/>
  <c r="I155" i="50"/>
  <c r="J155" i="50"/>
  <c r="K155" i="50"/>
  <c r="M155" i="50"/>
  <c r="N155" i="50"/>
  <c r="O155" i="50"/>
  <c r="P155" i="50"/>
  <c r="Q155" i="50"/>
  <c r="S155" i="50"/>
  <c r="U155" i="50"/>
  <c r="W155" i="50"/>
  <c r="X155" i="50"/>
  <c r="Y155" i="50"/>
  <c r="AA155" i="50"/>
  <c r="AC155" i="50"/>
  <c r="AD155" i="50"/>
  <c r="AE155" i="50"/>
  <c r="AG155" i="50"/>
  <c r="AI155" i="50"/>
  <c r="AK155" i="50"/>
  <c r="AM155" i="50"/>
  <c r="AN155" i="50"/>
  <c r="AO155" i="50"/>
  <c r="AQ155" i="50"/>
  <c r="AR155" i="50"/>
  <c r="AS155" i="50"/>
  <c r="AU155" i="50"/>
  <c r="AV155" i="50"/>
  <c r="AW155" i="50"/>
  <c r="AX155" i="50"/>
  <c r="AY155" i="50"/>
  <c r="AZ155" i="50"/>
  <c r="BA155" i="50"/>
  <c r="BC155" i="50"/>
  <c r="BD155" i="50"/>
  <c r="BE155" i="50"/>
  <c r="BF155" i="50"/>
  <c r="BG155" i="50"/>
  <c r="BH155" i="50"/>
  <c r="BI155" i="50"/>
  <c r="BJ155" i="50"/>
  <c r="BK155" i="50"/>
  <c r="BL155" i="50"/>
  <c r="BM155" i="50"/>
  <c r="BN155" i="50"/>
  <c r="BO155" i="50"/>
  <c r="BP155" i="50"/>
  <c r="BQ155" i="50"/>
  <c r="BR155" i="50"/>
  <c r="BS155" i="50"/>
  <c r="BT155" i="50"/>
  <c r="BU155" i="50"/>
  <c r="A156" i="50"/>
  <c r="B156" i="50"/>
  <c r="C156" i="50"/>
  <c r="D156" i="50"/>
  <c r="E156" i="50"/>
  <c r="F156" i="50"/>
  <c r="G156" i="50"/>
  <c r="H156" i="50"/>
  <c r="I156" i="50"/>
  <c r="J156" i="50"/>
  <c r="K156" i="50"/>
  <c r="M156" i="50"/>
  <c r="N156" i="50"/>
  <c r="O156" i="50"/>
  <c r="P156" i="50"/>
  <c r="Q156" i="50"/>
  <c r="S156" i="50"/>
  <c r="U156" i="50"/>
  <c r="W156" i="50"/>
  <c r="X156" i="50"/>
  <c r="Y156" i="50"/>
  <c r="AA156" i="50"/>
  <c r="AC156" i="50"/>
  <c r="AD156" i="50"/>
  <c r="AE156" i="50"/>
  <c r="AG156" i="50"/>
  <c r="AI156" i="50"/>
  <c r="AK156" i="50"/>
  <c r="AM156" i="50"/>
  <c r="AN156" i="50"/>
  <c r="AO156" i="50"/>
  <c r="AQ156" i="50"/>
  <c r="AR156" i="50"/>
  <c r="AS156" i="50"/>
  <c r="AU156" i="50"/>
  <c r="AV156" i="50"/>
  <c r="AW156" i="50"/>
  <c r="AX156" i="50"/>
  <c r="AY156" i="50"/>
  <c r="AZ156" i="50"/>
  <c r="BA156" i="50"/>
  <c r="BC156" i="50"/>
  <c r="BD156" i="50"/>
  <c r="BE156" i="50"/>
  <c r="BF156" i="50"/>
  <c r="BG156" i="50"/>
  <c r="BH156" i="50"/>
  <c r="BI156" i="50"/>
  <c r="BJ156" i="50"/>
  <c r="BK156" i="50"/>
  <c r="BL156" i="50"/>
  <c r="BM156" i="50"/>
  <c r="BN156" i="50"/>
  <c r="BO156" i="50"/>
  <c r="BP156" i="50"/>
  <c r="BQ156" i="50"/>
  <c r="BR156" i="50"/>
  <c r="BS156" i="50"/>
  <c r="BT156" i="50"/>
  <c r="BU156" i="50"/>
  <c r="A157" i="50"/>
  <c r="B157" i="50"/>
  <c r="C157" i="50"/>
  <c r="D157" i="50"/>
  <c r="E157" i="50"/>
  <c r="F157" i="50"/>
  <c r="G157" i="50"/>
  <c r="H157" i="50"/>
  <c r="I157" i="50"/>
  <c r="J157" i="50"/>
  <c r="K157" i="50"/>
  <c r="M157" i="50"/>
  <c r="N157" i="50"/>
  <c r="O157" i="50"/>
  <c r="P157" i="50"/>
  <c r="Q157" i="50"/>
  <c r="S157" i="50"/>
  <c r="U157" i="50"/>
  <c r="W157" i="50"/>
  <c r="X157" i="50"/>
  <c r="Y157" i="50"/>
  <c r="AA157" i="50"/>
  <c r="AC157" i="50"/>
  <c r="AD157" i="50"/>
  <c r="AE157" i="50"/>
  <c r="AG157" i="50"/>
  <c r="AI157" i="50"/>
  <c r="AK157" i="50"/>
  <c r="AM157" i="50"/>
  <c r="AN157" i="50"/>
  <c r="AO157" i="50"/>
  <c r="AQ157" i="50"/>
  <c r="AR157" i="50"/>
  <c r="AS157" i="50"/>
  <c r="AU157" i="50"/>
  <c r="AV157" i="50"/>
  <c r="AW157" i="50"/>
  <c r="AX157" i="50"/>
  <c r="AY157" i="50"/>
  <c r="AZ157" i="50"/>
  <c r="BA157" i="50"/>
  <c r="BC157" i="50"/>
  <c r="BD157" i="50"/>
  <c r="BE157" i="50"/>
  <c r="BF157" i="50"/>
  <c r="BG157" i="50"/>
  <c r="BH157" i="50"/>
  <c r="BI157" i="50"/>
  <c r="BJ157" i="50"/>
  <c r="BK157" i="50"/>
  <c r="BL157" i="50"/>
  <c r="BM157" i="50"/>
  <c r="BN157" i="50"/>
  <c r="BO157" i="50"/>
  <c r="BP157" i="50"/>
  <c r="BQ157" i="50"/>
  <c r="BR157" i="50"/>
  <c r="BS157" i="50"/>
  <c r="BT157" i="50"/>
  <c r="BU157" i="50"/>
  <c r="A158" i="50"/>
  <c r="B158" i="50"/>
  <c r="C158" i="50"/>
  <c r="D158" i="50"/>
  <c r="E158" i="50"/>
  <c r="F158" i="50"/>
  <c r="G158" i="50"/>
  <c r="H158" i="50"/>
  <c r="I158" i="50"/>
  <c r="J158" i="50"/>
  <c r="K158" i="50"/>
  <c r="M158" i="50"/>
  <c r="N158" i="50"/>
  <c r="O158" i="50"/>
  <c r="P158" i="50"/>
  <c r="Q158" i="50"/>
  <c r="S158" i="50"/>
  <c r="U158" i="50"/>
  <c r="W158" i="50"/>
  <c r="X158" i="50"/>
  <c r="Y158" i="50"/>
  <c r="AA158" i="50"/>
  <c r="AC158" i="50"/>
  <c r="AD158" i="50"/>
  <c r="AE158" i="50"/>
  <c r="AG158" i="50"/>
  <c r="AI158" i="50"/>
  <c r="AK158" i="50"/>
  <c r="AM158" i="50"/>
  <c r="AN158" i="50"/>
  <c r="AO158" i="50"/>
  <c r="AQ158" i="50"/>
  <c r="AR158" i="50"/>
  <c r="AS158" i="50"/>
  <c r="AU158" i="50"/>
  <c r="AV158" i="50"/>
  <c r="AW158" i="50"/>
  <c r="AX158" i="50"/>
  <c r="AY158" i="50"/>
  <c r="AZ158" i="50"/>
  <c r="BA158" i="50"/>
  <c r="BC158" i="50"/>
  <c r="BD158" i="50"/>
  <c r="BE158" i="50"/>
  <c r="BF158" i="50"/>
  <c r="BG158" i="50"/>
  <c r="BH158" i="50"/>
  <c r="BI158" i="50"/>
  <c r="BJ158" i="50"/>
  <c r="BK158" i="50"/>
  <c r="BL158" i="50"/>
  <c r="BM158" i="50"/>
  <c r="BN158" i="50"/>
  <c r="BO158" i="50"/>
  <c r="BP158" i="50"/>
  <c r="BQ158" i="50"/>
  <c r="BR158" i="50"/>
  <c r="BS158" i="50"/>
  <c r="BT158" i="50"/>
  <c r="BU158" i="50"/>
  <c r="A159" i="50"/>
  <c r="B159" i="50"/>
  <c r="C159" i="50"/>
  <c r="D159" i="50"/>
  <c r="E159" i="50"/>
  <c r="F159" i="50"/>
  <c r="G159" i="50"/>
  <c r="H159" i="50"/>
  <c r="I159" i="50"/>
  <c r="J159" i="50"/>
  <c r="K159" i="50"/>
  <c r="M159" i="50"/>
  <c r="N159" i="50"/>
  <c r="O159" i="50"/>
  <c r="P159" i="50"/>
  <c r="Q159" i="50"/>
  <c r="S159" i="50"/>
  <c r="U159" i="50"/>
  <c r="W159" i="50"/>
  <c r="X159" i="50"/>
  <c r="Y159" i="50"/>
  <c r="AA159" i="50"/>
  <c r="AC159" i="50"/>
  <c r="AD159" i="50"/>
  <c r="AE159" i="50"/>
  <c r="AG159" i="50"/>
  <c r="AI159" i="50"/>
  <c r="AK159" i="50"/>
  <c r="AM159" i="50"/>
  <c r="AN159" i="50"/>
  <c r="AO159" i="50"/>
  <c r="AQ159" i="50"/>
  <c r="AR159" i="50"/>
  <c r="AS159" i="50"/>
  <c r="AU159" i="50"/>
  <c r="AV159" i="50"/>
  <c r="AW159" i="50"/>
  <c r="AX159" i="50"/>
  <c r="AY159" i="50"/>
  <c r="AZ159" i="50"/>
  <c r="BA159" i="50"/>
  <c r="BC159" i="50"/>
  <c r="BD159" i="50"/>
  <c r="BE159" i="50"/>
  <c r="BF159" i="50"/>
  <c r="BG159" i="50"/>
  <c r="BH159" i="50"/>
  <c r="BI159" i="50"/>
  <c r="BJ159" i="50"/>
  <c r="BK159" i="50"/>
  <c r="BL159" i="50"/>
  <c r="BM159" i="50"/>
  <c r="BN159" i="50"/>
  <c r="BO159" i="50"/>
  <c r="BP159" i="50"/>
  <c r="BQ159" i="50"/>
  <c r="BR159" i="50"/>
  <c r="BS159" i="50"/>
  <c r="BT159" i="50"/>
  <c r="BU159" i="50"/>
  <c r="A160" i="50"/>
  <c r="B160" i="50"/>
  <c r="C160" i="50"/>
  <c r="D160" i="50"/>
  <c r="E160" i="50"/>
  <c r="F160" i="50"/>
  <c r="G160" i="50"/>
  <c r="H160" i="50"/>
  <c r="I160" i="50"/>
  <c r="J160" i="50"/>
  <c r="K160" i="50"/>
  <c r="M160" i="50"/>
  <c r="N160" i="50"/>
  <c r="O160" i="50"/>
  <c r="P160" i="50"/>
  <c r="Q160" i="50"/>
  <c r="S160" i="50"/>
  <c r="U160" i="50"/>
  <c r="W160" i="50"/>
  <c r="X160" i="50"/>
  <c r="Y160" i="50"/>
  <c r="AA160" i="50"/>
  <c r="AC160" i="50"/>
  <c r="AD160" i="50"/>
  <c r="AE160" i="50"/>
  <c r="AG160" i="50"/>
  <c r="AI160" i="50"/>
  <c r="AK160" i="50"/>
  <c r="AM160" i="50"/>
  <c r="AN160" i="50"/>
  <c r="AO160" i="50"/>
  <c r="AQ160" i="50"/>
  <c r="AR160" i="50"/>
  <c r="AS160" i="50"/>
  <c r="AU160" i="50"/>
  <c r="AV160" i="50"/>
  <c r="AW160" i="50"/>
  <c r="AX160" i="50"/>
  <c r="AY160" i="50"/>
  <c r="AZ160" i="50"/>
  <c r="BA160" i="50"/>
  <c r="BC160" i="50"/>
  <c r="BD160" i="50"/>
  <c r="BE160" i="50"/>
  <c r="BF160" i="50"/>
  <c r="BG160" i="50"/>
  <c r="BH160" i="50"/>
  <c r="BI160" i="50"/>
  <c r="BJ160" i="50"/>
  <c r="BK160" i="50"/>
  <c r="BL160" i="50"/>
  <c r="BM160" i="50"/>
  <c r="BN160" i="50"/>
  <c r="BO160" i="50"/>
  <c r="BP160" i="50"/>
  <c r="BQ160" i="50"/>
  <c r="BR160" i="50"/>
  <c r="BS160" i="50"/>
  <c r="BT160" i="50"/>
  <c r="BU160" i="50"/>
  <c r="A161" i="50"/>
  <c r="B161" i="50"/>
  <c r="C161" i="50"/>
  <c r="D161" i="50"/>
  <c r="E161" i="50"/>
  <c r="F161" i="50"/>
  <c r="G161" i="50"/>
  <c r="H161" i="50"/>
  <c r="I161" i="50"/>
  <c r="J161" i="50"/>
  <c r="K161" i="50"/>
  <c r="M161" i="50"/>
  <c r="N161" i="50"/>
  <c r="O161" i="50"/>
  <c r="P161" i="50"/>
  <c r="Q161" i="50"/>
  <c r="S161" i="50"/>
  <c r="U161" i="50"/>
  <c r="W161" i="50"/>
  <c r="X161" i="50"/>
  <c r="Y161" i="50"/>
  <c r="AA161" i="50"/>
  <c r="AC161" i="50"/>
  <c r="AD161" i="50"/>
  <c r="AE161" i="50"/>
  <c r="AG161" i="50"/>
  <c r="AI161" i="50"/>
  <c r="AK161" i="50"/>
  <c r="AM161" i="50"/>
  <c r="AN161" i="50"/>
  <c r="AO161" i="50"/>
  <c r="AQ161" i="50"/>
  <c r="AR161" i="50"/>
  <c r="AS161" i="50"/>
  <c r="AU161" i="50"/>
  <c r="AV161" i="50"/>
  <c r="AW161" i="50"/>
  <c r="AX161" i="50"/>
  <c r="AY161" i="50"/>
  <c r="AZ161" i="50"/>
  <c r="BA161" i="50"/>
  <c r="BC161" i="50"/>
  <c r="BD161" i="50"/>
  <c r="BE161" i="50"/>
  <c r="BF161" i="50"/>
  <c r="BG161" i="50"/>
  <c r="BH161" i="50"/>
  <c r="BI161" i="50"/>
  <c r="BJ161" i="50"/>
  <c r="BK161" i="50"/>
  <c r="BL161" i="50"/>
  <c r="BM161" i="50"/>
  <c r="BN161" i="50"/>
  <c r="BO161" i="50"/>
  <c r="BP161" i="50"/>
  <c r="BQ161" i="50"/>
  <c r="BR161" i="50"/>
  <c r="BS161" i="50"/>
  <c r="BT161" i="50"/>
  <c r="BU161" i="50"/>
  <c r="A162" i="50"/>
  <c r="B162" i="50"/>
  <c r="C162" i="50"/>
  <c r="D162" i="50"/>
  <c r="E162" i="50"/>
  <c r="F162" i="50"/>
  <c r="G162" i="50"/>
  <c r="H162" i="50"/>
  <c r="I162" i="50"/>
  <c r="J162" i="50"/>
  <c r="K162" i="50"/>
  <c r="M162" i="50"/>
  <c r="N162" i="50"/>
  <c r="O162" i="50"/>
  <c r="P162" i="50"/>
  <c r="Q162" i="50"/>
  <c r="S162" i="50"/>
  <c r="U162" i="50"/>
  <c r="W162" i="50"/>
  <c r="X162" i="50"/>
  <c r="Y162" i="50"/>
  <c r="AA162" i="50"/>
  <c r="AC162" i="50"/>
  <c r="AD162" i="50"/>
  <c r="AE162" i="50"/>
  <c r="AG162" i="50"/>
  <c r="AI162" i="50"/>
  <c r="AK162" i="50"/>
  <c r="AM162" i="50"/>
  <c r="AN162" i="50"/>
  <c r="AO162" i="50"/>
  <c r="AQ162" i="50"/>
  <c r="AR162" i="50"/>
  <c r="AS162" i="50"/>
  <c r="AU162" i="50"/>
  <c r="AV162" i="50"/>
  <c r="AW162" i="50"/>
  <c r="AX162" i="50"/>
  <c r="AY162" i="50"/>
  <c r="AZ162" i="50"/>
  <c r="BA162" i="50"/>
  <c r="BC162" i="50"/>
  <c r="BD162" i="50"/>
  <c r="BE162" i="50"/>
  <c r="BF162" i="50"/>
  <c r="BG162" i="50"/>
  <c r="BH162" i="50"/>
  <c r="BI162" i="50"/>
  <c r="BJ162" i="50"/>
  <c r="BK162" i="50"/>
  <c r="BL162" i="50"/>
  <c r="BM162" i="50"/>
  <c r="BN162" i="50"/>
  <c r="BO162" i="50"/>
  <c r="BP162" i="50"/>
  <c r="BQ162" i="50"/>
  <c r="BR162" i="50"/>
  <c r="BS162" i="50"/>
  <c r="BT162" i="50"/>
  <c r="BU162" i="50"/>
  <c r="A163" i="50"/>
  <c r="B163" i="50"/>
  <c r="C163" i="50"/>
  <c r="D163" i="50"/>
  <c r="E163" i="50"/>
  <c r="F163" i="50"/>
  <c r="G163" i="50"/>
  <c r="H163" i="50"/>
  <c r="I163" i="50"/>
  <c r="J163" i="50"/>
  <c r="K163" i="50"/>
  <c r="M163" i="50"/>
  <c r="N163" i="50"/>
  <c r="O163" i="50"/>
  <c r="P163" i="50"/>
  <c r="Q163" i="50"/>
  <c r="S163" i="50"/>
  <c r="U163" i="50"/>
  <c r="W163" i="50"/>
  <c r="X163" i="50"/>
  <c r="Y163" i="50"/>
  <c r="AA163" i="50"/>
  <c r="AC163" i="50"/>
  <c r="AD163" i="50"/>
  <c r="AE163" i="50"/>
  <c r="AG163" i="50"/>
  <c r="AI163" i="50"/>
  <c r="AK163" i="50"/>
  <c r="AM163" i="50"/>
  <c r="AN163" i="50"/>
  <c r="AO163" i="50"/>
  <c r="AQ163" i="50"/>
  <c r="AR163" i="50"/>
  <c r="AS163" i="50"/>
  <c r="AU163" i="50"/>
  <c r="AV163" i="50"/>
  <c r="AW163" i="50"/>
  <c r="AX163" i="50"/>
  <c r="AY163" i="50"/>
  <c r="AZ163" i="50"/>
  <c r="BA163" i="50"/>
  <c r="BC163" i="50"/>
  <c r="BD163" i="50"/>
  <c r="BE163" i="50"/>
  <c r="BF163" i="50"/>
  <c r="BG163" i="50"/>
  <c r="BH163" i="50"/>
  <c r="BI163" i="50"/>
  <c r="BJ163" i="50"/>
  <c r="BK163" i="50"/>
  <c r="BL163" i="50"/>
  <c r="BM163" i="50"/>
  <c r="BN163" i="50"/>
  <c r="BO163" i="50"/>
  <c r="BP163" i="50"/>
  <c r="BQ163" i="50"/>
  <c r="BR163" i="50"/>
  <c r="BS163" i="50"/>
  <c r="BT163" i="50"/>
  <c r="BU163" i="50"/>
  <c r="A164" i="50"/>
  <c r="B164" i="50"/>
  <c r="C164" i="50"/>
  <c r="D164" i="50"/>
  <c r="E164" i="50"/>
  <c r="F164" i="50"/>
  <c r="G164" i="50"/>
  <c r="H164" i="50"/>
  <c r="I164" i="50"/>
  <c r="J164" i="50"/>
  <c r="K164" i="50"/>
  <c r="M164" i="50"/>
  <c r="N164" i="50"/>
  <c r="O164" i="50"/>
  <c r="P164" i="50"/>
  <c r="Q164" i="50"/>
  <c r="S164" i="50"/>
  <c r="U164" i="50"/>
  <c r="W164" i="50"/>
  <c r="X164" i="50"/>
  <c r="Y164" i="50"/>
  <c r="AA164" i="50"/>
  <c r="AC164" i="50"/>
  <c r="AD164" i="50"/>
  <c r="AE164" i="50"/>
  <c r="AG164" i="50"/>
  <c r="AI164" i="50"/>
  <c r="AK164" i="50"/>
  <c r="AM164" i="50"/>
  <c r="AN164" i="50"/>
  <c r="AO164" i="50"/>
  <c r="AQ164" i="50"/>
  <c r="AR164" i="50"/>
  <c r="AS164" i="50"/>
  <c r="AU164" i="50"/>
  <c r="AV164" i="50"/>
  <c r="AW164" i="50"/>
  <c r="AX164" i="50"/>
  <c r="AY164" i="50"/>
  <c r="AZ164" i="50"/>
  <c r="BA164" i="50"/>
  <c r="BC164" i="50"/>
  <c r="BD164" i="50"/>
  <c r="BE164" i="50"/>
  <c r="BF164" i="50"/>
  <c r="BG164" i="50"/>
  <c r="BH164" i="50"/>
  <c r="BI164" i="50"/>
  <c r="BJ164" i="50"/>
  <c r="BK164" i="50"/>
  <c r="BL164" i="50"/>
  <c r="BM164" i="50"/>
  <c r="BN164" i="50"/>
  <c r="BO164" i="50"/>
  <c r="BP164" i="50"/>
  <c r="BQ164" i="50"/>
  <c r="BR164" i="50"/>
  <c r="BS164" i="50"/>
  <c r="BT164" i="50"/>
  <c r="BU164" i="50"/>
  <c r="A165" i="50"/>
  <c r="B165" i="50"/>
  <c r="C165" i="50"/>
  <c r="D165" i="50"/>
  <c r="E165" i="50"/>
  <c r="F165" i="50"/>
  <c r="G165" i="50"/>
  <c r="H165" i="50"/>
  <c r="I165" i="50"/>
  <c r="J165" i="50"/>
  <c r="K165" i="50"/>
  <c r="M165" i="50"/>
  <c r="N165" i="50"/>
  <c r="O165" i="50"/>
  <c r="P165" i="50"/>
  <c r="Q165" i="50"/>
  <c r="S165" i="50"/>
  <c r="U165" i="50"/>
  <c r="W165" i="50"/>
  <c r="X165" i="50"/>
  <c r="Y165" i="50"/>
  <c r="AA165" i="50"/>
  <c r="AC165" i="50"/>
  <c r="AD165" i="50"/>
  <c r="AE165" i="50"/>
  <c r="AG165" i="50"/>
  <c r="AI165" i="50"/>
  <c r="AK165" i="50"/>
  <c r="AM165" i="50"/>
  <c r="AN165" i="50"/>
  <c r="AO165" i="50"/>
  <c r="AQ165" i="50"/>
  <c r="AR165" i="50"/>
  <c r="AS165" i="50"/>
  <c r="AU165" i="50"/>
  <c r="AV165" i="50"/>
  <c r="AW165" i="50"/>
  <c r="AX165" i="50"/>
  <c r="AY165" i="50"/>
  <c r="AZ165" i="50"/>
  <c r="BA165" i="50"/>
  <c r="BC165" i="50"/>
  <c r="BD165" i="50"/>
  <c r="BE165" i="50"/>
  <c r="BF165" i="50"/>
  <c r="BG165" i="50"/>
  <c r="BH165" i="50"/>
  <c r="BI165" i="50"/>
  <c r="BJ165" i="50"/>
  <c r="BK165" i="50"/>
  <c r="BL165" i="50"/>
  <c r="BM165" i="50"/>
  <c r="BN165" i="50"/>
  <c r="BO165" i="50"/>
  <c r="BP165" i="50"/>
  <c r="BQ165" i="50"/>
  <c r="BR165" i="50"/>
  <c r="BS165" i="50"/>
  <c r="BT165" i="50"/>
  <c r="BU165" i="50"/>
  <c r="A166" i="50"/>
  <c r="B166" i="50"/>
  <c r="C166" i="50"/>
  <c r="D166" i="50"/>
  <c r="E166" i="50"/>
  <c r="F166" i="50"/>
  <c r="G166" i="50"/>
  <c r="H166" i="50"/>
  <c r="I166" i="50"/>
  <c r="J166" i="50"/>
  <c r="K166" i="50"/>
  <c r="M166" i="50"/>
  <c r="N166" i="50"/>
  <c r="O166" i="50"/>
  <c r="P166" i="50"/>
  <c r="Q166" i="50"/>
  <c r="S166" i="50"/>
  <c r="U166" i="50"/>
  <c r="W166" i="50"/>
  <c r="X166" i="50"/>
  <c r="Y166" i="50"/>
  <c r="AA166" i="50"/>
  <c r="AC166" i="50"/>
  <c r="AD166" i="50"/>
  <c r="AE166" i="50"/>
  <c r="AG166" i="50"/>
  <c r="AI166" i="50"/>
  <c r="AK166" i="50"/>
  <c r="AM166" i="50"/>
  <c r="AN166" i="50"/>
  <c r="AO166" i="50"/>
  <c r="AQ166" i="50"/>
  <c r="AR166" i="50"/>
  <c r="AS166" i="50"/>
  <c r="AU166" i="50"/>
  <c r="AV166" i="50"/>
  <c r="AW166" i="50"/>
  <c r="AX166" i="50"/>
  <c r="AY166" i="50"/>
  <c r="AZ166" i="50"/>
  <c r="BA166" i="50"/>
  <c r="BC166" i="50"/>
  <c r="BD166" i="50"/>
  <c r="BE166" i="50"/>
  <c r="BF166" i="50"/>
  <c r="BG166" i="50"/>
  <c r="BH166" i="50"/>
  <c r="BI166" i="50"/>
  <c r="BJ166" i="50"/>
  <c r="BK166" i="50"/>
  <c r="BL166" i="50"/>
  <c r="BM166" i="50"/>
  <c r="BN166" i="50"/>
  <c r="BO166" i="50"/>
  <c r="BP166" i="50"/>
  <c r="BQ166" i="50"/>
  <c r="BR166" i="50"/>
  <c r="BS166" i="50"/>
  <c r="BT166" i="50"/>
  <c r="BU166" i="50"/>
  <c r="A167" i="50"/>
  <c r="B167" i="50"/>
  <c r="C167" i="50"/>
  <c r="D167" i="50"/>
  <c r="E167" i="50"/>
  <c r="F167" i="50"/>
  <c r="G167" i="50"/>
  <c r="H167" i="50"/>
  <c r="I167" i="50"/>
  <c r="J167" i="50"/>
  <c r="K167" i="50"/>
  <c r="M167" i="50"/>
  <c r="N167" i="50"/>
  <c r="O167" i="50"/>
  <c r="P167" i="50"/>
  <c r="Q167" i="50"/>
  <c r="S167" i="50"/>
  <c r="U167" i="50"/>
  <c r="W167" i="50"/>
  <c r="X167" i="50"/>
  <c r="Y167" i="50"/>
  <c r="AA167" i="50"/>
  <c r="AC167" i="50"/>
  <c r="AD167" i="50"/>
  <c r="AE167" i="50"/>
  <c r="AG167" i="50"/>
  <c r="AI167" i="50"/>
  <c r="AK167" i="50"/>
  <c r="AM167" i="50"/>
  <c r="AN167" i="50"/>
  <c r="AO167" i="50"/>
  <c r="AQ167" i="50"/>
  <c r="AR167" i="50"/>
  <c r="AS167" i="50"/>
  <c r="AU167" i="50"/>
  <c r="AV167" i="50"/>
  <c r="AW167" i="50"/>
  <c r="AX167" i="50"/>
  <c r="AY167" i="50"/>
  <c r="AZ167" i="50"/>
  <c r="BA167" i="50"/>
  <c r="BC167" i="50"/>
  <c r="BD167" i="50"/>
  <c r="BE167" i="50"/>
  <c r="BF167" i="50"/>
  <c r="BG167" i="50"/>
  <c r="BH167" i="50"/>
  <c r="BI167" i="50"/>
  <c r="BJ167" i="50"/>
  <c r="BK167" i="50"/>
  <c r="BL167" i="50"/>
  <c r="BM167" i="50"/>
  <c r="BN167" i="50"/>
  <c r="BO167" i="50"/>
  <c r="BP167" i="50"/>
  <c r="BQ167" i="50"/>
  <c r="BR167" i="50"/>
  <c r="BS167" i="50"/>
  <c r="BT167" i="50"/>
  <c r="BU167" i="50"/>
  <c r="A168" i="50"/>
  <c r="B168" i="50"/>
  <c r="C168" i="50"/>
  <c r="D168" i="50"/>
  <c r="E168" i="50"/>
  <c r="F168" i="50"/>
  <c r="G168" i="50"/>
  <c r="H168" i="50"/>
  <c r="I168" i="50"/>
  <c r="J168" i="50"/>
  <c r="K168" i="50"/>
  <c r="M168" i="50"/>
  <c r="N168" i="50"/>
  <c r="O168" i="50"/>
  <c r="P168" i="50"/>
  <c r="Q168" i="50"/>
  <c r="S168" i="50"/>
  <c r="U168" i="50"/>
  <c r="W168" i="50"/>
  <c r="X168" i="50"/>
  <c r="Y168" i="50"/>
  <c r="AA168" i="50"/>
  <c r="AC168" i="50"/>
  <c r="AD168" i="50"/>
  <c r="AE168" i="50"/>
  <c r="AG168" i="50"/>
  <c r="AI168" i="50"/>
  <c r="AK168" i="50"/>
  <c r="AM168" i="50"/>
  <c r="AN168" i="50"/>
  <c r="AO168" i="50"/>
  <c r="AQ168" i="50"/>
  <c r="AR168" i="50"/>
  <c r="AS168" i="50"/>
  <c r="AU168" i="50"/>
  <c r="AV168" i="50"/>
  <c r="AW168" i="50"/>
  <c r="AX168" i="50"/>
  <c r="AY168" i="50"/>
  <c r="AZ168" i="50"/>
  <c r="BA168" i="50"/>
  <c r="BC168" i="50"/>
  <c r="BD168" i="50"/>
  <c r="BE168" i="50"/>
  <c r="BF168" i="50"/>
  <c r="BG168" i="50"/>
  <c r="BH168" i="50"/>
  <c r="BI168" i="50"/>
  <c r="BJ168" i="50"/>
  <c r="BK168" i="50"/>
  <c r="BL168" i="50"/>
  <c r="BM168" i="50"/>
  <c r="BN168" i="50"/>
  <c r="BO168" i="50"/>
  <c r="BP168" i="50"/>
  <c r="BQ168" i="50"/>
  <c r="BR168" i="50"/>
  <c r="BS168" i="50"/>
  <c r="BT168" i="50"/>
  <c r="BU168" i="50"/>
  <c r="A169" i="50"/>
  <c r="B169" i="50"/>
  <c r="C169" i="50"/>
  <c r="D169" i="50"/>
  <c r="E169" i="50"/>
  <c r="F169" i="50"/>
  <c r="G169" i="50"/>
  <c r="H169" i="50"/>
  <c r="I169" i="50"/>
  <c r="J169" i="50"/>
  <c r="K169" i="50"/>
  <c r="M169" i="50"/>
  <c r="N169" i="50"/>
  <c r="O169" i="50"/>
  <c r="P169" i="50"/>
  <c r="Q169" i="50"/>
  <c r="S169" i="50"/>
  <c r="U169" i="50"/>
  <c r="W169" i="50"/>
  <c r="X169" i="50"/>
  <c r="Y169" i="50"/>
  <c r="AA169" i="50"/>
  <c r="AC169" i="50"/>
  <c r="AD169" i="50"/>
  <c r="AE169" i="50"/>
  <c r="AG169" i="50"/>
  <c r="AI169" i="50"/>
  <c r="AK169" i="50"/>
  <c r="AM169" i="50"/>
  <c r="AN169" i="50"/>
  <c r="AO169" i="50"/>
  <c r="AQ169" i="50"/>
  <c r="AR169" i="50"/>
  <c r="AS169" i="50"/>
  <c r="AU169" i="50"/>
  <c r="AV169" i="50"/>
  <c r="AW169" i="50"/>
  <c r="AX169" i="50"/>
  <c r="AY169" i="50"/>
  <c r="AZ169" i="50"/>
  <c r="BA169" i="50"/>
  <c r="BC169" i="50"/>
  <c r="BD169" i="50"/>
  <c r="BE169" i="50"/>
  <c r="BF169" i="50"/>
  <c r="BG169" i="50"/>
  <c r="BH169" i="50"/>
  <c r="BI169" i="50"/>
  <c r="BJ169" i="50"/>
  <c r="BK169" i="50"/>
  <c r="BL169" i="50"/>
  <c r="BM169" i="50"/>
  <c r="BN169" i="50"/>
  <c r="BO169" i="50"/>
  <c r="BP169" i="50"/>
  <c r="BQ169" i="50"/>
  <c r="BR169" i="50"/>
  <c r="BS169" i="50"/>
  <c r="BT169" i="50"/>
  <c r="BU169" i="50"/>
  <c r="A170" i="50"/>
  <c r="B170" i="50"/>
  <c r="C170" i="50"/>
  <c r="D170" i="50"/>
  <c r="E170" i="50"/>
  <c r="F170" i="50"/>
  <c r="G170" i="50"/>
  <c r="H170" i="50"/>
  <c r="I170" i="50"/>
  <c r="J170" i="50"/>
  <c r="K170" i="50"/>
  <c r="M170" i="50"/>
  <c r="N170" i="50"/>
  <c r="O170" i="50"/>
  <c r="P170" i="50"/>
  <c r="Q170" i="50"/>
  <c r="S170" i="50"/>
  <c r="U170" i="50"/>
  <c r="W170" i="50"/>
  <c r="X170" i="50"/>
  <c r="Y170" i="50"/>
  <c r="AA170" i="50"/>
  <c r="AC170" i="50"/>
  <c r="AD170" i="50"/>
  <c r="AE170" i="50"/>
  <c r="AG170" i="50"/>
  <c r="AI170" i="50"/>
  <c r="AK170" i="50"/>
  <c r="AM170" i="50"/>
  <c r="AN170" i="50"/>
  <c r="AO170" i="50"/>
  <c r="AQ170" i="50"/>
  <c r="AR170" i="50"/>
  <c r="AS170" i="50"/>
  <c r="AU170" i="50"/>
  <c r="AV170" i="50"/>
  <c r="AW170" i="50"/>
  <c r="AX170" i="50"/>
  <c r="AY170" i="50"/>
  <c r="AZ170" i="50"/>
  <c r="BA170" i="50"/>
  <c r="BC170" i="50"/>
  <c r="BD170" i="50"/>
  <c r="BE170" i="50"/>
  <c r="BF170" i="50"/>
  <c r="BG170" i="50"/>
  <c r="BH170" i="50"/>
  <c r="BI170" i="50"/>
  <c r="BJ170" i="50"/>
  <c r="BK170" i="50"/>
  <c r="BL170" i="50"/>
  <c r="BM170" i="50"/>
  <c r="BN170" i="50"/>
  <c r="BO170" i="50"/>
  <c r="BP170" i="50"/>
  <c r="BQ170" i="50"/>
  <c r="BR170" i="50"/>
  <c r="BS170" i="50"/>
  <c r="BT170" i="50"/>
  <c r="BU170" i="50"/>
  <c r="A171" i="50"/>
  <c r="B171" i="50"/>
  <c r="C171" i="50"/>
  <c r="D171" i="50"/>
  <c r="E171" i="50"/>
  <c r="F171" i="50"/>
  <c r="G171" i="50"/>
  <c r="H171" i="50"/>
  <c r="I171" i="50"/>
  <c r="J171" i="50"/>
  <c r="K171" i="50"/>
  <c r="M171" i="50"/>
  <c r="N171" i="50"/>
  <c r="O171" i="50"/>
  <c r="P171" i="50"/>
  <c r="Q171" i="50"/>
  <c r="S171" i="50"/>
  <c r="U171" i="50"/>
  <c r="W171" i="50"/>
  <c r="X171" i="50"/>
  <c r="Y171" i="50"/>
  <c r="AA171" i="50"/>
  <c r="AC171" i="50"/>
  <c r="AD171" i="50"/>
  <c r="AE171" i="50"/>
  <c r="AG171" i="50"/>
  <c r="AI171" i="50"/>
  <c r="AK171" i="50"/>
  <c r="AM171" i="50"/>
  <c r="AN171" i="50"/>
  <c r="AO171" i="50"/>
  <c r="AQ171" i="50"/>
  <c r="AR171" i="50"/>
  <c r="AS171" i="50"/>
  <c r="AU171" i="50"/>
  <c r="AV171" i="50"/>
  <c r="AW171" i="50"/>
  <c r="AX171" i="50"/>
  <c r="AY171" i="50"/>
  <c r="AZ171" i="50"/>
  <c r="BA171" i="50"/>
  <c r="BC171" i="50"/>
  <c r="BD171" i="50"/>
  <c r="BE171" i="50"/>
  <c r="BF171" i="50"/>
  <c r="BG171" i="50"/>
  <c r="BH171" i="50"/>
  <c r="BI171" i="50"/>
  <c r="BJ171" i="50"/>
  <c r="BK171" i="50"/>
  <c r="BL171" i="50"/>
  <c r="BM171" i="50"/>
  <c r="BN171" i="50"/>
  <c r="BO171" i="50"/>
  <c r="BP171" i="50"/>
  <c r="BQ171" i="50"/>
  <c r="BR171" i="50"/>
  <c r="BS171" i="50"/>
  <c r="BT171" i="50"/>
  <c r="BU171" i="50"/>
  <c r="A172" i="50"/>
  <c r="B172" i="50"/>
  <c r="C172" i="50"/>
  <c r="D172" i="50"/>
  <c r="E172" i="50"/>
  <c r="F172" i="50"/>
  <c r="G172" i="50"/>
  <c r="H172" i="50"/>
  <c r="I172" i="50"/>
  <c r="J172" i="50"/>
  <c r="K172" i="50"/>
  <c r="M172" i="50"/>
  <c r="N172" i="50"/>
  <c r="O172" i="50"/>
  <c r="P172" i="50"/>
  <c r="Q172" i="50"/>
  <c r="S172" i="50"/>
  <c r="U172" i="50"/>
  <c r="W172" i="50"/>
  <c r="X172" i="50"/>
  <c r="Y172" i="50"/>
  <c r="AA172" i="50"/>
  <c r="AC172" i="50"/>
  <c r="AD172" i="50"/>
  <c r="AE172" i="50"/>
  <c r="AG172" i="50"/>
  <c r="AI172" i="50"/>
  <c r="AK172" i="50"/>
  <c r="AM172" i="50"/>
  <c r="AN172" i="50"/>
  <c r="AO172" i="50"/>
  <c r="AQ172" i="50"/>
  <c r="AR172" i="50"/>
  <c r="AS172" i="50"/>
  <c r="AU172" i="50"/>
  <c r="AV172" i="50"/>
  <c r="AW172" i="50"/>
  <c r="AX172" i="50"/>
  <c r="AY172" i="50"/>
  <c r="AZ172" i="50"/>
  <c r="BA172" i="50"/>
  <c r="BC172" i="50"/>
  <c r="BD172" i="50"/>
  <c r="BE172" i="50"/>
  <c r="BF172" i="50"/>
  <c r="BG172" i="50"/>
  <c r="BH172" i="50"/>
  <c r="BI172" i="50"/>
  <c r="BJ172" i="50"/>
  <c r="BK172" i="50"/>
  <c r="BL172" i="50"/>
  <c r="BM172" i="50"/>
  <c r="BN172" i="50"/>
  <c r="BO172" i="50"/>
  <c r="BP172" i="50"/>
  <c r="BQ172" i="50"/>
  <c r="BR172" i="50"/>
  <c r="BS172" i="50"/>
  <c r="BT172" i="50"/>
  <c r="BU172" i="50"/>
  <c r="A173" i="50"/>
  <c r="B173" i="50"/>
  <c r="C173" i="50"/>
  <c r="D173" i="50"/>
  <c r="E173" i="50"/>
  <c r="F173" i="50"/>
  <c r="G173" i="50"/>
  <c r="H173" i="50"/>
  <c r="I173" i="50"/>
  <c r="J173" i="50"/>
  <c r="K173" i="50"/>
  <c r="M173" i="50"/>
  <c r="N173" i="50"/>
  <c r="O173" i="50"/>
  <c r="P173" i="50"/>
  <c r="Q173" i="50"/>
  <c r="S173" i="50"/>
  <c r="U173" i="50"/>
  <c r="W173" i="50"/>
  <c r="X173" i="50"/>
  <c r="Y173" i="50"/>
  <c r="AA173" i="50"/>
  <c r="AC173" i="50"/>
  <c r="AD173" i="50"/>
  <c r="AE173" i="50"/>
  <c r="AG173" i="50"/>
  <c r="AI173" i="50"/>
  <c r="AK173" i="50"/>
  <c r="AM173" i="50"/>
  <c r="AN173" i="50"/>
  <c r="AO173" i="50"/>
  <c r="AQ173" i="50"/>
  <c r="AR173" i="50"/>
  <c r="AS173" i="50"/>
  <c r="AU173" i="50"/>
  <c r="AV173" i="50"/>
  <c r="AW173" i="50"/>
  <c r="AX173" i="50"/>
  <c r="AY173" i="50"/>
  <c r="AZ173" i="50"/>
  <c r="BA173" i="50"/>
  <c r="BC173" i="50"/>
  <c r="BD173" i="50"/>
  <c r="BE173" i="50"/>
  <c r="BF173" i="50"/>
  <c r="BG173" i="50"/>
  <c r="BH173" i="50"/>
  <c r="BI173" i="50"/>
  <c r="BJ173" i="50"/>
  <c r="BK173" i="50"/>
  <c r="BL173" i="50"/>
  <c r="BM173" i="50"/>
  <c r="BN173" i="50"/>
  <c r="BO173" i="50"/>
  <c r="BP173" i="50"/>
  <c r="BQ173" i="50"/>
  <c r="BR173" i="50"/>
  <c r="BS173" i="50"/>
  <c r="BT173" i="50"/>
  <c r="BU173" i="50"/>
  <c r="A174" i="50"/>
  <c r="B174" i="50"/>
  <c r="C174" i="50"/>
  <c r="D174" i="50"/>
  <c r="E174" i="50"/>
  <c r="F174" i="50"/>
  <c r="G174" i="50"/>
  <c r="H174" i="50"/>
  <c r="I174" i="50"/>
  <c r="J174" i="50"/>
  <c r="K174" i="50"/>
  <c r="M174" i="50"/>
  <c r="N174" i="50"/>
  <c r="O174" i="50"/>
  <c r="P174" i="50"/>
  <c r="Q174" i="50"/>
  <c r="S174" i="50"/>
  <c r="U174" i="50"/>
  <c r="W174" i="50"/>
  <c r="X174" i="50"/>
  <c r="Y174" i="50"/>
  <c r="AA174" i="50"/>
  <c r="AC174" i="50"/>
  <c r="AD174" i="50"/>
  <c r="AE174" i="50"/>
  <c r="AG174" i="50"/>
  <c r="AI174" i="50"/>
  <c r="AK174" i="50"/>
  <c r="AM174" i="50"/>
  <c r="AN174" i="50"/>
  <c r="AO174" i="50"/>
  <c r="AQ174" i="50"/>
  <c r="AR174" i="50"/>
  <c r="AS174" i="50"/>
  <c r="AU174" i="50"/>
  <c r="AV174" i="50"/>
  <c r="AW174" i="50"/>
  <c r="AX174" i="50"/>
  <c r="AY174" i="50"/>
  <c r="AZ174" i="50"/>
  <c r="BA174" i="50"/>
  <c r="BC174" i="50"/>
  <c r="BD174" i="50"/>
  <c r="BE174" i="50"/>
  <c r="BF174" i="50"/>
  <c r="BG174" i="50"/>
  <c r="BH174" i="50"/>
  <c r="BI174" i="50"/>
  <c r="BJ174" i="50"/>
  <c r="BK174" i="50"/>
  <c r="BL174" i="50"/>
  <c r="BM174" i="50"/>
  <c r="BN174" i="50"/>
  <c r="BO174" i="50"/>
  <c r="BP174" i="50"/>
  <c r="BQ174" i="50"/>
  <c r="BR174" i="50"/>
  <c r="BS174" i="50"/>
  <c r="BT174" i="50"/>
  <c r="BU174" i="50"/>
  <c r="A175" i="50"/>
  <c r="B175" i="50"/>
  <c r="C175" i="50"/>
  <c r="D175" i="50"/>
  <c r="E175" i="50"/>
  <c r="F175" i="50"/>
  <c r="G175" i="50"/>
  <c r="H175" i="50"/>
  <c r="I175" i="50"/>
  <c r="J175" i="50"/>
  <c r="K175" i="50"/>
  <c r="M175" i="50"/>
  <c r="N175" i="50"/>
  <c r="O175" i="50"/>
  <c r="P175" i="50"/>
  <c r="Q175" i="50"/>
  <c r="S175" i="50"/>
  <c r="U175" i="50"/>
  <c r="W175" i="50"/>
  <c r="X175" i="50"/>
  <c r="Y175" i="50"/>
  <c r="AA175" i="50"/>
  <c r="AC175" i="50"/>
  <c r="AD175" i="50"/>
  <c r="AE175" i="50"/>
  <c r="AG175" i="50"/>
  <c r="AI175" i="50"/>
  <c r="AK175" i="50"/>
  <c r="AM175" i="50"/>
  <c r="AN175" i="50"/>
  <c r="AO175" i="50"/>
  <c r="AQ175" i="50"/>
  <c r="AR175" i="50"/>
  <c r="AS175" i="50"/>
  <c r="AU175" i="50"/>
  <c r="AV175" i="50"/>
  <c r="AW175" i="50"/>
  <c r="AX175" i="50"/>
  <c r="AY175" i="50"/>
  <c r="AZ175" i="50"/>
  <c r="BA175" i="50"/>
  <c r="BC175" i="50"/>
  <c r="BD175" i="50"/>
  <c r="BE175" i="50"/>
  <c r="BF175" i="50"/>
  <c r="BG175" i="50"/>
  <c r="BH175" i="50"/>
  <c r="BI175" i="50"/>
  <c r="BJ175" i="50"/>
  <c r="BK175" i="50"/>
  <c r="BL175" i="50"/>
  <c r="BM175" i="50"/>
  <c r="BN175" i="50"/>
  <c r="BO175" i="50"/>
  <c r="BP175" i="50"/>
  <c r="BQ175" i="50"/>
  <c r="BR175" i="50"/>
  <c r="BS175" i="50"/>
  <c r="BT175" i="50"/>
  <c r="BU175" i="50"/>
  <c r="A176" i="50"/>
  <c r="B176" i="50"/>
  <c r="C176" i="50"/>
  <c r="D176" i="50"/>
  <c r="E176" i="50"/>
  <c r="F176" i="50"/>
  <c r="G176" i="50"/>
  <c r="H176" i="50"/>
  <c r="I176" i="50"/>
  <c r="J176" i="50"/>
  <c r="K176" i="50"/>
  <c r="M176" i="50"/>
  <c r="N176" i="50"/>
  <c r="O176" i="50"/>
  <c r="P176" i="50"/>
  <c r="Q176" i="50"/>
  <c r="S176" i="50"/>
  <c r="U176" i="50"/>
  <c r="W176" i="50"/>
  <c r="X176" i="50"/>
  <c r="Y176" i="50"/>
  <c r="AA176" i="50"/>
  <c r="AC176" i="50"/>
  <c r="AD176" i="50"/>
  <c r="AE176" i="50"/>
  <c r="AG176" i="50"/>
  <c r="AI176" i="50"/>
  <c r="AK176" i="50"/>
  <c r="AM176" i="50"/>
  <c r="AN176" i="50"/>
  <c r="AO176" i="50"/>
  <c r="AQ176" i="50"/>
  <c r="AR176" i="50"/>
  <c r="AS176" i="50"/>
  <c r="AU176" i="50"/>
  <c r="AV176" i="50"/>
  <c r="AW176" i="50"/>
  <c r="AX176" i="50"/>
  <c r="AY176" i="50"/>
  <c r="AZ176" i="50"/>
  <c r="BA176" i="50"/>
  <c r="BC176" i="50"/>
  <c r="BD176" i="50"/>
  <c r="BE176" i="50"/>
  <c r="BF176" i="50"/>
  <c r="BG176" i="50"/>
  <c r="BH176" i="50"/>
  <c r="BI176" i="50"/>
  <c r="BJ176" i="50"/>
  <c r="BK176" i="50"/>
  <c r="BL176" i="50"/>
  <c r="BM176" i="50"/>
  <c r="BN176" i="50"/>
  <c r="BO176" i="50"/>
  <c r="BP176" i="50"/>
  <c r="BQ176" i="50"/>
  <c r="BR176" i="50"/>
  <c r="BS176" i="50"/>
  <c r="BT176" i="50"/>
  <c r="BU176" i="50"/>
  <c r="A177" i="50"/>
  <c r="B177" i="50"/>
  <c r="C177" i="50"/>
  <c r="D177" i="50"/>
  <c r="E177" i="50"/>
  <c r="F177" i="50"/>
  <c r="G177" i="50"/>
  <c r="H177" i="50"/>
  <c r="I177" i="50"/>
  <c r="J177" i="50"/>
  <c r="K177" i="50"/>
  <c r="M177" i="50"/>
  <c r="N177" i="50"/>
  <c r="O177" i="50"/>
  <c r="P177" i="50"/>
  <c r="Q177" i="50"/>
  <c r="S177" i="50"/>
  <c r="U177" i="50"/>
  <c r="W177" i="50"/>
  <c r="X177" i="50"/>
  <c r="Y177" i="50"/>
  <c r="AA177" i="50"/>
  <c r="AC177" i="50"/>
  <c r="AD177" i="50"/>
  <c r="AE177" i="50"/>
  <c r="AG177" i="50"/>
  <c r="AI177" i="50"/>
  <c r="AK177" i="50"/>
  <c r="AM177" i="50"/>
  <c r="AN177" i="50"/>
  <c r="AO177" i="50"/>
  <c r="AQ177" i="50"/>
  <c r="AR177" i="50"/>
  <c r="AS177" i="50"/>
  <c r="AU177" i="50"/>
  <c r="AV177" i="50"/>
  <c r="AW177" i="50"/>
  <c r="AX177" i="50"/>
  <c r="AY177" i="50"/>
  <c r="AZ177" i="50"/>
  <c r="BA177" i="50"/>
  <c r="BC177" i="50"/>
  <c r="BD177" i="50"/>
  <c r="BE177" i="50"/>
  <c r="BF177" i="50"/>
  <c r="BG177" i="50"/>
  <c r="BH177" i="50"/>
  <c r="BI177" i="50"/>
  <c r="BJ177" i="50"/>
  <c r="BK177" i="50"/>
  <c r="BL177" i="50"/>
  <c r="BM177" i="50"/>
  <c r="BN177" i="50"/>
  <c r="BO177" i="50"/>
  <c r="BP177" i="50"/>
  <c r="BQ177" i="50"/>
  <c r="BR177" i="50"/>
  <c r="BS177" i="50"/>
  <c r="BT177" i="50"/>
  <c r="BU177" i="50"/>
  <c r="A178" i="50"/>
  <c r="B178" i="50"/>
  <c r="C178" i="50"/>
  <c r="D178" i="50"/>
  <c r="E178" i="50"/>
  <c r="F178" i="50"/>
  <c r="G178" i="50"/>
  <c r="H178" i="50"/>
  <c r="I178" i="50"/>
  <c r="J178" i="50"/>
  <c r="K178" i="50"/>
  <c r="M178" i="50"/>
  <c r="N178" i="50"/>
  <c r="O178" i="50"/>
  <c r="P178" i="50"/>
  <c r="Q178" i="50"/>
  <c r="S178" i="50"/>
  <c r="U178" i="50"/>
  <c r="W178" i="50"/>
  <c r="X178" i="50"/>
  <c r="Y178" i="50"/>
  <c r="AA178" i="50"/>
  <c r="AC178" i="50"/>
  <c r="AD178" i="50"/>
  <c r="AE178" i="50"/>
  <c r="AG178" i="50"/>
  <c r="AI178" i="50"/>
  <c r="AK178" i="50"/>
  <c r="AM178" i="50"/>
  <c r="AN178" i="50"/>
  <c r="AO178" i="50"/>
  <c r="AQ178" i="50"/>
  <c r="AR178" i="50"/>
  <c r="AS178" i="50"/>
  <c r="AU178" i="50"/>
  <c r="AV178" i="50"/>
  <c r="AW178" i="50"/>
  <c r="AX178" i="50"/>
  <c r="AY178" i="50"/>
  <c r="AZ178" i="50"/>
  <c r="BA178" i="50"/>
  <c r="BC178" i="50"/>
  <c r="BD178" i="50"/>
  <c r="BE178" i="50"/>
  <c r="BF178" i="50"/>
  <c r="BG178" i="50"/>
  <c r="BH178" i="50"/>
  <c r="BI178" i="50"/>
  <c r="BJ178" i="50"/>
  <c r="BK178" i="50"/>
  <c r="BL178" i="50"/>
  <c r="BM178" i="50"/>
  <c r="BN178" i="50"/>
  <c r="BO178" i="50"/>
  <c r="BP178" i="50"/>
  <c r="BQ178" i="50"/>
  <c r="BR178" i="50"/>
  <c r="BS178" i="50"/>
  <c r="BT178" i="50"/>
  <c r="BU178" i="50"/>
  <c r="A179" i="50"/>
  <c r="B179" i="50"/>
  <c r="C179" i="50"/>
  <c r="D179" i="50"/>
  <c r="E179" i="50"/>
  <c r="F179" i="50"/>
  <c r="G179" i="50"/>
  <c r="H179" i="50"/>
  <c r="I179" i="50"/>
  <c r="J179" i="50"/>
  <c r="K179" i="50"/>
  <c r="M179" i="50"/>
  <c r="N179" i="50"/>
  <c r="O179" i="50"/>
  <c r="P179" i="50"/>
  <c r="Q179" i="50"/>
  <c r="S179" i="50"/>
  <c r="U179" i="50"/>
  <c r="W179" i="50"/>
  <c r="X179" i="50"/>
  <c r="Y179" i="50"/>
  <c r="AA179" i="50"/>
  <c r="AC179" i="50"/>
  <c r="AD179" i="50"/>
  <c r="AE179" i="50"/>
  <c r="AG179" i="50"/>
  <c r="AI179" i="50"/>
  <c r="AK179" i="50"/>
  <c r="AM179" i="50"/>
  <c r="AN179" i="50"/>
  <c r="AO179" i="50"/>
  <c r="AQ179" i="50"/>
  <c r="AR179" i="50"/>
  <c r="AS179" i="50"/>
  <c r="AU179" i="50"/>
  <c r="AV179" i="50"/>
  <c r="AW179" i="50"/>
  <c r="AX179" i="50"/>
  <c r="AY179" i="50"/>
  <c r="AZ179" i="50"/>
  <c r="BA179" i="50"/>
  <c r="BC179" i="50"/>
  <c r="BD179" i="50"/>
  <c r="BE179" i="50"/>
  <c r="BF179" i="50"/>
  <c r="BG179" i="50"/>
  <c r="BH179" i="50"/>
  <c r="BI179" i="50"/>
  <c r="BJ179" i="50"/>
  <c r="BK179" i="50"/>
  <c r="BL179" i="50"/>
  <c r="BM179" i="50"/>
  <c r="BN179" i="50"/>
  <c r="BO179" i="50"/>
  <c r="BP179" i="50"/>
  <c r="BQ179" i="50"/>
  <c r="BR179" i="50"/>
  <c r="BS179" i="50"/>
  <c r="BT179" i="50"/>
  <c r="BU179" i="50"/>
  <c r="A180" i="50"/>
  <c r="B180" i="50"/>
  <c r="C180" i="50"/>
  <c r="D180" i="50"/>
  <c r="E180" i="50"/>
  <c r="F180" i="50"/>
  <c r="G180" i="50"/>
  <c r="H180" i="50"/>
  <c r="I180" i="50"/>
  <c r="J180" i="50"/>
  <c r="K180" i="50"/>
  <c r="M180" i="50"/>
  <c r="N180" i="50"/>
  <c r="O180" i="50"/>
  <c r="P180" i="50"/>
  <c r="Q180" i="50"/>
  <c r="S180" i="50"/>
  <c r="U180" i="50"/>
  <c r="W180" i="50"/>
  <c r="X180" i="50"/>
  <c r="Y180" i="50"/>
  <c r="AA180" i="50"/>
  <c r="AC180" i="50"/>
  <c r="AD180" i="50"/>
  <c r="AE180" i="50"/>
  <c r="AG180" i="50"/>
  <c r="AI180" i="50"/>
  <c r="AK180" i="50"/>
  <c r="AM180" i="50"/>
  <c r="AN180" i="50"/>
  <c r="AO180" i="50"/>
  <c r="AQ180" i="50"/>
  <c r="AR180" i="50"/>
  <c r="AS180" i="50"/>
  <c r="AU180" i="50"/>
  <c r="AV180" i="50"/>
  <c r="AW180" i="50"/>
  <c r="AX180" i="50"/>
  <c r="AY180" i="50"/>
  <c r="AZ180" i="50"/>
  <c r="BA180" i="50"/>
  <c r="BC180" i="50"/>
  <c r="BD180" i="50"/>
  <c r="BE180" i="50"/>
  <c r="BF180" i="50"/>
  <c r="BG180" i="50"/>
  <c r="BH180" i="50"/>
  <c r="BI180" i="50"/>
  <c r="BJ180" i="50"/>
  <c r="BK180" i="50"/>
  <c r="BL180" i="50"/>
  <c r="BM180" i="50"/>
  <c r="BN180" i="50"/>
  <c r="BO180" i="50"/>
  <c r="BP180" i="50"/>
  <c r="BQ180" i="50"/>
  <c r="BR180" i="50"/>
  <c r="BS180" i="50"/>
  <c r="BT180" i="50"/>
  <c r="BU180" i="50"/>
  <c r="A181" i="50"/>
  <c r="B181" i="50"/>
  <c r="C181" i="50"/>
  <c r="D181" i="50"/>
  <c r="E181" i="50"/>
  <c r="F181" i="50"/>
  <c r="G181" i="50"/>
  <c r="H181" i="50"/>
  <c r="I181" i="50"/>
  <c r="J181" i="50"/>
  <c r="K181" i="50"/>
  <c r="M181" i="50"/>
  <c r="N181" i="50"/>
  <c r="O181" i="50"/>
  <c r="P181" i="50"/>
  <c r="Q181" i="50"/>
  <c r="S181" i="50"/>
  <c r="U181" i="50"/>
  <c r="W181" i="50"/>
  <c r="X181" i="50"/>
  <c r="Y181" i="50"/>
  <c r="AA181" i="50"/>
  <c r="AC181" i="50"/>
  <c r="AD181" i="50"/>
  <c r="AE181" i="50"/>
  <c r="AG181" i="50"/>
  <c r="AI181" i="50"/>
  <c r="AK181" i="50"/>
  <c r="AM181" i="50"/>
  <c r="AN181" i="50"/>
  <c r="AO181" i="50"/>
  <c r="AQ181" i="50"/>
  <c r="AR181" i="50"/>
  <c r="AS181" i="50"/>
  <c r="AU181" i="50"/>
  <c r="AV181" i="50"/>
  <c r="AW181" i="50"/>
  <c r="AX181" i="50"/>
  <c r="AY181" i="50"/>
  <c r="AZ181" i="50"/>
  <c r="BA181" i="50"/>
  <c r="BC181" i="50"/>
  <c r="BD181" i="50"/>
  <c r="BE181" i="50"/>
  <c r="BF181" i="50"/>
  <c r="BG181" i="50"/>
  <c r="BH181" i="50"/>
  <c r="BI181" i="50"/>
  <c r="BJ181" i="50"/>
  <c r="BK181" i="50"/>
  <c r="BL181" i="50"/>
  <c r="BM181" i="50"/>
  <c r="BN181" i="50"/>
  <c r="BO181" i="50"/>
  <c r="BP181" i="50"/>
  <c r="BQ181" i="50"/>
  <c r="BR181" i="50"/>
  <c r="BS181" i="50"/>
  <c r="BT181" i="50"/>
  <c r="BU181" i="50"/>
  <c r="A182" i="50"/>
  <c r="B182" i="50"/>
  <c r="C182" i="50"/>
  <c r="D182" i="50"/>
  <c r="E182" i="50"/>
  <c r="F182" i="50"/>
  <c r="G182" i="50"/>
  <c r="H182" i="50"/>
  <c r="I182" i="50"/>
  <c r="J182" i="50"/>
  <c r="K182" i="50"/>
  <c r="M182" i="50"/>
  <c r="N182" i="50"/>
  <c r="O182" i="50"/>
  <c r="P182" i="50"/>
  <c r="Q182" i="50"/>
  <c r="S182" i="50"/>
  <c r="U182" i="50"/>
  <c r="W182" i="50"/>
  <c r="X182" i="50"/>
  <c r="Y182" i="50"/>
  <c r="AA182" i="50"/>
  <c r="AC182" i="50"/>
  <c r="AD182" i="50"/>
  <c r="AE182" i="50"/>
  <c r="AG182" i="50"/>
  <c r="AI182" i="50"/>
  <c r="AK182" i="50"/>
  <c r="AM182" i="50"/>
  <c r="AN182" i="50"/>
  <c r="AO182" i="50"/>
  <c r="AQ182" i="50"/>
  <c r="AR182" i="50"/>
  <c r="AS182" i="50"/>
  <c r="AU182" i="50"/>
  <c r="AV182" i="50"/>
  <c r="AW182" i="50"/>
  <c r="AX182" i="50"/>
  <c r="AY182" i="50"/>
  <c r="AZ182" i="50"/>
  <c r="BA182" i="50"/>
  <c r="BC182" i="50"/>
  <c r="BD182" i="50"/>
  <c r="BE182" i="50"/>
  <c r="BF182" i="50"/>
  <c r="BG182" i="50"/>
  <c r="BH182" i="50"/>
  <c r="BI182" i="50"/>
  <c r="BJ182" i="50"/>
  <c r="BK182" i="50"/>
  <c r="BL182" i="50"/>
  <c r="BM182" i="50"/>
  <c r="BN182" i="50"/>
  <c r="BO182" i="50"/>
  <c r="BP182" i="50"/>
  <c r="BQ182" i="50"/>
  <c r="BR182" i="50"/>
  <c r="BS182" i="50"/>
  <c r="BT182" i="50"/>
  <c r="BU182" i="50"/>
  <c r="A183" i="50"/>
  <c r="B183" i="50"/>
  <c r="C183" i="50"/>
  <c r="D183" i="50"/>
  <c r="E183" i="50"/>
  <c r="F183" i="50"/>
  <c r="G183" i="50"/>
  <c r="H183" i="50"/>
  <c r="I183" i="50"/>
  <c r="J183" i="50"/>
  <c r="K183" i="50"/>
  <c r="M183" i="50"/>
  <c r="N183" i="50"/>
  <c r="O183" i="50"/>
  <c r="P183" i="50"/>
  <c r="Q183" i="50"/>
  <c r="S183" i="50"/>
  <c r="U183" i="50"/>
  <c r="W183" i="50"/>
  <c r="X183" i="50"/>
  <c r="Y183" i="50"/>
  <c r="AA183" i="50"/>
  <c r="AC183" i="50"/>
  <c r="AD183" i="50"/>
  <c r="AE183" i="50"/>
  <c r="AG183" i="50"/>
  <c r="AI183" i="50"/>
  <c r="AK183" i="50"/>
  <c r="AM183" i="50"/>
  <c r="AN183" i="50"/>
  <c r="AO183" i="50"/>
  <c r="AQ183" i="50"/>
  <c r="AR183" i="50"/>
  <c r="AS183" i="50"/>
  <c r="AU183" i="50"/>
  <c r="AV183" i="50"/>
  <c r="AW183" i="50"/>
  <c r="AX183" i="50"/>
  <c r="AY183" i="50"/>
  <c r="AZ183" i="50"/>
  <c r="BA183" i="50"/>
  <c r="BC183" i="50"/>
  <c r="BD183" i="50"/>
  <c r="BE183" i="50"/>
  <c r="BF183" i="50"/>
  <c r="BG183" i="50"/>
  <c r="BH183" i="50"/>
  <c r="BI183" i="50"/>
  <c r="BJ183" i="50"/>
  <c r="BK183" i="50"/>
  <c r="BL183" i="50"/>
  <c r="BM183" i="50"/>
  <c r="BN183" i="50"/>
  <c r="BO183" i="50"/>
  <c r="BP183" i="50"/>
  <c r="BQ183" i="50"/>
  <c r="BR183" i="50"/>
  <c r="BS183" i="50"/>
  <c r="BT183" i="50"/>
  <c r="BU183" i="50"/>
  <c r="A184" i="50"/>
  <c r="B184" i="50"/>
  <c r="C184" i="50"/>
  <c r="D184" i="50"/>
  <c r="E184" i="50"/>
  <c r="F184" i="50"/>
  <c r="G184" i="50"/>
  <c r="H184" i="50"/>
  <c r="I184" i="50"/>
  <c r="J184" i="50"/>
  <c r="K184" i="50"/>
  <c r="M184" i="50"/>
  <c r="N184" i="50"/>
  <c r="O184" i="50"/>
  <c r="P184" i="50"/>
  <c r="Q184" i="50"/>
  <c r="S184" i="50"/>
  <c r="U184" i="50"/>
  <c r="W184" i="50"/>
  <c r="X184" i="50"/>
  <c r="Y184" i="50"/>
  <c r="AA184" i="50"/>
  <c r="AC184" i="50"/>
  <c r="AD184" i="50"/>
  <c r="AE184" i="50"/>
  <c r="AG184" i="50"/>
  <c r="AI184" i="50"/>
  <c r="AK184" i="50"/>
  <c r="AM184" i="50"/>
  <c r="AN184" i="50"/>
  <c r="AO184" i="50"/>
  <c r="AQ184" i="50"/>
  <c r="AR184" i="50"/>
  <c r="AS184" i="50"/>
  <c r="AU184" i="50"/>
  <c r="AV184" i="50"/>
  <c r="AW184" i="50"/>
  <c r="AX184" i="50"/>
  <c r="AY184" i="50"/>
  <c r="AZ184" i="50"/>
  <c r="BA184" i="50"/>
  <c r="BC184" i="50"/>
  <c r="BD184" i="50"/>
  <c r="BE184" i="50"/>
  <c r="BF184" i="50"/>
  <c r="BG184" i="50"/>
  <c r="BH184" i="50"/>
  <c r="BI184" i="50"/>
  <c r="BJ184" i="50"/>
  <c r="BK184" i="50"/>
  <c r="BL184" i="50"/>
  <c r="BM184" i="50"/>
  <c r="BN184" i="50"/>
  <c r="BO184" i="50"/>
  <c r="BP184" i="50"/>
  <c r="BQ184" i="50"/>
  <c r="BR184" i="50"/>
  <c r="BS184" i="50"/>
  <c r="BT184" i="50"/>
  <c r="BU184" i="50"/>
  <c r="A185" i="50"/>
  <c r="B185" i="50"/>
  <c r="C185" i="50"/>
  <c r="D185" i="50"/>
  <c r="E185" i="50"/>
  <c r="F185" i="50"/>
  <c r="G185" i="50"/>
  <c r="H185" i="50"/>
  <c r="I185" i="50"/>
  <c r="J185" i="50"/>
  <c r="K185" i="50"/>
  <c r="M185" i="50"/>
  <c r="N185" i="50"/>
  <c r="O185" i="50"/>
  <c r="P185" i="50"/>
  <c r="Q185" i="50"/>
  <c r="S185" i="50"/>
  <c r="U185" i="50"/>
  <c r="W185" i="50"/>
  <c r="X185" i="50"/>
  <c r="Y185" i="50"/>
  <c r="AA185" i="50"/>
  <c r="AC185" i="50"/>
  <c r="AD185" i="50"/>
  <c r="AE185" i="50"/>
  <c r="AG185" i="50"/>
  <c r="AI185" i="50"/>
  <c r="AK185" i="50"/>
  <c r="AM185" i="50"/>
  <c r="AN185" i="50"/>
  <c r="AO185" i="50"/>
  <c r="AQ185" i="50"/>
  <c r="AR185" i="50"/>
  <c r="AS185" i="50"/>
  <c r="AU185" i="50"/>
  <c r="AV185" i="50"/>
  <c r="AW185" i="50"/>
  <c r="AX185" i="50"/>
  <c r="AY185" i="50"/>
  <c r="AZ185" i="50"/>
  <c r="BA185" i="50"/>
  <c r="BC185" i="50"/>
  <c r="BD185" i="50"/>
  <c r="BE185" i="50"/>
  <c r="BF185" i="50"/>
  <c r="BG185" i="50"/>
  <c r="BH185" i="50"/>
  <c r="BI185" i="50"/>
  <c r="BJ185" i="50"/>
  <c r="BK185" i="50"/>
  <c r="BL185" i="50"/>
  <c r="BM185" i="50"/>
  <c r="BN185" i="50"/>
  <c r="BO185" i="50"/>
  <c r="BP185" i="50"/>
  <c r="BQ185" i="50"/>
  <c r="BR185" i="50"/>
  <c r="BS185" i="50"/>
  <c r="BT185" i="50"/>
  <c r="BU185" i="50"/>
  <c r="A186" i="50"/>
  <c r="B186" i="50"/>
  <c r="C186" i="50"/>
  <c r="D186" i="50"/>
  <c r="E186" i="50"/>
  <c r="F186" i="50"/>
  <c r="G186" i="50"/>
  <c r="H186" i="50"/>
  <c r="I186" i="50"/>
  <c r="J186" i="50"/>
  <c r="K186" i="50"/>
  <c r="M186" i="50"/>
  <c r="N186" i="50"/>
  <c r="O186" i="50"/>
  <c r="P186" i="50"/>
  <c r="Q186" i="50"/>
  <c r="S186" i="50"/>
  <c r="U186" i="50"/>
  <c r="W186" i="50"/>
  <c r="X186" i="50"/>
  <c r="Y186" i="50"/>
  <c r="AA186" i="50"/>
  <c r="AC186" i="50"/>
  <c r="AD186" i="50"/>
  <c r="AE186" i="50"/>
  <c r="AG186" i="50"/>
  <c r="AI186" i="50"/>
  <c r="AK186" i="50"/>
  <c r="AM186" i="50"/>
  <c r="AN186" i="50"/>
  <c r="AO186" i="50"/>
  <c r="AQ186" i="50"/>
  <c r="AR186" i="50"/>
  <c r="AS186" i="50"/>
  <c r="AU186" i="50"/>
  <c r="AV186" i="50"/>
  <c r="AW186" i="50"/>
  <c r="AX186" i="50"/>
  <c r="AY186" i="50"/>
  <c r="AZ186" i="50"/>
  <c r="BA186" i="50"/>
  <c r="BC186" i="50"/>
  <c r="BD186" i="50"/>
  <c r="BE186" i="50"/>
  <c r="BF186" i="50"/>
  <c r="BG186" i="50"/>
  <c r="BH186" i="50"/>
  <c r="BI186" i="50"/>
  <c r="BJ186" i="50"/>
  <c r="BK186" i="50"/>
  <c r="BL186" i="50"/>
  <c r="BM186" i="50"/>
  <c r="BN186" i="50"/>
  <c r="BO186" i="50"/>
  <c r="BP186" i="50"/>
  <c r="BQ186" i="50"/>
  <c r="BR186" i="50"/>
  <c r="BS186" i="50"/>
  <c r="BT186" i="50"/>
  <c r="BU186" i="50"/>
  <c r="A187" i="50"/>
  <c r="B187" i="50"/>
  <c r="C187" i="50"/>
  <c r="D187" i="50"/>
  <c r="E187" i="50"/>
  <c r="F187" i="50"/>
  <c r="G187" i="50"/>
  <c r="H187" i="50"/>
  <c r="I187" i="50"/>
  <c r="J187" i="50"/>
  <c r="K187" i="50"/>
  <c r="M187" i="50"/>
  <c r="N187" i="50"/>
  <c r="O187" i="50"/>
  <c r="P187" i="50"/>
  <c r="Q187" i="50"/>
  <c r="S187" i="50"/>
  <c r="U187" i="50"/>
  <c r="W187" i="50"/>
  <c r="X187" i="50"/>
  <c r="Y187" i="50"/>
  <c r="AA187" i="50"/>
  <c r="AC187" i="50"/>
  <c r="AD187" i="50"/>
  <c r="AE187" i="50"/>
  <c r="AG187" i="50"/>
  <c r="AI187" i="50"/>
  <c r="AK187" i="50"/>
  <c r="AM187" i="50"/>
  <c r="AN187" i="50"/>
  <c r="AO187" i="50"/>
  <c r="AQ187" i="50"/>
  <c r="AR187" i="50"/>
  <c r="AS187" i="50"/>
  <c r="AU187" i="50"/>
  <c r="AV187" i="50"/>
  <c r="AW187" i="50"/>
  <c r="AX187" i="50"/>
  <c r="AY187" i="50"/>
  <c r="AZ187" i="50"/>
  <c r="BA187" i="50"/>
  <c r="BC187" i="50"/>
  <c r="BD187" i="50"/>
  <c r="BE187" i="50"/>
  <c r="BF187" i="50"/>
  <c r="BG187" i="50"/>
  <c r="BH187" i="50"/>
  <c r="BI187" i="50"/>
  <c r="BJ187" i="50"/>
  <c r="BK187" i="50"/>
  <c r="BL187" i="50"/>
  <c r="BM187" i="50"/>
  <c r="BN187" i="50"/>
  <c r="BO187" i="50"/>
  <c r="BP187" i="50"/>
  <c r="BQ187" i="50"/>
  <c r="BR187" i="50"/>
  <c r="BS187" i="50"/>
  <c r="BT187" i="50"/>
  <c r="BU187" i="50"/>
  <c r="A188" i="50"/>
  <c r="B188" i="50"/>
  <c r="C188" i="50"/>
  <c r="D188" i="50"/>
  <c r="E188" i="50"/>
  <c r="F188" i="50"/>
  <c r="G188" i="50"/>
  <c r="H188" i="50"/>
  <c r="I188" i="50"/>
  <c r="J188" i="50"/>
  <c r="K188" i="50"/>
  <c r="M188" i="50"/>
  <c r="N188" i="50"/>
  <c r="O188" i="50"/>
  <c r="P188" i="50"/>
  <c r="Q188" i="50"/>
  <c r="S188" i="50"/>
  <c r="U188" i="50"/>
  <c r="W188" i="50"/>
  <c r="X188" i="50"/>
  <c r="Y188" i="50"/>
  <c r="AA188" i="50"/>
  <c r="AC188" i="50"/>
  <c r="AD188" i="50"/>
  <c r="AE188" i="50"/>
  <c r="AG188" i="50"/>
  <c r="AI188" i="50"/>
  <c r="AK188" i="50"/>
  <c r="AM188" i="50"/>
  <c r="AN188" i="50"/>
  <c r="AO188" i="50"/>
  <c r="AQ188" i="50"/>
  <c r="AR188" i="50"/>
  <c r="AS188" i="50"/>
  <c r="AU188" i="50"/>
  <c r="AV188" i="50"/>
  <c r="AW188" i="50"/>
  <c r="AX188" i="50"/>
  <c r="AY188" i="50"/>
  <c r="AZ188" i="50"/>
  <c r="BA188" i="50"/>
  <c r="BC188" i="50"/>
  <c r="BD188" i="50"/>
  <c r="BE188" i="50"/>
  <c r="BF188" i="50"/>
  <c r="BG188" i="50"/>
  <c r="BH188" i="50"/>
  <c r="BI188" i="50"/>
  <c r="BJ188" i="50"/>
  <c r="BK188" i="50"/>
  <c r="BL188" i="50"/>
  <c r="BM188" i="50"/>
  <c r="BN188" i="50"/>
  <c r="BO188" i="50"/>
  <c r="BP188" i="50"/>
  <c r="BQ188" i="50"/>
  <c r="BR188" i="50"/>
  <c r="BS188" i="50"/>
  <c r="BT188" i="50"/>
  <c r="BU188" i="50"/>
  <c r="A189" i="50"/>
  <c r="B189" i="50"/>
  <c r="C189" i="50"/>
  <c r="D189" i="50"/>
  <c r="E189" i="50"/>
  <c r="F189" i="50"/>
  <c r="G189" i="50"/>
  <c r="H189" i="50"/>
  <c r="I189" i="50"/>
  <c r="J189" i="50"/>
  <c r="K189" i="50"/>
  <c r="M189" i="50"/>
  <c r="N189" i="50"/>
  <c r="O189" i="50"/>
  <c r="P189" i="50"/>
  <c r="Q189" i="50"/>
  <c r="S189" i="50"/>
  <c r="U189" i="50"/>
  <c r="W189" i="50"/>
  <c r="X189" i="50"/>
  <c r="Y189" i="50"/>
  <c r="AA189" i="50"/>
  <c r="AC189" i="50"/>
  <c r="AD189" i="50"/>
  <c r="AE189" i="50"/>
  <c r="AG189" i="50"/>
  <c r="AI189" i="50"/>
  <c r="AK189" i="50"/>
  <c r="AM189" i="50"/>
  <c r="AN189" i="50"/>
  <c r="AO189" i="50"/>
  <c r="AQ189" i="50"/>
  <c r="AR189" i="50"/>
  <c r="AS189" i="50"/>
  <c r="AU189" i="50"/>
  <c r="AV189" i="50"/>
  <c r="AW189" i="50"/>
  <c r="AX189" i="50"/>
  <c r="AY189" i="50"/>
  <c r="AZ189" i="50"/>
  <c r="BA189" i="50"/>
  <c r="BC189" i="50"/>
  <c r="BD189" i="50"/>
  <c r="BE189" i="50"/>
  <c r="BF189" i="50"/>
  <c r="BG189" i="50"/>
  <c r="BH189" i="50"/>
  <c r="BI189" i="50"/>
  <c r="BJ189" i="50"/>
  <c r="BK189" i="50"/>
  <c r="BL189" i="50"/>
  <c r="BM189" i="50"/>
  <c r="BN189" i="50"/>
  <c r="BO189" i="50"/>
  <c r="BP189" i="50"/>
  <c r="BQ189" i="50"/>
  <c r="BR189" i="50"/>
  <c r="BS189" i="50"/>
  <c r="BT189" i="50"/>
  <c r="BU189" i="50"/>
  <c r="A190" i="50"/>
  <c r="B190" i="50"/>
  <c r="C190" i="50"/>
  <c r="D190" i="50"/>
  <c r="E190" i="50"/>
  <c r="F190" i="50"/>
  <c r="G190" i="50"/>
  <c r="H190" i="50"/>
  <c r="I190" i="50"/>
  <c r="J190" i="50"/>
  <c r="K190" i="50"/>
  <c r="M190" i="50"/>
  <c r="N190" i="50"/>
  <c r="O190" i="50"/>
  <c r="P190" i="50"/>
  <c r="Q190" i="50"/>
  <c r="S190" i="50"/>
  <c r="U190" i="50"/>
  <c r="W190" i="50"/>
  <c r="X190" i="50"/>
  <c r="Y190" i="50"/>
  <c r="AA190" i="50"/>
  <c r="AC190" i="50"/>
  <c r="AD190" i="50"/>
  <c r="AE190" i="50"/>
  <c r="AG190" i="50"/>
  <c r="AI190" i="50"/>
  <c r="AK190" i="50"/>
  <c r="AM190" i="50"/>
  <c r="AN190" i="50"/>
  <c r="AO190" i="50"/>
  <c r="AQ190" i="50"/>
  <c r="AR190" i="50"/>
  <c r="AS190" i="50"/>
  <c r="AU190" i="50"/>
  <c r="AV190" i="50"/>
  <c r="AW190" i="50"/>
  <c r="AX190" i="50"/>
  <c r="AY190" i="50"/>
  <c r="AZ190" i="50"/>
  <c r="BA190" i="50"/>
  <c r="BC190" i="50"/>
  <c r="BD190" i="50"/>
  <c r="BE190" i="50"/>
  <c r="BF190" i="50"/>
  <c r="BG190" i="50"/>
  <c r="BH190" i="50"/>
  <c r="BI190" i="50"/>
  <c r="BJ190" i="50"/>
  <c r="BK190" i="50"/>
  <c r="BL190" i="50"/>
  <c r="BM190" i="50"/>
  <c r="BN190" i="50"/>
  <c r="BO190" i="50"/>
  <c r="BP190" i="50"/>
  <c r="BQ190" i="50"/>
  <c r="BR190" i="50"/>
  <c r="BS190" i="50"/>
  <c r="BT190" i="50"/>
  <c r="BU190" i="50"/>
  <c r="A191" i="50"/>
  <c r="B191" i="50"/>
  <c r="C191" i="50"/>
  <c r="D191" i="50"/>
  <c r="E191" i="50"/>
  <c r="F191" i="50"/>
  <c r="G191" i="50"/>
  <c r="H191" i="50"/>
  <c r="I191" i="50"/>
  <c r="J191" i="50"/>
  <c r="K191" i="50"/>
  <c r="M191" i="50"/>
  <c r="N191" i="50"/>
  <c r="O191" i="50"/>
  <c r="P191" i="50"/>
  <c r="Q191" i="50"/>
  <c r="S191" i="50"/>
  <c r="U191" i="50"/>
  <c r="W191" i="50"/>
  <c r="X191" i="50"/>
  <c r="Y191" i="50"/>
  <c r="AA191" i="50"/>
  <c r="AC191" i="50"/>
  <c r="AD191" i="50"/>
  <c r="AE191" i="50"/>
  <c r="AG191" i="50"/>
  <c r="AI191" i="50"/>
  <c r="AK191" i="50"/>
  <c r="AM191" i="50"/>
  <c r="AN191" i="50"/>
  <c r="AO191" i="50"/>
  <c r="AQ191" i="50"/>
  <c r="AR191" i="50"/>
  <c r="AS191" i="50"/>
  <c r="AU191" i="50"/>
  <c r="AV191" i="50"/>
  <c r="AW191" i="50"/>
  <c r="AX191" i="50"/>
  <c r="AY191" i="50"/>
  <c r="AZ191" i="50"/>
  <c r="BA191" i="50"/>
  <c r="BC191" i="50"/>
  <c r="BD191" i="50"/>
  <c r="BE191" i="50"/>
  <c r="BF191" i="50"/>
  <c r="BG191" i="50"/>
  <c r="BH191" i="50"/>
  <c r="BI191" i="50"/>
  <c r="BJ191" i="50"/>
  <c r="BK191" i="50"/>
  <c r="BL191" i="50"/>
  <c r="BM191" i="50"/>
  <c r="BN191" i="50"/>
  <c r="BO191" i="50"/>
  <c r="BP191" i="50"/>
  <c r="BQ191" i="50"/>
  <c r="BR191" i="50"/>
  <c r="BS191" i="50"/>
  <c r="BT191" i="50"/>
  <c r="BU191" i="50"/>
  <c r="A192" i="50"/>
  <c r="B192" i="50"/>
  <c r="C192" i="50"/>
  <c r="D192" i="50"/>
  <c r="E192" i="50"/>
  <c r="F192" i="50"/>
  <c r="G192" i="50"/>
  <c r="H192" i="50"/>
  <c r="I192" i="50"/>
  <c r="J192" i="50"/>
  <c r="K192" i="50"/>
  <c r="M192" i="50"/>
  <c r="N192" i="50"/>
  <c r="O192" i="50"/>
  <c r="P192" i="50"/>
  <c r="Q192" i="50"/>
  <c r="S192" i="50"/>
  <c r="U192" i="50"/>
  <c r="W192" i="50"/>
  <c r="X192" i="50"/>
  <c r="Y192" i="50"/>
  <c r="AA192" i="50"/>
  <c r="AC192" i="50"/>
  <c r="AD192" i="50"/>
  <c r="AE192" i="50"/>
  <c r="AG192" i="50"/>
  <c r="AI192" i="50"/>
  <c r="AK192" i="50"/>
  <c r="AM192" i="50"/>
  <c r="AN192" i="50"/>
  <c r="AO192" i="50"/>
  <c r="AQ192" i="50"/>
  <c r="AR192" i="50"/>
  <c r="AS192" i="50"/>
  <c r="AU192" i="50"/>
  <c r="AV192" i="50"/>
  <c r="AW192" i="50"/>
  <c r="AX192" i="50"/>
  <c r="AY192" i="50"/>
  <c r="AZ192" i="50"/>
  <c r="BA192" i="50"/>
  <c r="BC192" i="50"/>
  <c r="BD192" i="50"/>
  <c r="BE192" i="50"/>
  <c r="BF192" i="50"/>
  <c r="BG192" i="50"/>
  <c r="BH192" i="50"/>
  <c r="BI192" i="50"/>
  <c r="BJ192" i="50"/>
  <c r="BK192" i="50"/>
  <c r="BL192" i="50"/>
  <c r="BM192" i="50"/>
  <c r="BN192" i="50"/>
  <c r="BO192" i="50"/>
  <c r="BP192" i="50"/>
  <c r="BQ192" i="50"/>
  <c r="BR192" i="50"/>
  <c r="BS192" i="50"/>
  <c r="BT192" i="50"/>
  <c r="BU192" i="50"/>
  <c r="A193" i="50"/>
  <c r="B193" i="50"/>
  <c r="C193" i="50"/>
  <c r="D193" i="50"/>
  <c r="E193" i="50"/>
  <c r="F193" i="50"/>
  <c r="G193" i="50"/>
  <c r="H193" i="50"/>
  <c r="I193" i="50"/>
  <c r="J193" i="50"/>
  <c r="K193" i="50"/>
  <c r="M193" i="50"/>
  <c r="N193" i="50"/>
  <c r="O193" i="50"/>
  <c r="P193" i="50"/>
  <c r="Q193" i="50"/>
  <c r="S193" i="50"/>
  <c r="U193" i="50"/>
  <c r="W193" i="50"/>
  <c r="X193" i="50"/>
  <c r="Y193" i="50"/>
  <c r="AA193" i="50"/>
  <c r="AC193" i="50"/>
  <c r="AD193" i="50"/>
  <c r="AE193" i="50"/>
  <c r="AG193" i="50"/>
  <c r="AI193" i="50"/>
  <c r="AK193" i="50"/>
  <c r="AM193" i="50"/>
  <c r="AN193" i="50"/>
  <c r="AO193" i="50"/>
  <c r="AQ193" i="50"/>
  <c r="AR193" i="50"/>
  <c r="AS193" i="50"/>
  <c r="AU193" i="50"/>
  <c r="AV193" i="50"/>
  <c r="AW193" i="50"/>
  <c r="AX193" i="50"/>
  <c r="AY193" i="50"/>
  <c r="AZ193" i="50"/>
  <c r="BA193" i="50"/>
  <c r="BC193" i="50"/>
  <c r="BD193" i="50"/>
  <c r="BE193" i="50"/>
  <c r="BF193" i="50"/>
  <c r="BG193" i="50"/>
  <c r="BH193" i="50"/>
  <c r="BI193" i="50"/>
  <c r="BJ193" i="50"/>
  <c r="BK193" i="50"/>
  <c r="BL193" i="50"/>
  <c r="BM193" i="50"/>
  <c r="BN193" i="50"/>
  <c r="BO193" i="50"/>
  <c r="BP193" i="50"/>
  <c r="BQ193" i="50"/>
  <c r="BR193" i="50"/>
  <c r="BS193" i="50"/>
  <c r="BT193" i="50"/>
  <c r="BU193" i="50"/>
  <c r="A194" i="50"/>
  <c r="B194" i="50"/>
  <c r="C194" i="50"/>
  <c r="D194" i="50"/>
  <c r="E194" i="50"/>
  <c r="F194" i="50"/>
  <c r="G194" i="50"/>
  <c r="H194" i="50"/>
  <c r="I194" i="50"/>
  <c r="J194" i="50"/>
  <c r="K194" i="50"/>
  <c r="M194" i="50"/>
  <c r="N194" i="50"/>
  <c r="O194" i="50"/>
  <c r="P194" i="50"/>
  <c r="Q194" i="50"/>
  <c r="S194" i="50"/>
  <c r="U194" i="50"/>
  <c r="W194" i="50"/>
  <c r="X194" i="50"/>
  <c r="Y194" i="50"/>
  <c r="AA194" i="50"/>
  <c r="AC194" i="50"/>
  <c r="AD194" i="50"/>
  <c r="AE194" i="50"/>
  <c r="AG194" i="50"/>
  <c r="AI194" i="50"/>
  <c r="AK194" i="50"/>
  <c r="AM194" i="50"/>
  <c r="AN194" i="50"/>
  <c r="AO194" i="50"/>
  <c r="AQ194" i="50"/>
  <c r="AR194" i="50"/>
  <c r="AS194" i="50"/>
  <c r="AU194" i="50"/>
  <c r="AV194" i="50"/>
  <c r="AW194" i="50"/>
  <c r="AX194" i="50"/>
  <c r="AY194" i="50"/>
  <c r="AZ194" i="50"/>
  <c r="BA194" i="50"/>
  <c r="BC194" i="50"/>
  <c r="BD194" i="50"/>
  <c r="BE194" i="50"/>
  <c r="BF194" i="50"/>
  <c r="BG194" i="50"/>
  <c r="BH194" i="50"/>
  <c r="BI194" i="50"/>
  <c r="BJ194" i="50"/>
  <c r="BK194" i="50"/>
  <c r="BL194" i="50"/>
  <c r="BM194" i="50"/>
  <c r="BN194" i="50"/>
  <c r="BO194" i="50"/>
  <c r="BP194" i="50"/>
  <c r="BQ194" i="50"/>
  <c r="BR194" i="50"/>
  <c r="BS194" i="50"/>
  <c r="BT194" i="50"/>
  <c r="BU194" i="50"/>
  <c r="A195" i="50"/>
  <c r="B195" i="50"/>
  <c r="C195" i="50"/>
  <c r="D195" i="50"/>
  <c r="E195" i="50"/>
  <c r="F195" i="50"/>
  <c r="G195" i="50"/>
  <c r="H195" i="50"/>
  <c r="I195" i="50"/>
  <c r="J195" i="50"/>
  <c r="K195" i="50"/>
  <c r="M195" i="50"/>
  <c r="N195" i="50"/>
  <c r="O195" i="50"/>
  <c r="P195" i="50"/>
  <c r="Q195" i="50"/>
  <c r="S195" i="50"/>
  <c r="U195" i="50"/>
  <c r="W195" i="50"/>
  <c r="X195" i="50"/>
  <c r="Y195" i="50"/>
  <c r="AA195" i="50"/>
  <c r="AC195" i="50"/>
  <c r="AD195" i="50"/>
  <c r="AE195" i="50"/>
  <c r="AG195" i="50"/>
  <c r="AI195" i="50"/>
  <c r="AK195" i="50"/>
  <c r="AM195" i="50"/>
  <c r="AN195" i="50"/>
  <c r="AO195" i="50"/>
  <c r="AQ195" i="50"/>
  <c r="AR195" i="50"/>
  <c r="AS195" i="50"/>
  <c r="AU195" i="50"/>
  <c r="AV195" i="50"/>
  <c r="AW195" i="50"/>
  <c r="AX195" i="50"/>
  <c r="AY195" i="50"/>
  <c r="AZ195" i="50"/>
  <c r="BA195" i="50"/>
  <c r="BC195" i="50"/>
  <c r="BD195" i="50"/>
  <c r="BE195" i="50"/>
  <c r="BF195" i="50"/>
  <c r="BG195" i="50"/>
  <c r="BH195" i="50"/>
  <c r="BI195" i="50"/>
  <c r="BJ195" i="50"/>
  <c r="BK195" i="50"/>
  <c r="BL195" i="50"/>
  <c r="BM195" i="50"/>
  <c r="BN195" i="50"/>
  <c r="BO195" i="50"/>
  <c r="BP195" i="50"/>
  <c r="BQ195" i="50"/>
  <c r="BR195" i="50"/>
  <c r="BS195" i="50"/>
  <c r="BT195" i="50"/>
  <c r="BU195" i="50"/>
  <c r="A196" i="50"/>
  <c r="B196" i="50"/>
  <c r="C196" i="50"/>
  <c r="D196" i="50"/>
  <c r="E196" i="50"/>
  <c r="F196" i="50"/>
  <c r="G196" i="50"/>
  <c r="H196" i="50"/>
  <c r="I196" i="50"/>
  <c r="J196" i="50"/>
  <c r="K196" i="50"/>
  <c r="M196" i="50"/>
  <c r="N196" i="50"/>
  <c r="O196" i="50"/>
  <c r="P196" i="50"/>
  <c r="Q196" i="50"/>
  <c r="S196" i="50"/>
  <c r="U196" i="50"/>
  <c r="W196" i="50"/>
  <c r="X196" i="50"/>
  <c r="Y196" i="50"/>
  <c r="AA196" i="50"/>
  <c r="AC196" i="50"/>
  <c r="AD196" i="50"/>
  <c r="AE196" i="50"/>
  <c r="AG196" i="50"/>
  <c r="AI196" i="50"/>
  <c r="AK196" i="50"/>
  <c r="AM196" i="50"/>
  <c r="AN196" i="50"/>
  <c r="AO196" i="50"/>
  <c r="AQ196" i="50"/>
  <c r="AR196" i="50"/>
  <c r="AS196" i="50"/>
  <c r="AU196" i="50"/>
  <c r="AV196" i="50"/>
  <c r="AW196" i="50"/>
  <c r="AX196" i="50"/>
  <c r="AY196" i="50"/>
  <c r="AZ196" i="50"/>
  <c r="BA196" i="50"/>
  <c r="BC196" i="50"/>
  <c r="BD196" i="50"/>
  <c r="BE196" i="50"/>
  <c r="BF196" i="50"/>
  <c r="BG196" i="50"/>
  <c r="BH196" i="50"/>
  <c r="BI196" i="50"/>
  <c r="BJ196" i="50"/>
  <c r="BK196" i="50"/>
  <c r="BL196" i="50"/>
  <c r="BM196" i="50"/>
  <c r="BN196" i="50"/>
  <c r="BO196" i="50"/>
  <c r="BP196" i="50"/>
  <c r="BQ196" i="50"/>
  <c r="BR196" i="50"/>
  <c r="BS196" i="50"/>
  <c r="BT196" i="50"/>
  <c r="BU196" i="50"/>
  <c r="A197" i="50"/>
  <c r="B197" i="50"/>
  <c r="C197" i="50"/>
  <c r="D197" i="50"/>
  <c r="E197" i="50"/>
  <c r="F197" i="50"/>
  <c r="G197" i="50"/>
  <c r="H197" i="50"/>
  <c r="I197" i="50"/>
  <c r="J197" i="50"/>
  <c r="K197" i="50"/>
  <c r="M197" i="50"/>
  <c r="N197" i="50"/>
  <c r="O197" i="50"/>
  <c r="P197" i="50"/>
  <c r="Q197" i="50"/>
  <c r="S197" i="50"/>
  <c r="U197" i="50"/>
  <c r="W197" i="50"/>
  <c r="X197" i="50"/>
  <c r="Y197" i="50"/>
  <c r="AA197" i="50"/>
  <c r="AC197" i="50"/>
  <c r="AD197" i="50"/>
  <c r="AE197" i="50"/>
  <c r="AG197" i="50"/>
  <c r="AI197" i="50"/>
  <c r="AK197" i="50"/>
  <c r="AM197" i="50"/>
  <c r="AN197" i="50"/>
  <c r="AO197" i="50"/>
  <c r="AQ197" i="50"/>
  <c r="AR197" i="50"/>
  <c r="AS197" i="50"/>
  <c r="AU197" i="50"/>
  <c r="AV197" i="50"/>
  <c r="AW197" i="50"/>
  <c r="AX197" i="50"/>
  <c r="AY197" i="50"/>
  <c r="AZ197" i="50"/>
  <c r="BA197" i="50"/>
  <c r="BC197" i="50"/>
  <c r="BD197" i="50"/>
  <c r="BE197" i="50"/>
  <c r="BF197" i="50"/>
  <c r="BG197" i="50"/>
  <c r="BH197" i="50"/>
  <c r="BI197" i="50"/>
  <c r="BJ197" i="50"/>
  <c r="BK197" i="50"/>
  <c r="BL197" i="50"/>
  <c r="BM197" i="50"/>
  <c r="BN197" i="50"/>
  <c r="BO197" i="50"/>
  <c r="BP197" i="50"/>
  <c r="BQ197" i="50"/>
  <c r="BR197" i="50"/>
  <c r="BS197" i="50"/>
  <c r="BT197" i="50"/>
  <c r="BU197" i="50"/>
  <c r="A198" i="50"/>
  <c r="B198" i="50"/>
  <c r="C198" i="50"/>
  <c r="D198" i="50"/>
  <c r="E198" i="50"/>
  <c r="F198" i="50"/>
  <c r="G198" i="50"/>
  <c r="H198" i="50"/>
  <c r="I198" i="50"/>
  <c r="J198" i="50"/>
  <c r="K198" i="50"/>
  <c r="M198" i="50"/>
  <c r="N198" i="50"/>
  <c r="O198" i="50"/>
  <c r="P198" i="50"/>
  <c r="Q198" i="50"/>
  <c r="S198" i="50"/>
  <c r="U198" i="50"/>
  <c r="W198" i="50"/>
  <c r="X198" i="50"/>
  <c r="Y198" i="50"/>
  <c r="AA198" i="50"/>
  <c r="AC198" i="50"/>
  <c r="AD198" i="50"/>
  <c r="AE198" i="50"/>
  <c r="AG198" i="50"/>
  <c r="AI198" i="50"/>
  <c r="AK198" i="50"/>
  <c r="AM198" i="50"/>
  <c r="AN198" i="50"/>
  <c r="AO198" i="50"/>
  <c r="AQ198" i="50"/>
  <c r="AR198" i="50"/>
  <c r="AS198" i="50"/>
  <c r="AU198" i="50"/>
  <c r="AV198" i="50"/>
  <c r="AW198" i="50"/>
  <c r="AX198" i="50"/>
  <c r="AY198" i="50"/>
  <c r="AZ198" i="50"/>
  <c r="BA198" i="50"/>
  <c r="BC198" i="50"/>
  <c r="BD198" i="50"/>
  <c r="BE198" i="50"/>
  <c r="BF198" i="50"/>
  <c r="BG198" i="50"/>
  <c r="BH198" i="50"/>
  <c r="BI198" i="50"/>
  <c r="BJ198" i="50"/>
  <c r="BK198" i="50"/>
  <c r="BL198" i="50"/>
  <c r="BM198" i="50"/>
  <c r="BN198" i="50"/>
  <c r="BO198" i="50"/>
  <c r="BP198" i="50"/>
  <c r="BQ198" i="50"/>
  <c r="BR198" i="50"/>
  <c r="BS198" i="50"/>
  <c r="BT198" i="50"/>
  <c r="BU198" i="50"/>
  <c r="A199" i="50"/>
  <c r="B199" i="50"/>
  <c r="C199" i="50"/>
  <c r="D199" i="50"/>
  <c r="E199" i="50"/>
  <c r="F199" i="50"/>
  <c r="G199" i="50"/>
  <c r="H199" i="50"/>
  <c r="I199" i="50"/>
  <c r="J199" i="50"/>
  <c r="K199" i="50"/>
  <c r="M199" i="50"/>
  <c r="N199" i="50"/>
  <c r="O199" i="50"/>
  <c r="P199" i="50"/>
  <c r="Q199" i="50"/>
  <c r="S199" i="50"/>
  <c r="U199" i="50"/>
  <c r="W199" i="50"/>
  <c r="X199" i="50"/>
  <c r="Y199" i="50"/>
  <c r="AA199" i="50"/>
  <c r="AC199" i="50"/>
  <c r="AD199" i="50"/>
  <c r="AE199" i="50"/>
  <c r="AG199" i="50"/>
  <c r="AI199" i="50"/>
  <c r="AK199" i="50"/>
  <c r="AM199" i="50"/>
  <c r="AN199" i="50"/>
  <c r="AO199" i="50"/>
  <c r="AQ199" i="50"/>
  <c r="AR199" i="50"/>
  <c r="AS199" i="50"/>
  <c r="AU199" i="50"/>
  <c r="AV199" i="50"/>
  <c r="AW199" i="50"/>
  <c r="AX199" i="50"/>
  <c r="AY199" i="50"/>
  <c r="AZ199" i="50"/>
  <c r="BA199" i="50"/>
  <c r="BC199" i="50"/>
  <c r="BD199" i="50"/>
  <c r="BE199" i="50"/>
  <c r="BF199" i="50"/>
  <c r="BG199" i="50"/>
  <c r="BH199" i="50"/>
  <c r="BI199" i="50"/>
  <c r="BJ199" i="50"/>
  <c r="BK199" i="50"/>
  <c r="BL199" i="50"/>
  <c r="BM199" i="50"/>
  <c r="BN199" i="50"/>
  <c r="BO199" i="50"/>
  <c r="BP199" i="50"/>
  <c r="BQ199" i="50"/>
  <c r="BR199" i="50"/>
  <c r="BS199" i="50"/>
  <c r="BT199" i="50"/>
  <c r="BU199" i="50"/>
  <c r="A200" i="50"/>
  <c r="B200" i="50"/>
  <c r="C200" i="50"/>
  <c r="D200" i="50"/>
  <c r="E200" i="50"/>
  <c r="F200" i="50"/>
  <c r="G200" i="50"/>
  <c r="H200" i="50"/>
  <c r="I200" i="50"/>
  <c r="J200" i="50"/>
  <c r="K200" i="50"/>
  <c r="M200" i="50"/>
  <c r="N200" i="50"/>
  <c r="O200" i="50"/>
  <c r="P200" i="50"/>
  <c r="Q200" i="50"/>
  <c r="S200" i="50"/>
  <c r="U200" i="50"/>
  <c r="W200" i="50"/>
  <c r="X200" i="50"/>
  <c r="Y200" i="50"/>
  <c r="AA200" i="50"/>
  <c r="AC200" i="50"/>
  <c r="AD200" i="50"/>
  <c r="AE200" i="50"/>
  <c r="AG200" i="50"/>
  <c r="AI200" i="50"/>
  <c r="AK200" i="50"/>
  <c r="AM200" i="50"/>
  <c r="AN200" i="50"/>
  <c r="AO200" i="50"/>
  <c r="AQ200" i="50"/>
  <c r="AR200" i="50"/>
  <c r="AS200" i="50"/>
  <c r="AU200" i="50"/>
  <c r="AV200" i="50"/>
  <c r="AW200" i="50"/>
  <c r="AX200" i="50"/>
  <c r="AY200" i="50"/>
  <c r="AZ200" i="50"/>
  <c r="BA200" i="50"/>
  <c r="BC200" i="50"/>
  <c r="BD200" i="50"/>
  <c r="BE200" i="50"/>
  <c r="BF200" i="50"/>
  <c r="BG200" i="50"/>
  <c r="BH200" i="50"/>
  <c r="BI200" i="50"/>
  <c r="BJ200" i="50"/>
  <c r="BK200" i="50"/>
  <c r="BL200" i="50"/>
  <c r="BM200" i="50"/>
  <c r="BN200" i="50"/>
  <c r="BO200" i="50"/>
  <c r="BP200" i="50"/>
  <c r="BQ200" i="50"/>
  <c r="BR200" i="50"/>
  <c r="BS200" i="50"/>
  <c r="BT200" i="50"/>
  <c r="BU200" i="50"/>
  <c r="A201" i="50"/>
  <c r="B201" i="50"/>
  <c r="C201" i="50"/>
  <c r="D201" i="50"/>
  <c r="E201" i="50"/>
  <c r="F201" i="50"/>
  <c r="G201" i="50"/>
  <c r="H201" i="50"/>
  <c r="I201" i="50"/>
  <c r="J201" i="50"/>
  <c r="K201" i="50"/>
  <c r="M201" i="50"/>
  <c r="N201" i="50"/>
  <c r="O201" i="50"/>
  <c r="P201" i="50"/>
  <c r="Q201" i="50"/>
  <c r="S201" i="50"/>
  <c r="U201" i="50"/>
  <c r="W201" i="50"/>
  <c r="X201" i="50"/>
  <c r="Y201" i="50"/>
  <c r="AA201" i="50"/>
  <c r="AC201" i="50"/>
  <c r="AD201" i="50"/>
  <c r="AE201" i="50"/>
  <c r="AG201" i="50"/>
  <c r="AI201" i="50"/>
  <c r="AK201" i="50"/>
  <c r="AM201" i="50"/>
  <c r="AN201" i="50"/>
  <c r="AO201" i="50"/>
  <c r="AQ201" i="50"/>
  <c r="AR201" i="50"/>
  <c r="AS201" i="50"/>
  <c r="AU201" i="50"/>
  <c r="AV201" i="50"/>
  <c r="AW201" i="50"/>
  <c r="AX201" i="50"/>
  <c r="AY201" i="50"/>
  <c r="AZ201" i="50"/>
  <c r="BA201" i="50"/>
  <c r="BC201" i="50"/>
  <c r="BD201" i="50"/>
  <c r="BE201" i="50"/>
  <c r="BF201" i="50"/>
  <c r="BG201" i="50"/>
  <c r="BH201" i="50"/>
  <c r="BI201" i="50"/>
  <c r="BJ201" i="50"/>
  <c r="BK201" i="50"/>
  <c r="BL201" i="50"/>
  <c r="BM201" i="50"/>
  <c r="BN201" i="50"/>
  <c r="BO201" i="50"/>
  <c r="BP201" i="50"/>
  <c r="BQ201" i="50"/>
  <c r="BR201" i="50"/>
  <c r="BS201" i="50"/>
  <c r="BT201" i="50"/>
  <c r="BU201" i="50"/>
  <c r="A202" i="50"/>
  <c r="B202" i="50"/>
  <c r="C202" i="50"/>
  <c r="D202" i="50"/>
  <c r="E202" i="50"/>
  <c r="F202" i="50"/>
  <c r="G202" i="50"/>
  <c r="H202" i="50"/>
  <c r="I202" i="50"/>
  <c r="J202" i="50"/>
  <c r="K202" i="50"/>
  <c r="M202" i="50"/>
  <c r="N202" i="50"/>
  <c r="O202" i="50"/>
  <c r="P202" i="50"/>
  <c r="Q202" i="50"/>
  <c r="S202" i="50"/>
  <c r="U202" i="50"/>
  <c r="W202" i="50"/>
  <c r="X202" i="50"/>
  <c r="Y202" i="50"/>
  <c r="AA202" i="50"/>
  <c r="AC202" i="50"/>
  <c r="AD202" i="50"/>
  <c r="AE202" i="50"/>
  <c r="AG202" i="50"/>
  <c r="AI202" i="50"/>
  <c r="AK202" i="50"/>
  <c r="AM202" i="50"/>
  <c r="AN202" i="50"/>
  <c r="AO202" i="50"/>
  <c r="AQ202" i="50"/>
  <c r="AR202" i="50"/>
  <c r="AS202" i="50"/>
  <c r="AU202" i="50"/>
  <c r="AV202" i="50"/>
  <c r="AW202" i="50"/>
  <c r="AX202" i="50"/>
  <c r="AY202" i="50"/>
  <c r="AZ202" i="50"/>
  <c r="BA202" i="50"/>
  <c r="BC202" i="50"/>
  <c r="BD202" i="50"/>
  <c r="BE202" i="50"/>
  <c r="BF202" i="50"/>
  <c r="BG202" i="50"/>
  <c r="BH202" i="50"/>
  <c r="BI202" i="50"/>
  <c r="BJ202" i="50"/>
  <c r="BK202" i="50"/>
  <c r="BL202" i="50"/>
  <c r="BM202" i="50"/>
  <c r="BN202" i="50"/>
  <c r="BO202" i="50"/>
  <c r="BP202" i="50"/>
  <c r="BQ202" i="50"/>
  <c r="BR202" i="50"/>
  <c r="BS202" i="50"/>
  <c r="BT202" i="50"/>
  <c r="BU202" i="50"/>
  <c r="A203" i="50"/>
  <c r="B203" i="50"/>
  <c r="C203" i="50"/>
  <c r="D203" i="50"/>
  <c r="E203" i="50"/>
  <c r="F203" i="50"/>
  <c r="G203" i="50"/>
  <c r="H203" i="50"/>
  <c r="I203" i="50"/>
  <c r="J203" i="50"/>
  <c r="K203" i="50"/>
  <c r="M203" i="50"/>
  <c r="N203" i="50"/>
  <c r="O203" i="50"/>
  <c r="P203" i="50"/>
  <c r="Q203" i="50"/>
  <c r="S203" i="50"/>
  <c r="U203" i="50"/>
  <c r="W203" i="50"/>
  <c r="X203" i="50"/>
  <c r="Y203" i="50"/>
  <c r="AA203" i="50"/>
  <c r="AC203" i="50"/>
  <c r="AD203" i="50"/>
  <c r="AE203" i="50"/>
  <c r="AG203" i="50"/>
  <c r="AI203" i="50"/>
  <c r="AK203" i="50"/>
  <c r="AM203" i="50"/>
  <c r="AN203" i="50"/>
  <c r="AO203" i="50"/>
  <c r="AQ203" i="50"/>
  <c r="AR203" i="50"/>
  <c r="AS203" i="50"/>
  <c r="AU203" i="50"/>
  <c r="AV203" i="50"/>
  <c r="AW203" i="50"/>
  <c r="AX203" i="50"/>
  <c r="AY203" i="50"/>
  <c r="AZ203" i="50"/>
  <c r="BA203" i="50"/>
  <c r="BC203" i="50"/>
  <c r="BD203" i="50"/>
  <c r="BE203" i="50"/>
  <c r="BF203" i="50"/>
  <c r="BG203" i="50"/>
  <c r="BH203" i="50"/>
  <c r="BI203" i="50"/>
  <c r="BJ203" i="50"/>
  <c r="BK203" i="50"/>
  <c r="BL203" i="50"/>
  <c r="BM203" i="50"/>
  <c r="BN203" i="50"/>
  <c r="BO203" i="50"/>
  <c r="BP203" i="50"/>
  <c r="BQ203" i="50"/>
  <c r="BR203" i="50"/>
  <c r="BS203" i="50"/>
  <c r="BT203" i="50"/>
  <c r="BU203" i="50"/>
  <c r="A204" i="50"/>
  <c r="B204" i="50"/>
  <c r="C204" i="50"/>
  <c r="D204" i="50"/>
  <c r="E204" i="50"/>
  <c r="F204" i="50"/>
  <c r="G204" i="50"/>
  <c r="H204" i="50"/>
  <c r="I204" i="50"/>
  <c r="J204" i="50"/>
  <c r="K204" i="50"/>
  <c r="M204" i="50"/>
  <c r="N204" i="50"/>
  <c r="O204" i="50"/>
  <c r="P204" i="50"/>
  <c r="Q204" i="50"/>
  <c r="S204" i="50"/>
  <c r="U204" i="50"/>
  <c r="W204" i="50"/>
  <c r="X204" i="50"/>
  <c r="Y204" i="50"/>
  <c r="AA204" i="50"/>
  <c r="AC204" i="50"/>
  <c r="AD204" i="50"/>
  <c r="AE204" i="50"/>
  <c r="AG204" i="50"/>
  <c r="AI204" i="50"/>
  <c r="AK204" i="50"/>
  <c r="AM204" i="50"/>
  <c r="AN204" i="50"/>
  <c r="AO204" i="50"/>
  <c r="AQ204" i="50"/>
  <c r="AR204" i="50"/>
  <c r="AS204" i="50"/>
  <c r="AU204" i="50"/>
  <c r="AV204" i="50"/>
  <c r="AW204" i="50"/>
  <c r="AX204" i="50"/>
  <c r="AY204" i="50"/>
  <c r="AZ204" i="50"/>
  <c r="BA204" i="50"/>
  <c r="BC204" i="50"/>
  <c r="BD204" i="50"/>
  <c r="BE204" i="50"/>
  <c r="BF204" i="50"/>
  <c r="BG204" i="50"/>
  <c r="BH204" i="50"/>
  <c r="BI204" i="50"/>
  <c r="BJ204" i="50"/>
  <c r="BK204" i="50"/>
  <c r="BL204" i="50"/>
  <c r="BM204" i="50"/>
  <c r="BN204" i="50"/>
  <c r="BO204" i="50"/>
  <c r="BP204" i="50"/>
  <c r="BQ204" i="50"/>
  <c r="BR204" i="50"/>
  <c r="BS204" i="50"/>
  <c r="BT204" i="50"/>
  <c r="BU204" i="50"/>
  <c r="A205" i="50"/>
  <c r="B205" i="50"/>
  <c r="C205" i="50"/>
  <c r="D205" i="50"/>
  <c r="E205" i="50"/>
  <c r="F205" i="50"/>
  <c r="G205" i="50"/>
  <c r="H205" i="50"/>
  <c r="I205" i="50"/>
  <c r="J205" i="50"/>
  <c r="K205" i="50"/>
  <c r="M205" i="50"/>
  <c r="N205" i="50"/>
  <c r="O205" i="50"/>
  <c r="P205" i="50"/>
  <c r="Q205" i="50"/>
  <c r="S205" i="50"/>
  <c r="U205" i="50"/>
  <c r="W205" i="50"/>
  <c r="X205" i="50"/>
  <c r="Y205" i="50"/>
  <c r="AA205" i="50"/>
  <c r="AC205" i="50"/>
  <c r="AD205" i="50"/>
  <c r="AE205" i="50"/>
  <c r="AG205" i="50"/>
  <c r="AI205" i="50"/>
  <c r="AK205" i="50"/>
  <c r="AM205" i="50"/>
  <c r="AN205" i="50"/>
  <c r="AO205" i="50"/>
  <c r="AQ205" i="50"/>
  <c r="AR205" i="50"/>
  <c r="AS205" i="50"/>
  <c r="AU205" i="50"/>
  <c r="AV205" i="50"/>
  <c r="AW205" i="50"/>
  <c r="AX205" i="50"/>
  <c r="AY205" i="50"/>
  <c r="AZ205" i="50"/>
  <c r="BA205" i="50"/>
  <c r="BC205" i="50"/>
  <c r="BD205" i="50"/>
  <c r="BE205" i="50"/>
  <c r="BF205" i="50"/>
  <c r="BG205" i="50"/>
  <c r="BH205" i="50"/>
  <c r="BI205" i="50"/>
  <c r="BJ205" i="50"/>
  <c r="BK205" i="50"/>
  <c r="BL205" i="50"/>
  <c r="BM205" i="50"/>
  <c r="BN205" i="50"/>
  <c r="BO205" i="50"/>
  <c r="BP205" i="50"/>
  <c r="BQ205" i="50"/>
  <c r="BR205" i="50"/>
  <c r="BS205" i="50"/>
  <c r="BT205" i="50"/>
  <c r="BU205" i="50"/>
  <c r="A206" i="50"/>
  <c r="B206" i="50"/>
  <c r="C206" i="50"/>
  <c r="D206" i="50"/>
  <c r="E206" i="50"/>
  <c r="F206" i="50"/>
  <c r="G206" i="50"/>
  <c r="H206" i="50"/>
  <c r="I206" i="50"/>
  <c r="J206" i="50"/>
  <c r="K206" i="50"/>
  <c r="M206" i="50"/>
  <c r="N206" i="50"/>
  <c r="O206" i="50"/>
  <c r="P206" i="50"/>
  <c r="Q206" i="50"/>
  <c r="S206" i="50"/>
  <c r="U206" i="50"/>
  <c r="W206" i="50"/>
  <c r="X206" i="50"/>
  <c r="Y206" i="50"/>
  <c r="AA206" i="50"/>
  <c r="AC206" i="50"/>
  <c r="AD206" i="50"/>
  <c r="AE206" i="50"/>
  <c r="AG206" i="50"/>
  <c r="AI206" i="50"/>
  <c r="AK206" i="50"/>
  <c r="AM206" i="50"/>
  <c r="AN206" i="50"/>
  <c r="AO206" i="50"/>
  <c r="AQ206" i="50"/>
  <c r="AR206" i="50"/>
  <c r="AS206" i="50"/>
  <c r="AU206" i="50"/>
  <c r="AV206" i="50"/>
  <c r="AW206" i="50"/>
  <c r="AX206" i="50"/>
  <c r="AY206" i="50"/>
  <c r="AZ206" i="50"/>
  <c r="BA206" i="50"/>
  <c r="BC206" i="50"/>
  <c r="BD206" i="50"/>
  <c r="BE206" i="50"/>
  <c r="BF206" i="50"/>
  <c r="BG206" i="50"/>
  <c r="BH206" i="50"/>
  <c r="BI206" i="50"/>
  <c r="BJ206" i="50"/>
  <c r="BK206" i="50"/>
  <c r="BL206" i="50"/>
  <c r="BM206" i="50"/>
  <c r="BN206" i="50"/>
  <c r="BO206" i="50"/>
  <c r="BP206" i="50"/>
  <c r="BQ206" i="50"/>
  <c r="BR206" i="50"/>
  <c r="BS206" i="50"/>
  <c r="BT206" i="50"/>
  <c r="BU206" i="50"/>
  <c r="A207" i="50"/>
  <c r="B207" i="50"/>
  <c r="C207" i="50"/>
  <c r="D207" i="50"/>
  <c r="E207" i="50"/>
  <c r="F207" i="50"/>
  <c r="G207" i="50"/>
  <c r="H207" i="50"/>
  <c r="I207" i="50"/>
  <c r="J207" i="50"/>
  <c r="K207" i="50"/>
  <c r="M207" i="50"/>
  <c r="N207" i="50"/>
  <c r="O207" i="50"/>
  <c r="P207" i="50"/>
  <c r="Q207" i="50"/>
  <c r="S207" i="50"/>
  <c r="U207" i="50"/>
  <c r="W207" i="50"/>
  <c r="X207" i="50"/>
  <c r="Y207" i="50"/>
  <c r="AA207" i="50"/>
  <c r="AC207" i="50"/>
  <c r="AD207" i="50"/>
  <c r="AE207" i="50"/>
  <c r="AG207" i="50"/>
  <c r="AI207" i="50"/>
  <c r="AK207" i="50"/>
  <c r="AM207" i="50"/>
  <c r="AN207" i="50"/>
  <c r="AO207" i="50"/>
  <c r="AQ207" i="50"/>
  <c r="AR207" i="50"/>
  <c r="AS207" i="50"/>
  <c r="AU207" i="50"/>
  <c r="AV207" i="50"/>
  <c r="AW207" i="50"/>
  <c r="AX207" i="50"/>
  <c r="AY207" i="50"/>
  <c r="AZ207" i="50"/>
  <c r="BA207" i="50"/>
  <c r="BC207" i="50"/>
  <c r="BD207" i="50"/>
  <c r="BE207" i="50"/>
  <c r="BF207" i="50"/>
  <c r="BG207" i="50"/>
  <c r="BH207" i="50"/>
  <c r="BI207" i="50"/>
  <c r="BJ207" i="50"/>
  <c r="BK207" i="50"/>
  <c r="BL207" i="50"/>
  <c r="BM207" i="50"/>
  <c r="BN207" i="50"/>
  <c r="BO207" i="50"/>
  <c r="BP207" i="50"/>
  <c r="BQ207" i="50"/>
  <c r="BR207" i="50"/>
  <c r="BS207" i="50"/>
  <c r="BT207" i="50"/>
  <c r="BU207" i="50"/>
  <c r="A208" i="50"/>
  <c r="B208" i="50"/>
  <c r="C208" i="50"/>
  <c r="D208" i="50"/>
  <c r="E208" i="50"/>
  <c r="F208" i="50"/>
  <c r="G208" i="50"/>
  <c r="H208" i="50"/>
  <c r="I208" i="50"/>
  <c r="J208" i="50"/>
  <c r="K208" i="50"/>
  <c r="M208" i="50"/>
  <c r="N208" i="50"/>
  <c r="O208" i="50"/>
  <c r="P208" i="50"/>
  <c r="Q208" i="50"/>
  <c r="S208" i="50"/>
  <c r="U208" i="50"/>
  <c r="W208" i="50"/>
  <c r="X208" i="50"/>
  <c r="Y208" i="50"/>
  <c r="AA208" i="50"/>
  <c r="AC208" i="50"/>
  <c r="AD208" i="50"/>
  <c r="AE208" i="50"/>
  <c r="AG208" i="50"/>
  <c r="AI208" i="50"/>
  <c r="AK208" i="50"/>
  <c r="AM208" i="50"/>
  <c r="AN208" i="50"/>
  <c r="AO208" i="50"/>
  <c r="AQ208" i="50"/>
  <c r="AR208" i="50"/>
  <c r="AS208" i="50"/>
  <c r="AU208" i="50"/>
  <c r="AV208" i="50"/>
  <c r="AW208" i="50"/>
  <c r="AX208" i="50"/>
  <c r="AY208" i="50"/>
  <c r="AZ208" i="50"/>
  <c r="BA208" i="50"/>
  <c r="BC208" i="50"/>
  <c r="BD208" i="50"/>
  <c r="BE208" i="50"/>
  <c r="BF208" i="50"/>
  <c r="BG208" i="50"/>
  <c r="BH208" i="50"/>
  <c r="BI208" i="50"/>
  <c r="BJ208" i="50"/>
  <c r="BK208" i="50"/>
  <c r="BL208" i="50"/>
  <c r="BM208" i="50"/>
  <c r="BN208" i="50"/>
  <c r="BO208" i="50"/>
  <c r="BP208" i="50"/>
  <c r="BQ208" i="50"/>
  <c r="BR208" i="50"/>
  <c r="BS208" i="50"/>
  <c r="BT208" i="50"/>
  <c r="BU208" i="50"/>
  <c r="A209" i="50"/>
  <c r="B209" i="50"/>
  <c r="C209" i="50"/>
  <c r="D209" i="50"/>
  <c r="E209" i="50"/>
  <c r="F209" i="50"/>
  <c r="G209" i="50"/>
  <c r="H209" i="50"/>
  <c r="I209" i="50"/>
  <c r="J209" i="50"/>
  <c r="K209" i="50"/>
  <c r="M209" i="50"/>
  <c r="N209" i="50"/>
  <c r="O209" i="50"/>
  <c r="P209" i="50"/>
  <c r="Q209" i="50"/>
  <c r="S209" i="50"/>
  <c r="U209" i="50"/>
  <c r="W209" i="50"/>
  <c r="X209" i="50"/>
  <c r="Y209" i="50"/>
  <c r="AA209" i="50"/>
  <c r="AC209" i="50"/>
  <c r="AD209" i="50"/>
  <c r="AE209" i="50"/>
  <c r="AG209" i="50"/>
  <c r="AI209" i="50"/>
  <c r="AK209" i="50"/>
  <c r="AM209" i="50"/>
  <c r="AN209" i="50"/>
  <c r="AO209" i="50"/>
  <c r="AQ209" i="50"/>
  <c r="AR209" i="50"/>
  <c r="AS209" i="50"/>
  <c r="AU209" i="50"/>
  <c r="AV209" i="50"/>
  <c r="AW209" i="50"/>
  <c r="AX209" i="50"/>
  <c r="AY209" i="50"/>
  <c r="AZ209" i="50"/>
  <c r="BA209" i="50"/>
  <c r="BC209" i="50"/>
  <c r="BD209" i="50"/>
  <c r="BE209" i="50"/>
  <c r="BF209" i="50"/>
  <c r="BG209" i="50"/>
  <c r="BH209" i="50"/>
  <c r="BI209" i="50"/>
  <c r="BJ209" i="50"/>
  <c r="BK209" i="50"/>
  <c r="BL209" i="50"/>
  <c r="BM209" i="50"/>
  <c r="BN209" i="50"/>
  <c r="BO209" i="50"/>
  <c r="BP209" i="50"/>
  <c r="BQ209" i="50"/>
  <c r="BR209" i="50"/>
  <c r="BS209" i="50"/>
  <c r="BT209" i="50"/>
  <c r="BU209" i="50"/>
  <c r="A210" i="50"/>
  <c r="B210" i="50"/>
  <c r="C210" i="50"/>
  <c r="D210" i="50"/>
  <c r="E210" i="50"/>
  <c r="F210" i="50"/>
  <c r="G210" i="50"/>
  <c r="H210" i="50"/>
  <c r="I210" i="50"/>
  <c r="J210" i="50"/>
  <c r="K210" i="50"/>
  <c r="M210" i="50"/>
  <c r="N210" i="50"/>
  <c r="O210" i="50"/>
  <c r="P210" i="50"/>
  <c r="Q210" i="50"/>
  <c r="S210" i="50"/>
  <c r="U210" i="50"/>
  <c r="W210" i="50"/>
  <c r="X210" i="50"/>
  <c r="Y210" i="50"/>
  <c r="AA210" i="50"/>
  <c r="AC210" i="50"/>
  <c r="AD210" i="50"/>
  <c r="AE210" i="50"/>
  <c r="AG210" i="50"/>
  <c r="AI210" i="50"/>
  <c r="AK210" i="50"/>
  <c r="AM210" i="50"/>
  <c r="AN210" i="50"/>
  <c r="AO210" i="50"/>
  <c r="AQ210" i="50"/>
  <c r="AR210" i="50"/>
  <c r="AS210" i="50"/>
  <c r="AU210" i="50"/>
  <c r="AV210" i="50"/>
  <c r="AW210" i="50"/>
  <c r="AX210" i="50"/>
  <c r="AY210" i="50"/>
  <c r="AZ210" i="50"/>
  <c r="BA210" i="50"/>
  <c r="BC210" i="50"/>
  <c r="BD210" i="50"/>
  <c r="BE210" i="50"/>
  <c r="BF210" i="50"/>
  <c r="BG210" i="50"/>
  <c r="BH210" i="50"/>
  <c r="BI210" i="50"/>
  <c r="BJ210" i="50"/>
  <c r="BK210" i="50"/>
  <c r="BL210" i="50"/>
  <c r="BM210" i="50"/>
  <c r="BN210" i="50"/>
  <c r="BO210" i="50"/>
  <c r="BP210" i="50"/>
  <c r="BQ210" i="50"/>
  <c r="BR210" i="50"/>
  <c r="BS210" i="50"/>
  <c r="BT210" i="50"/>
  <c r="BU210" i="50"/>
  <c r="A211" i="50"/>
  <c r="B211" i="50"/>
  <c r="C211" i="50"/>
  <c r="D211" i="50"/>
  <c r="E211" i="50"/>
  <c r="F211" i="50"/>
  <c r="G211" i="50"/>
  <c r="H211" i="50"/>
  <c r="I211" i="50"/>
  <c r="J211" i="50"/>
  <c r="K211" i="50"/>
  <c r="M211" i="50"/>
  <c r="N211" i="50"/>
  <c r="O211" i="50"/>
  <c r="P211" i="50"/>
  <c r="Q211" i="50"/>
  <c r="S211" i="50"/>
  <c r="U211" i="50"/>
  <c r="W211" i="50"/>
  <c r="X211" i="50"/>
  <c r="Y211" i="50"/>
  <c r="AA211" i="50"/>
  <c r="AC211" i="50"/>
  <c r="AD211" i="50"/>
  <c r="AE211" i="50"/>
  <c r="AG211" i="50"/>
  <c r="AI211" i="50"/>
  <c r="AK211" i="50"/>
  <c r="AM211" i="50"/>
  <c r="AN211" i="50"/>
  <c r="AO211" i="50"/>
  <c r="AQ211" i="50"/>
  <c r="AR211" i="50"/>
  <c r="AS211" i="50"/>
  <c r="AU211" i="50"/>
  <c r="AV211" i="50"/>
  <c r="AW211" i="50"/>
  <c r="AX211" i="50"/>
  <c r="AY211" i="50"/>
  <c r="AZ211" i="50"/>
  <c r="BA211" i="50"/>
  <c r="BC211" i="50"/>
  <c r="BD211" i="50"/>
  <c r="BE211" i="50"/>
  <c r="BF211" i="50"/>
  <c r="BG211" i="50"/>
  <c r="BH211" i="50"/>
  <c r="BI211" i="50"/>
  <c r="BJ211" i="50"/>
  <c r="BK211" i="50"/>
  <c r="BL211" i="50"/>
  <c r="BM211" i="50"/>
  <c r="BN211" i="50"/>
  <c r="BO211" i="50"/>
  <c r="BP211" i="50"/>
  <c r="BQ211" i="50"/>
  <c r="BR211" i="50"/>
  <c r="BS211" i="50"/>
  <c r="BT211" i="50"/>
  <c r="BU211" i="50"/>
  <c r="A212" i="50"/>
  <c r="B212" i="50"/>
  <c r="C212" i="50"/>
  <c r="D212" i="50"/>
  <c r="E212" i="50"/>
  <c r="F212" i="50"/>
  <c r="G212" i="50"/>
  <c r="H212" i="50"/>
  <c r="I212" i="50"/>
  <c r="J212" i="50"/>
  <c r="K212" i="50"/>
  <c r="M212" i="50"/>
  <c r="N212" i="50"/>
  <c r="O212" i="50"/>
  <c r="P212" i="50"/>
  <c r="Q212" i="50"/>
  <c r="S212" i="50"/>
  <c r="U212" i="50"/>
  <c r="W212" i="50"/>
  <c r="X212" i="50"/>
  <c r="Y212" i="50"/>
  <c r="AA212" i="50"/>
  <c r="AC212" i="50"/>
  <c r="AD212" i="50"/>
  <c r="AE212" i="50"/>
  <c r="AG212" i="50"/>
  <c r="AI212" i="50"/>
  <c r="AK212" i="50"/>
  <c r="AM212" i="50"/>
  <c r="AN212" i="50"/>
  <c r="AO212" i="50"/>
  <c r="AQ212" i="50"/>
  <c r="AR212" i="50"/>
  <c r="AS212" i="50"/>
  <c r="AU212" i="50"/>
  <c r="AV212" i="50"/>
  <c r="AW212" i="50"/>
  <c r="AX212" i="50"/>
  <c r="AY212" i="50"/>
  <c r="AZ212" i="50"/>
  <c r="BA212" i="50"/>
  <c r="BC212" i="50"/>
  <c r="BD212" i="50"/>
  <c r="BE212" i="50"/>
  <c r="BF212" i="50"/>
  <c r="BG212" i="50"/>
  <c r="BH212" i="50"/>
  <c r="BI212" i="50"/>
  <c r="BJ212" i="50"/>
  <c r="BK212" i="50"/>
  <c r="BL212" i="50"/>
  <c r="BM212" i="50"/>
  <c r="BN212" i="50"/>
  <c r="BO212" i="50"/>
  <c r="BP212" i="50"/>
  <c r="BQ212" i="50"/>
  <c r="BR212" i="50"/>
  <c r="BS212" i="50"/>
  <c r="BT212" i="50"/>
  <c r="BU212" i="50"/>
  <c r="A213" i="50"/>
  <c r="B213" i="50"/>
  <c r="C213" i="50"/>
  <c r="D213" i="50"/>
  <c r="E213" i="50"/>
  <c r="F213" i="50"/>
  <c r="G213" i="50"/>
  <c r="H213" i="50"/>
  <c r="I213" i="50"/>
  <c r="J213" i="50"/>
  <c r="K213" i="50"/>
  <c r="M213" i="50"/>
  <c r="N213" i="50"/>
  <c r="O213" i="50"/>
  <c r="P213" i="50"/>
  <c r="Q213" i="50"/>
  <c r="S213" i="50"/>
  <c r="U213" i="50"/>
  <c r="W213" i="50"/>
  <c r="X213" i="50"/>
  <c r="Y213" i="50"/>
  <c r="AA213" i="50"/>
  <c r="AC213" i="50"/>
  <c r="AD213" i="50"/>
  <c r="AE213" i="50"/>
  <c r="AG213" i="50"/>
  <c r="AI213" i="50"/>
  <c r="AK213" i="50"/>
  <c r="AM213" i="50"/>
  <c r="AN213" i="50"/>
  <c r="AO213" i="50"/>
  <c r="AQ213" i="50"/>
  <c r="AR213" i="50"/>
  <c r="AS213" i="50"/>
  <c r="AU213" i="50"/>
  <c r="AV213" i="50"/>
  <c r="AW213" i="50"/>
  <c r="AX213" i="50"/>
  <c r="AY213" i="50"/>
  <c r="AZ213" i="50"/>
  <c r="BA213" i="50"/>
  <c r="BC213" i="50"/>
  <c r="BD213" i="50"/>
  <c r="BE213" i="50"/>
  <c r="BF213" i="50"/>
  <c r="BG213" i="50"/>
  <c r="BH213" i="50"/>
  <c r="BI213" i="50"/>
  <c r="BJ213" i="50"/>
  <c r="BK213" i="50"/>
  <c r="BL213" i="50"/>
  <c r="BM213" i="50"/>
  <c r="BN213" i="50"/>
  <c r="BO213" i="50"/>
  <c r="BP213" i="50"/>
  <c r="BQ213" i="50"/>
  <c r="BR213" i="50"/>
  <c r="BS213" i="50"/>
  <c r="BT213" i="50"/>
  <c r="BU213" i="50"/>
  <c r="A214" i="50"/>
  <c r="B214" i="50"/>
  <c r="C214" i="50"/>
  <c r="D214" i="50"/>
  <c r="E214" i="50"/>
  <c r="F214" i="50"/>
  <c r="G214" i="50"/>
  <c r="H214" i="50"/>
  <c r="I214" i="50"/>
  <c r="J214" i="50"/>
  <c r="K214" i="50"/>
  <c r="M214" i="50"/>
  <c r="N214" i="50"/>
  <c r="O214" i="50"/>
  <c r="P214" i="50"/>
  <c r="Q214" i="50"/>
  <c r="S214" i="50"/>
  <c r="U214" i="50"/>
  <c r="W214" i="50"/>
  <c r="X214" i="50"/>
  <c r="Y214" i="50"/>
  <c r="AA214" i="50"/>
  <c r="AC214" i="50"/>
  <c r="AD214" i="50"/>
  <c r="AE214" i="50"/>
  <c r="AG214" i="50"/>
  <c r="AI214" i="50"/>
  <c r="AK214" i="50"/>
  <c r="AM214" i="50"/>
  <c r="AN214" i="50"/>
  <c r="AO214" i="50"/>
  <c r="AQ214" i="50"/>
  <c r="AR214" i="50"/>
  <c r="AS214" i="50"/>
  <c r="AU214" i="50"/>
  <c r="AV214" i="50"/>
  <c r="AW214" i="50"/>
  <c r="AX214" i="50"/>
  <c r="AY214" i="50"/>
  <c r="AZ214" i="50"/>
  <c r="BA214" i="50"/>
  <c r="BC214" i="50"/>
  <c r="BD214" i="50"/>
  <c r="BE214" i="50"/>
  <c r="BF214" i="50"/>
  <c r="BG214" i="50"/>
  <c r="BH214" i="50"/>
  <c r="BI214" i="50"/>
  <c r="BJ214" i="50"/>
  <c r="BK214" i="50"/>
  <c r="BL214" i="50"/>
  <c r="BM214" i="50"/>
  <c r="BN214" i="50"/>
  <c r="BO214" i="50"/>
  <c r="BP214" i="50"/>
  <c r="BQ214" i="50"/>
  <c r="BR214" i="50"/>
  <c r="BS214" i="50"/>
  <c r="BT214" i="50"/>
  <c r="BU214" i="50"/>
  <c r="A215" i="50"/>
  <c r="B215" i="50"/>
  <c r="C215" i="50"/>
  <c r="D215" i="50"/>
  <c r="E215" i="50"/>
  <c r="F215" i="50"/>
  <c r="G215" i="50"/>
  <c r="H215" i="50"/>
  <c r="I215" i="50"/>
  <c r="J215" i="50"/>
  <c r="K215" i="50"/>
  <c r="M215" i="50"/>
  <c r="N215" i="50"/>
  <c r="O215" i="50"/>
  <c r="P215" i="50"/>
  <c r="Q215" i="50"/>
  <c r="S215" i="50"/>
  <c r="U215" i="50"/>
  <c r="W215" i="50"/>
  <c r="X215" i="50"/>
  <c r="Y215" i="50"/>
  <c r="AA215" i="50"/>
  <c r="AC215" i="50"/>
  <c r="AD215" i="50"/>
  <c r="AE215" i="50"/>
  <c r="AG215" i="50"/>
  <c r="AI215" i="50"/>
  <c r="AK215" i="50"/>
  <c r="AM215" i="50"/>
  <c r="AN215" i="50"/>
  <c r="AO215" i="50"/>
  <c r="AQ215" i="50"/>
  <c r="AR215" i="50"/>
  <c r="AS215" i="50"/>
  <c r="AU215" i="50"/>
  <c r="AV215" i="50"/>
  <c r="AW215" i="50"/>
  <c r="AX215" i="50"/>
  <c r="AY215" i="50"/>
  <c r="AZ215" i="50"/>
  <c r="BA215" i="50"/>
  <c r="BC215" i="50"/>
  <c r="BD215" i="50"/>
  <c r="BE215" i="50"/>
  <c r="BF215" i="50"/>
  <c r="BG215" i="50"/>
  <c r="BH215" i="50"/>
  <c r="BI215" i="50"/>
  <c r="BJ215" i="50"/>
  <c r="BK215" i="50"/>
  <c r="BL215" i="50"/>
  <c r="BM215" i="50"/>
  <c r="BN215" i="50"/>
  <c r="BO215" i="50"/>
  <c r="BP215" i="50"/>
  <c r="BQ215" i="50"/>
  <c r="BR215" i="50"/>
  <c r="BS215" i="50"/>
  <c r="BT215" i="50"/>
  <c r="BU215" i="50"/>
  <c r="A216" i="50"/>
  <c r="B216" i="50"/>
  <c r="C216" i="50"/>
  <c r="D216" i="50"/>
  <c r="E216" i="50"/>
  <c r="F216" i="50"/>
  <c r="G216" i="50"/>
  <c r="H216" i="50"/>
  <c r="I216" i="50"/>
  <c r="J216" i="50"/>
  <c r="K216" i="50"/>
  <c r="M216" i="50"/>
  <c r="N216" i="50"/>
  <c r="O216" i="50"/>
  <c r="P216" i="50"/>
  <c r="Q216" i="50"/>
  <c r="S216" i="50"/>
  <c r="U216" i="50"/>
  <c r="W216" i="50"/>
  <c r="X216" i="50"/>
  <c r="Y216" i="50"/>
  <c r="AA216" i="50"/>
  <c r="AC216" i="50"/>
  <c r="AD216" i="50"/>
  <c r="AE216" i="50"/>
  <c r="AG216" i="50"/>
  <c r="AI216" i="50"/>
  <c r="AK216" i="50"/>
  <c r="AM216" i="50"/>
  <c r="AN216" i="50"/>
  <c r="AO216" i="50"/>
  <c r="AQ216" i="50"/>
  <c r="AR216" i="50"/>
  <c r="AS216" i="50"/>
  <c r="AU216" i="50"/>
  <c r="AV216" i="50"/>
  <c r="AW216" i="50"/>
  <c r="AX216" i="50"/>
  <c r="AY216" i="50"/>
  <c r="AZ216" i="50"/>
  <c r="BA216" i="50"/>
  <c r="BC216" i="50"/>
  <c r="BD216" i="50"/>
  <c r="BE216" i="50"/>
  <c r="BF216" i="50"/>
  <c r="BG216" i="50"/>
  <c r="BH216" i="50"/>
  <c r="BI216" i="50"/>
  <c r="BJ216" i="50"/>
  <c r="BK216" i="50"/>
  <c r="BL216" i="50"/>
  <c r="BM216" i="50"/>
  <c r="BN216" i="50"/>
  <c r="BO216" i="50"/>
  <c r="BP216" i="50"/>
  <c r="BQ216" i="50"/>
  <c r="BR216" i="50"/>
  <c r="BS216" i="50"/>
  <c r="BT216" i="50"/>
  <c r="BU216" i="50"/>
  <c r="A217" i="50"/>
  <c r="B217" i="50"/>
  <c r="C217" i="50"/>
  <c r="D217" i="50"/>
  <c r="E217" i="50"/>
  <c r="F217" i="50"/>
  <c r="G217" i="50"/>
  <c r="H217" i="50"/>
  <c r="I217" i="50"/>
  <c r="J217" i="50"/>
  <c r="K217" i="50"/>
  <c r="M217" i="50"/>
  <c r="N217" i="50"/>
  <c r="O217" i="50"/>
  <c r="P217" i="50"/>
  <c r="Q217" i="50"/>
  <c r="S217" i="50"/>
  <c r="U217" i="50"/>
  <c r="W217" i="50"/>
  <c r="X217" i="50"/>
  <c r="Y217" i="50"/>
  <c r="AA217" i="50"/>
  <c r="AC217" i="50"/>
  <c r="AD217" i="50"/>
  <c r="AE217" i="50"/>
  <c r="AG217" i="50"/>
  <c r="AI217" i="50"/>
  <c r="AK217" i="50"/>
  <c r="AM217" i="50"/>
  <c r="AN217" i="50"/>
  <c r="AO217" i="50"/>
  <c r="AQ217" i="50"/>
  <c r="AR217" i="50"/>
  <c r="AS217" i="50"/>
  <c r="AU217" i="50"/>
  <c r="AV217" i="50"/>
  <c r="AW217" i="50"/>
  <c r="AX217" i="50"/>
  <c r="AY217" i="50"/>
  <c r="AZ217" i="50"/>
  <c r="BA217" i="50"/>
  <c r="BC217" i="50"/>
  <c r="BD217" i="50"/>
  <c r="BE217" i="50"/>
  <c r="BF217" i="50"/>
  <c r="BG217" i="50"/>
  <c r="BH217" i="50"/>
  <c r="BI217" i="50"/>
  <c r="BJ217" i="50"/>
  <c r="BK217" i="50"/>
  <c r="BL217" i="50"/>
  <c r="BM217" i="50"/>
  <c r="BN217" i="50"/>
  <c r="BO217" i="50"/>
  <c r="BP217" i="50"/>
  <c r="BQ217" i="50"/>
  <c r="BR217" i="50"/>
  <c r="BS217" i="50"/>
  <c r="BT217" i="50"/>
  <c r="BU217" i="50"/>
  <c r="A218" i="50"/>
  <c r="B218" i="50"/>
  <c r="C218" i="50"/>
  <c r="D218" i="50"/>
  <c r="E218" i="50"/>
  <c r="F218" i="50"/>
  <c r="G218" i="50"/>
  <c r="H218" i="50"/>
  <c r="I218" i="50"/>
  <c r="J218" i="50"/>
  <c r="K218" i="50"/>
  <c r="M218" i="50"/>
  <c r="N218" i="50"/>
  <c r="O218" i="50"/>
  <c r="P218" i="50"/>
  <c r="Q218" i="50"/>
  <c r="S218" i="50"/>
  <c r="U218" i="50"/>
  <c r="W218" i="50"/>
  <c r="X218" i="50"/>
  <c r="Y218" i="50"/>
  <c r="AA218" i="50"/>
  <c r="AC218" i="50"/>
  <c r="AD218" i="50"/>
  <c r="AE218" i="50"/>
  <c r="AG218" i="50"/>
  <c r="AI218" i="50"/>
  <c r="AK218" i="50"/>
  <c r="AM218" i="50"/>
  <c r="AN218" i="50"/>
  <c r="AO218" i="50"/>
  <c r="AQ218" i="50"/>
  <c r="AR218" i="50"/>
  <c r="AS218" i="50"/>
  <c r="AU218" i="50"/>
  <c r="AV218" i="50"/>
  <c r="AW218" i="50"/>
  <c r="AX218" i="50"/>
  <c r="AY218" i="50"/>
  <c r="AZ218" i="50"/>
  <c r="BA218" i="50"/>
  <c r="BC218" i="50"/>
  <c r="BD218" i="50"/>
  <c r="BE218" i="50"/>
  <c r="BF218" i="50"/>
  <c r="BG218" i="50"/>
  <c r="BH218" i="50"/>
  <c r="BI218" i="50"/>
  <c r="BJ218" i="50"/>
  <c r="BK218" i="50"/>
  <c r="BL218" i="50"/>
  <c r="BM218" i="50"/>
  <c r="BN218" i="50"/>
  <c r="BO218" i="50"/>
  <c r="BP218" i="50"/>
  <c r="BQ218" i="50"/>
  <c r="BR218" i="50"/>
  <c r="BS218" i="50"/>
  <c r="BT218" i="50"/>
  <c r="BU218" i="50"/>
  <c r="A219" i="50"/>
  <c r="B219" i="50"/>
  <c r="C219" i="50"/>
  <c r="D219" i="50"/>
  <c r="E219" i="50"/>
  <c r="F219" i="50"/>
  <c r="G219" i="50"/>
  <c r="H219" i="50"/>
  <c r="I219" i="50"/>
  <c r="J219" i="50"/>
  <c r="K219" i="50"/>
  <c r="M219" i="50"/>
  <c r="N219" i="50"/>
  <c r="O219" i="50"/>
  <c r="P219" i="50"/>
  <c r="Q219" i="50"/>
  <c r="S219" i="50"/>
  <c r="U219" i="50"/>
  <c r="W219" i="50"/>
  <c r="X219" i="50"/>
  <c r="Y219" i="50"/>
  <c r="AA219" i="50"/>
  <c r="AC219" i="50"/>
  <c r="AD219" i="50"/>
  <c r="AE219" i="50"/>
  <c r="AG219" i="50"/>
  <c r="AI219" i="50"/>
  <c r="AK219" i="50"/>
  <c r="AM219" i="50"/>
  <c r="AN219" i="50"/>
  <c r="AO219" i="50"/>
  <c r="AQ219" i="50"/>
  <c r="AR219" i="50"/>
  <c r="AS219" i="50"/>
  <c r="AU219" i="50"/>
  <c r="AV219" i="50"/>
  <c r="AW219" i="50"/>
  <c r="AX219" i="50"/>
  <c r="AY219" i="50"/>
  <c r="AZ219" i="50"/>
  <c r="BA219" i="50"/>
  <c r="BC219" i="50"/>
  <c r="BD219" i="50"/>
  <c r="BE219" i="50"/>
  <c r="BF219" i="50"/>
  <c r="BG219" i="50"/>
  <c r="BH219" i="50"/>
  <c r="BI219" i="50"/>
  <c r="BJ219" i="50"/>
  <c r="BK219" i="50"/>
  <c r="BL219" i="50"/>
  <c r="BM219" i="50"/>
  <c r="BN219" i="50"/>
  <c r="BO219" i="50"/>
  <c r="BP219" i="50"/>
  <c r="BQ219" i="50"/>
  <c r="BR219" i="50"/>
  <c r="BS219" i="50"/>
  <c r="BT219" i="50"/>
  <c r="BU219" i="50"/>
  <c r="A220" i="50"/>
  <c r="B220" i="50"/>
  <c r="C220" i="50"/>
  <c r="D220" i="50"/>
  <c r="E220" i="50"/>
  <c r="F220" i="50"/>
  <c r="G220" i="50"/>
  <c r="H220" i="50"/>
  <c r="I220" i="50"/>
  <c r="J220" i="50"/>
  <c r="K220" i="50"/>
  <c r="M220" i="50"/>
  <c r="N220" i="50"/>
  <c r="O220" i="50"/>
  <c r="P220" i="50"/>
  <c r="Q220" i="50"/>
  <c r="S220" i="50"/>
  <c r="U220" i="50"/>
  <c r="W220" i="50"/>
  <c r="X220" i="50"/>
  <c r="Y220" i="50"/>
  <c r="AA220" i="50"/>
  <c r="AC220" i="50"/>
  <c r="AD220" i="50"/>
  <c r="AE220" i="50"/>
  <c r="AG220" i="50"/>
  <c r="AI220" i="50"/>
  <c r="AK220" i="50"/>
  <c r="AM220" i="50"/>
  <c r="AN220" i="50"/>
  <c r="AO220" i="50"/>
  <c r="AQ220" i="50"/>
  <c r="AR220" i="50"/>
  <c r="AS220" i="50"/>
  <c r="AU220" i="50"/>
  <c r="AV220" i="50"/>
  <c r="AW220" i="50"/>
  <c r="AX220" i="50"/>
  <c r="AY220" i="50"/>
  <c r="AZ220" i="50"/>
  <c r="BA220" i="50"/>
  <c r="BC220" i="50"/>
  <c r="BD220" i="50"/>
  <c r="BE220" i="50"/>
  <c r="BF220" i="50"/>
  <c r="BG220" i="50"/>
  <c r="BH220" i="50"/>
  <c r="BI220" i="50"/>
  <c r="BJ220" i="50"/>
  <c r="BK220" i="50"/>
  <c r="BL220" i="50"/>
  <c r="BM220" i="50"/>
  <c r="BN220" i="50"/>
  <c r="BO220" i="50"/>
  <c r="BP220" i="50"/>
  <c r="BQ220" i="50"/>
  <c r="BR220" i="50"/>
  <c r="BS220" i="50"/>
  <c r="BT220" i="50"/>
  <c r="BU220" i="50"/>
  <c r="A221" i="50"/>
  <c r="B221" i="50"/>
  <c r="C221" i="50"/>
  <c r="D221" i="50"/>
  <c r="E221" i="50"/>
  <c r="F221" i="50"/>
  <c r="G221" i="50"/>
  <c r="H221" i="50"/>
  <c r="I221" i="50"/>
  <c r="J221" i="50"/>
  <c r="K221" i="50"/>
  <c r="M221" i="50"/>
  <c r="N221" i="50"/>
  <c r="O221" i="50"/>
  <c r="P221" i="50"/>
  <c r="Q221" i="50"/>
  <c r="S221" i="50"/>
  <c r="U221" i="50"/>
  <c r="W221" i="50"/>
  <c r="X221" i="50"/>
  <c r="Y221" i="50"/>
  <c r="AA221" i="50"/>
  <c r="AC221" i="50"/>
  <c r="AD221" i="50"/>
  <c r="AE221" i="50"/>
  <c r="AG221" i="50"/>
  <c r="AI221" i="50"/>
  <c r="AK221" i="50"/>
  <c r="AM221" i="50"/>
  <c r="AN221" i="50"/>
  <c r="AO221" i="50"/>
  <c r="AQ221" i="50"/>
  <c r="AR221" i="50"/>
  <c r="AS221" i="50"/>
  <c r="AU221" i="50"/>
  <c r="AV221" i="50"/>
  <c r="AW221" i="50"/>
  <c r="AX221" i="50"/>
  <c r="AY221" i="50"/>
  <c r="AZ221" i="50"/>
  <c r="BA221" i="50"/>
  <c r="BC221" i="50"/>
  <c r="BD221" i="50"/>
  <c r="BE221" i="50"/>
  <c r="BF221" i="50"/>
  <c r="BG221" i="50"/>
  <c r="BH221" i="50"/>
  <c r="BI221" i="50"/>
  <c r="BJ221" i="50"/>
  <c r="BK221" i="50"/>
  <c r="BL221" i="50"/>
  <c r="BM221" i="50"/>
  <c r="BN221" i="50"/>
  <c r="BO221" i="50"/>
  <c r="BP221" i="50"/>
  <c r="BQ221" i="50"/>
  <c r="BR221" i="50"/>
  <c r="BS221" i="50"/>
  <c r="BT221" i="50"/>
  <c r="BU221" i="50"/>
  <c r="A222" i="50"/>
  <c r="B222" i="50"/>
  <c r="C222" i="50"/>
  <c r="D222" i="50"/>
  <c r="E222" i="50"/>
  <c r="F222" i="50"/>
  <c r="G222" i="50"/>
  <c r="H222" i="50"/>
  <c r="I222" i="50"/>
  <c r="J222" i="50"/>
  <c r="K222" i="50"/>
  <c r="M222" i="50"/>
  <c r="N222" i="50"/>
  <c r="O222" i="50"/>
  <c r="P222" i="50"/>
  <c r="Q222" i="50"/>
  <c r="S222" i="50"/>
  <c r="U222" i="50"/>
  <c r="W222" i="50"/>
  <c r="X222" i="50"/>
  <c r="Y222" i="50"/>
  <c r="AA222" i="50"/>
  <c r="AC222" i="50"/>
  <c r="AD222" i="50"/>
  <c r="AE222" i="50"/>
  <c r="AG222" i="50"/>
  <c r="AI222" i="50"/>
  <c r="AK222" i="50"/>
  <c r="AM222" i="50"/>
  <c r="AN222" i="50"/>
  <c r="AO222" i="50"/>
  <c r="AQ222" i="50"/>
  <c r="AR222" i="50"/>
  <c r="AS222" i="50"/>
  <c r="AU222" i="50"/>
  <c r="AV222" i="50"/>
  <c r="AW222" i="50"/>
  <c r="AX222" i="50"/>
  <c r="AY222" i="50"/>
  <c r="AZ222" i="50"/>
  <c r="BA222" i="50"/>
  <c r="BC222" i="50"/>
  <c r="BD222" i="50"/>
  <c r="BE222" i="50"/>
  <c r="BF222" i="50"/>
  <c r="BG222" i="50"/>
  <c r="BH222" i="50"/>
  <c r="BI222" i="50"/>
  <c r="BJ222" i="50"/>
  <c r="BK222" i="50"/>
  <c r="BL222" i="50"/>
  <c r="BM222" i="50"/>
  <c r="BN222" i="50"/>
  <c r="BO222" i="50"/>
  <c r="BP222" i="50"/>
  <c r="BQ222" i="50"/>
  <c r="BR222" i="50"/>
  <c r="BS222" i="50"/>
  <c r="BT222" i="50"/>
  <c r="BU222" i="50"/>
  <c r="A223" i="50"/>
  <c r="B223" i="50"/>
  <c r="C223" i="50"/>
  <c r="D223" i="50"/>
  <c r="E223" i="50"/>
  <c r="F223" i="50"/>
  <c r="G223" i="50"/>
  <c r="H223" i="50"/>
  <c r="I223" i="50"/>
  <c r="J223" i="50"/>
  <c r="K223" i="50"/>
  <c r="M223" i="50"/>
  <c r="N223" i="50"/>
  <c r="O223" i="50"/>
  <c r="P223" i="50"/>
  <c r="Q223" i="50"/>
  <c r="S223" i="50"/>
  <c r="U223" i="50"/>
  <c r="W223" i="50"/>
  <c r="X223" i="50"/>
  <c r="Y223" i="50"/>
  <c r="AA223" i="50"/>
  <c r="AC223" i="50"/>
  <c r="AD223" i="50"/>
  <c r="AE223" i="50"/>
  <c r="AG223" i="50"/>
  <c r="AI223" i="50"/>
  <c r="AK223" i="50"/>
  <c r="AM223" i="50"/>
  <c r="AN223" i="50"/>
  <c r="AO223" i="50"/>
  <c r="AQ223" i="50"/>
  <c r="AR223" i="50"/>
  <c r="AS223" i="50"/>
  <c r="AU223" i="50"/>
  <c r="AV223" i="50"/>
  <c r="AW223" i="50"/>
  <c r="AX223" i="50"/>
  <c r="AY223" i="50"/>
  <c r="AZ223" i="50"/>
  <c r="BA223" i="50"/>
  <c r="BC223" i="50"/>
  <c r="BD223" i="50"/>
  <c r="BE223" i="50"/>
  <c r="BF223" i="50"/>
  <c r="BG223" i="50"/>
  <c r="BH223" i="50"/>
  <c r="BI223" i="50"/>
  <c r="BJ223" i="50"/>
  <c r="BK223" i="50"/>
  <c r="BL223" i="50"/>
  <c r="BM223" i="50"/>
  <c r="BN223" i="50"/>
  <c r="BO223" i="50"/>
  <c r="BP223" i="50"/>
  <c r="BQ223" i="50"/>
  <c r="BR223" i="50"/>
  <c r="BS223" i="50"/>
  <c r="BT223" i="50"/>
  <c r="BU223" i="50"/>
  <c r="A224" i="50"/>
  <c r="B224" i="50"/>
  <c r="C224" i="50"/>
  <c r="D224" i="50"/>
  <c r="E224" i="50"/>
  <c r="F224" i="50"/>
  <c r="G224" i="50"/>
  <c r="H224" i="50"/>
  <c r="I224" i="50"/>
  <c r="J224" i="50"/>
  <c r="K224" i="50"/>
  <c r="M224" i="50"/>
  <c r="N224" i="50"/>
  <c r="O224" i="50"/>
  <c r="P224" i="50"/>
  <c r="Q224" i="50"/>
  <c r="S224" i="50"/>
  <c r="U224" i="50"/>
  <c r="W224" i="50"/>
  <c r="X224" i="50"/>
  <c r="Y224" i="50"/>
  <c r="AA224" i="50"/>
  <c r="AC224" i="50"/>
  <c r="AD224" i="50"/>
  <c r="AE224" i="50"/>
  <c r="AG224" i="50"/>
  <c r="AI224" i="50"/>
  <c r="AK224" i="50"/>
  <c r="AM224" i="50"/>
  <c r="AN224" i="50"/>
  <c r="AO224" i="50"/>
  <c r="AQ224" i="50"/>
  <c r="AR224" i="50"/>
  <c r="AS224" i="50"/>
  <c r="AU224" i="50"/>
  <c r="AV224" i="50"/>
  <c r="AW224" i="50"/>
  <c r="AX224" i="50"/>
  <c r="AY224" i="50"/>
  <c r="AZ224" i="50"/>
  <c r="BA224" i="50"/>
  <c r="BC224" i="50"/>
  <c r="BD224" i="50"/>
  <c r="BE224" i="50"/>
  <c r="BF224" i="50"/>
  <c r="BG224" i="50"/>
  <c r="BH224" i="50"/>
  <c r="BI224" i="50"/>
  <c r="BJ224" i="50"/>
  <c r="BK224" i="50"/>
  <c r="BL224" i="50"/>
  <c r="BM224" i="50"/>
  <c r="BN224" i="50"/>
  <c r="BO224" i="50"/>
  <c r="BP224" i="50"/>
  <c r="BQ224" i="50"/>
  <c r="BR224" i="50"/>
  <c r="BS224" i="50"/>
  <c r="BT224" i="50"/>
  <c r="BU224" i="50"/>
  <c r="A225" i="50"/>
  <c r="B225" i="50"/>
  <c r="C225" i="50"/>
  <c r="D225" i="50"/>
  <c r="E225" i="50"/>
  <c r="F225" i="50"/>
  <c r="G225" i="50"/>
  <c r="H225" i="50"/>
  <c r="I225" i="50"/>
  <c r="J225" i="50"/>
  <c r="K225" i="50"/>
  <c r="M225" i="50"/>
  <c r="N225" i="50"/>
  <c r="O225" i="50"/>
  <c r="P225" i="50"/>
  <c r="Q225" i="50"/>
  <c r="S225" i="50"/>
  <c r="U225" i="50"/>
  <c r="W225" i="50"/>
  <c r="X225" i="50"/>
  <c r="Y225" i="50"/>
  <c r="AA225" i="50"/>
  <c r="AC225" i="50"/>
  <c r="AD225" i="50"/>
  <c r="AE225" i="50"/>
  <c r="AG225" i="50"/>
  <c r="AI225" i="50"/>
  <c r="AK225" i="50"/>
  <c r="AM225" i="50"/>
  <c r="AN225" i="50"/>
  <c r="AO225" i="50"/>
  <c r="AQ225" i="50"/>
  <c r="AR225" i="50"/>
  <c r="AS225" i="50"/>
  <c r="AU225" i="50"/>
  <c r="AV225" i="50"/>
  <c r="AW225" i="50"/>
  <c r="AX225" i="50"/>
  <c r="AY225" i="50"/>
  <c r="AZ225" i="50"/>
  <c r="BA225" i="50"/>
  <c r="BC225" i="50"/>
  <c r="BD225" i="50"/>
  <c r="BE225" i="50"/>
  <c r="BF225" i="50"/>
  <c r="BG225" i="50"/>
  <c r="BH225" i="50"/>
  <c r="BI225" i="50"/>
  <c r="BJ225" i="50"/>
  <c r="BK225" i="50"/>
  <c r="BL225" i="50"/>
  <c r="BM225" i="50"/>
  <c r="BN225" i="50"/>
  <c r="BO225" i="50"/>
  <c r="BP225" i="50"/>
  <c r="BQ225" i="50"/>
  <c r="BR225" i="50"/>
  <c r="BS225" i="50"/>
  <c r="BT225" i="50"/>
  <c r="BU225" i="50"/>
  <c r="A226" i="50"/>
  <c r="B226" i="50"/>
  <c r="C226" i="50"/>
  <c r="D226" i="50"/>
  <c r="E226" i="50"/>
  <c r="F226" i="50"/>
  <c r="G226" i="50"/>
  <c r="H226" i="50"/>
  <c r="I226" i="50"/>
  <c r="J226" i="50"/>
  <c r="K226" i="50"/>
  <c r="M226" i="50"/>
  <c r="N226" i="50"/>
  <c r="O226" i="50"/>
  <c r="P226" i="50"/>
  <c r="Q226" i="50"/>
  <c r="S226" i="50"/>
  <c r="U226" i="50"/>
  <c r="W226" i="50"/>
  <c r="X226" i="50"/>
  <c r="Y226" i="50"/>
  <c r="AA226" i="50"/>
  <c r="AC226" i="50"/>
  <c r="AD226" i="50"/>
  <c r="AE226" i="50"/>
  <c r="AG226" i="50"/>
  <c r="AI226" i="50"/>
  <c r="AK226" i="50"/>
  <c r="AM226" i="50"/>
  <c r="AN226" i="50"/>
  <c r="AO226" i="50"/>
  <c r="AQ226" i="50"/>
  <c r="AR226" i="50"/>
  <c r="AS226" i="50"/>
  <c r="AU226" i="50"/>
  <c r="AV226" i="50"/>
  <c r="AW226" i="50"/>
  <c r="AX226" i="50"/>
  <c r="AY226" i="50"/>
  <c r="AZ226" i="50"/>
  <c r="BA226" i="50"/>
  <c r="BC226" i="50"/>
  <c r="BD226" i="50"/>
  <c r="BE226" i="50"/>
  <c r="BF226" i="50"/>
  <c r="BG226" i="50"/>
  <c r="BH226" i="50"/>
  <c r="BI226" i="50"/>
  <c r="BJ226" i="50"/>
  <c r="BK226" i="50"/>
  <c r="BL226" i="50"/>
  <c r="BM226" i="50"/>
  <c r="BN226" i="50"/>
  <c r="BO226" i="50"/>
  <c r="BP226" i="50"/>
  <c r="BQ226" i="50"/>
  <c r="BR226" i="50"/>
  <c r="BS226" i="50"/>
  <c r="BT226" i="50"/>
  <c r="BU226" i="50"/>
  <c r="A227" i="50"/>
  <c r="B227" i="50"/>
  <c r="C227" i="50"/>
  <c r="D227" i="50"/>
  <c r="E227" i="50"/>
  <c r="F227" i="50"/>
  <c r="G227" i="50"/>
  <c r="H227" i="50"/>
  <c r="I227" i="50"/>
  <c r="J227" i="50"/>
  <c r="K227" i="50"/>
  <c r="M227" i="50"/>
  <c r="N227" i="50"/>
  <c r="O227" i="50"/>
  <c r="P227" i="50"/>
  <c r="Q227" i="50"/>
  <c r="S227" i="50"/>
  <c r="U227" i="50"/>
  <c r="W227" i="50"/>
  <c r="X227" i="50"/>
  <c r="Y227" i="50"/>
  <c r="AA227" i="50"/>
  <c r="AC227" i="50"/>
  <c r="AD227" i="50"/>
  <c r="AE227" i="50"/>
  <c r="AG227" i="50"/>
  <c r="AI227" i="50"/>
  <c r="AK227" i="50"/>
  <c r="AM227" i="50"/>
  <c r="AN227" i="50"/>
  <c r="AO227" i="50"/>
  <c r="AQ227" i="50"/>
  <c r="AR227" i="50"/>
  <c r="AS227" i="50"/>
  <c r="AU227" i="50"/>
  <c r="AV227" i="50"/>
  <c r="AW227" i="50"/>
  <c r="AX227" i="50"/>
  <c r="AY227" i="50"/>
  <c r="AZ227" i="50"/>
  <c r="BA227" i="50"/>
  <c r="BC227" i="50"/>
  <c r="BD227" i="50"/>
  <c r="BE227" i="50"/>
  <c r="BF227" i="50"/>
  <c r="BG227" i="50"/>
  <c r="BH227" i="50"/>
  <c r="BI227" i="50"/>
  <c r="BJ227" i="50"/>
  <c r="BK227" i="50"/>
  <c r="BL227" i="50"/>
  <c r="BM227" i="50"/>
  <c r="BN227" i="50"/>
  <c r="BO227" i="50"/>
  <c r="BP227" i="50"/>
  <c r="BQ227" i="50"/>
  <c r="BR227" i="50"/>
  <c r="BS227" i="50"/>
  <c r="BT227" i="50"/>
  <c r="BU227" i="50"/>
  <c r="A228" i="50"/>
  <c r="B228" i="50"/>
  <c r="C228" i="50"/>
  <c r="D228" i="50"/>
  <c r="E228" i="50"/>
  <c r="F228" i="50"/>
  <c r="G228" i="50"/>
  <c r="H228" i="50"/>
  <c r="I228" i="50"/>
  <c r="J228" i="50"/>
  <c r="K228" i="50"/>
  <c r="M228" i="50"/>
  <c r="N228" i="50"/>
  <c r="O228" i="50"/>
  <c r="P228" i="50"/>
  <c r="Q228" i="50"/>
  <c r="S228" i="50"/>
  <c r="U228" i="50"/>
  <c r="W228" i="50"/>
  <c r="X228" i="50"/>
  <c r="Y228" i="50"/>
  <c r="AA228" i="50"/>
  <c r="AC228" i="50"/>
  <c r="AD228" i="50"/>
  <c r="AE228" i="50"/>
  <c r="AG228" i="50"/>
  <c r="AI228" i="50"/>
  <c r="AK228" i="50"/>
  <c r="AM228" i="50"/>
  <c r="AN228" i="50"/>
  <c r="AO228" i="50"/>
  <c r="AQ228" i="50"/>
  <c r="AR228" i="50"/>
  <c r="AS228" i="50"/>
  <c r="AU228" i="50"/>
  <c r="AV228" i="50"/>
  <c r="AW228" i="50"/>
  <c r="AX228" i="50"/>
  <c r="AY228" i="50"/>
  <c r="AZ228" i="50"/>
  <c r="BA228" i="50"/>
  <c r="BC228" i="50"/>
  <c r="BD228" i="50"/>
  <c r="BE228" i="50"/>
  <c r="BF228" i="50"/>
  <c r="BG228" i="50"/>
  <c r="BH228" i="50"/>
  <c r="BI228" i="50"/>
  <c r="BJ228" i="50"/>
  <c r="BK228" i="50"/>
  <c r="BL228" i="50"/>
  <c r="BM228" i="50"/>
  <c r="BN228" i="50"/>
  <c r="BO228" i="50"/>
  <c r="BP228" i="50"/>
  <c r="BQ228" i="50"/>
  <c r="BR228" i="50"/>
  <c r="BS228" i="50"/>
  <c r="BT228" i="50"/>
  <c r="BU228" i="50"/>
  <c r="A229" i="50"/>
  <c r="B229" i="50"/>
  <c r="C229" i="50"/>
  <c r="D229" i="50"/>
  <c r="E229" i="50"/>
  <c r="F229" i="50"/>
  <c r="G229" i="50"/>
  <c r="H229" i="50"/>
  <c r="I229" i="50"/>
  <c r="J229" i="50"/>
  <c r="K229" i="50"/>
  <c r="M229" i="50"/>
  <c r="N229" i="50"/>
  <c r="O229" i="50"/>
  <c r="P229" i="50"/>
  <c r="Q229" i="50"/>
  <c r="S229" i="50"/>
  <c r="U229" i="50"/>
  <c r="W229" i="50"/>
  <c r="X229" i="50"/>
  <c r="Y229" i="50"/>
  <c r="AA229" i="50"/>
  <c r="AC229" i="50"/>
  <c r="AD229" i="50"/>
  <c r="AE229" i="50"/>
  <c r="AG229" i="50"/>
  <c r="AI229" i="50"/>
  <c r="AK229" i="50"/>
  <c r="AM229" i="50"/>
  <c r="AN229" i="50"/>
  <c r="AO229" i="50"/>
  <c r="AQ229" i="50"/>
  <c r="AR229" i="50"/>
  <c r="AS229" i="50"/>
  <c r="AU229" i="50"/>
  <c r="AV229" i="50"/>
  <c r="AW229" i="50"/>
  <c r="AX229" i="50"/>
  <c r="AY229" i="50"/>
  <c r="AZ229" i="50"/>
  <c r="BA229" i="50"/>
  <c r="BC229" i="50"/>
  <c r="BD229" i="50"/>
  <c r="BE229" i="50"/>
  <c r="BF229" i="50"/>
  <c r="BG229" i="50"/>
  <c r="BH229" i="50"/>
  <c r="BI229" i="50"/>
  <c r="BJ229" i="50"/>
  <c r="BK229" i="50"/>
  <c r="BL229" i="50"/>
  <c r="BM229" i="50"/>
  <c r="BN229" i="50"/>
  <c r="BO229" i="50"/>
  <c r="BP229" i="50"/>
  <c r="BQ229" i="50"/>
  <c r="BR229" i="50"/>
  <c r="BS229" i="50"/>
  <c r="BT229" i="50"/>
  <c r="BU229" i="50"/>
  <c r="A230" i="50"/>
  <c r="B230" i="50"/>
  <c r="C230" i="50"/>
  <c r="D230" i="50"/>
  <c r="E230" i="50"/>
  <c r="F230" i="50"/>
  <c r="G230" i="50"/>
  <c r="H230" i="50"/>
  <c r="I230" i="50"/>
  <c r="J230" i="50"/>
  <c r="K230" i="50"/>
  <c r="M230" i="50"/>
  <c r="N230" i="50"/>
  <c r="O230" i="50"/>
  <c r="P230" i="50"/>
  <c r="Q230" i="50"/>
  <c r="S230" i="50"/>
  <c r="U230" i="50"/>
  <c r="W230" i="50"/>
  <c r="X230" i="50"/>
  <c r="Y230" i="50"/>
  <c r="AA230" i="50"/>
  <c r="AC230" i="50"/>
  <c r="AD230" i="50"/>
  <c r="AE230" i="50"/>
  <c r="AG230" i="50"/>
  <c r="AI230" i="50"/>
  <c r="AK230" i="50"/>
  <c r="AM230" i="50"/>
  <c r="AN230" i="50"/>
  <c r="AO230" i="50"/>
  <c r="AQ230" i="50"/>
  <c r="AR230" i="50"/>
  <c r="AS230" i="50"/>
  <c r="AU230" i="50"/>
  <c r="AV230" i="50"/>
  <c r="AW230" i="50"/>
  <c r="AX230" i="50"/>
  <c r="AY230" i="50"/>
  <c r="AZ230" i="50"/>
  <c r="BA230" i="50"/>
  <c r="BC230" i="50"/>
  <c r="BD230" i="50"/>
  <c r="BE230" i="50"/>
  <c r="BF230" i="50"/>
  <c r="BG230" i="50"/>
  <c r="BH230" i="50"/>
  <c r="BI230" i="50"/>
  <c r="BJ230" i="50"/>
  <c r="BK230" i="50"/>
  <c r="BL230" i="50"/>
  <c r="BM230" i="50"/>
  <c r="BN230" i="50"/>
  <c r="BO230" i="50"/>
  <c r="BP230" i="50"/>
  <c r="BQ230" i="50"/>
  <c r="BR230" i="50"/>
  <c r="BS230" i="50"/>
  <c r="BT230" i="50"/>
  <c r="BU230" i="50"/>
  <c r="A231" i="50"/>
  <c r="B231" i="50"/>
  <c r="C231" i="50"/>
  <c r="D231" i="50"/>
  <c r="E231" i="50"/>
  <c r="F231" i="50"/>
  <c r="G231" i="50"/>
  <c r="H231" i="50"/>
  <c r="I231" i="50"/>
  <c r="J231" i="50"/>
  <c r="K231" i="50"/>
  <c r="M231" i="50"/>
  <c r="N231" i="50"/>
  <c r="O231" i="50"/>
  <c r="P231" i="50"/>
  <c r="Q231" i="50"/>
  <c r="S231" i="50"/>
  <c r="U231" i="50"/>
  <c r="W231" i="50"/>
  <c r="X231" i="50"/>
  <c r="Y231" i="50"/>
  <c r="AA231" i="50"/>
  <c r="AC231" i="50"/>
  <c r="AD231" i="50"/>
  <c r="AE231" i="50"/>
  <c r="AG231" i="50"/>
  <c r="AI231" i="50"/>
  <c r="AK231" i="50"/>
  <c r="AM231" i="50"/>
  <c r="AN231" i="50"/>
  <c r="AO231" i="50"/>
  <c r="AQ231" i="50"/>
  <c r="AR231" i="50"/>
  <c r="AS231" i="50"/>
  <c r="AU231" i="50"/>
  <c r="AV231" i="50"/>
  <c r="AW231" i="50"/>
  <c r="AX231" i="50"/>
  <c r="AY231" i="50"/>
  <c r="AZ231" i="50"/>
  <c r="BA231" i="50"/>
  <c r="BC231" i="50"/>
  <c r="BD231" i="50"/>
  <c r="BE231" i="50"/>
  <c r="BF231" i="50"/>
  <c r="BG231" i="50"/>
  <c r="BH231" i="50"/>
  <c r="BI231" i="50"/>
  <c r="BJ231" i="50"/>
  <c r="BK231" i="50"/>
  <c r="BL231" i="50"/>
  <c r="BM231" i="50"/>
  <c r="BN231" i="50"/>
  <c r="BO231" i="50"/>
  <c r="BP231" i="50"/>
  <c r="BQ231" i="50"/>
  <c r="BR231" i="50"/>
  <c r="BS231" i="50"/>
  <c r="BT231" i="50"/>
  <c r="BU231" i="50"/>
  <c r="A232" i="50"/>
  <c r="B232" i="50"/>
  <c r="C232" i="50"/>
  <c r="D232" i="50"/>
  <c r="E232" i="50"/>
  <c r="F232" i="50"/>
  <c r="G232" i="50"/>
  <c r="H232" i="50"/>
  <c r="I232" i="50"/>
  <c r="J232" i="50"/>
  <c r="K232" i="50"/>
  <c r="M232" i="50"/>
  <c r="N232" i="50"/>
  <c r="O232" i="50"/>
  <c r="P232" i="50"/>
  <c r="Q232" i="50"/>
  <c r="S232" i="50"/>
  <c r="U232" i="50"/>
  <c r="W232" i="50"/>
  <c r="X232" i="50"/>
  <c r="Y232" i="50"/>
  <c r="AA232" i="50"/>
  <c r="AC232" i="50"/>
  <c r="AD232" i="50"/>
  <c r="AE232" i="50"/>
  <c r="AG232" i="50"/>
  <c r="AI232" i="50"/>
  <c r="AK232" i="50"/>
  <c r="AM232" i="50"/>
  <c r="AN232" i="50"/>
  <c r="AO232" i="50"/>
  <c r="AQ232" i="50"/>
  <c r="AR232" i="50"/>
  <c r="AS232" i="50"/>
  <c r="AU232" i="50"/>
  <c r="AV232" i="50"/>
  <c r="AW232" i="50"/>
  <c r="AX232" i="50"/>
  <c r="AY232" i="50"/>
  <c r="AZ232" i="50"/>
  <c r="BA232" i="50"/>
  <c r="BC232" i="50"/>
  <c r="BD232" i="50"/>
  <c r="BE232" i="50"/>
  <c r="BF232" i="50"/>
  <c r="BG232" i="50"/>
  <c r="BH232" i="50"/>
  <c r="BI232" i="50"/>
  <c r="BJ232" i="50"/>
  <c r="BK232" i="50"/>
  <c r="BL232" i="50"/>
  <c r="BM232" i="50"/>
  <c r="BN232" i="50"/>
  <c r="BO232" i="50"/>
  <c r="BP232" i="50"/>
  <c r="BQ232" i="50"/>
  <c r="BR232" i="50"/>
  <c r="BS232" i="50"/>
  <c r="BT232" i="50"/>
  <c r="BU232" i="50"/>
  <c r="A233" i="50"/>
  <c r="B233" i="50"/>
  <c r="C233" i="50"/>
  <c r="D233" i="50"/>
  <c r="E233" i="50"/>
  <c r="F233" i="50"/>
  <c r="G233" i="50"/>
  <c r="H233" i="50"/>
  <c r="I233" i="50"/>
  <c r="J233" i="50"/>
  <c r="K233" i="50"/>
  <c r="M233" i="50"/>
  <c r="N233" i="50"/>
  <c r="O233" i="50"/>
  <c r="P233" i="50"/>
  <c r="Q233" i="50"/>
  <c r="S233" i="50"/>
  <c r="U233" i="50"/>
  <c r="W233" i="50"/>
  <c r="X233" i="50"/>
  <c r="Y233" i="50"/>
  <c r="AA233" i="50"/>
  <c r="AC233" i="50"/>
  <c r="AD233" i="50"/>
  <c r="AE233" i="50"/>
  <c r="AG233" i="50"/>
  <c r="AI233" i="50"/>
  <c r="AK233" i="50"/>
  <c r="AM233" i="50"/>
  <c r="AN233" i="50"/>
  <c r="AO233" i="50"/>
  <c r="AQ233" i="50"/>
  <c r="AR233" i="50"/>
  <c r="AS233" i="50"/>
  <c r="AU233" i="50"/>
  <c r="AV233" i="50"/>
  <c r="AW233" i="50"/>
  <c r="AX233" i="50"/>
  <c r="AY233" i="50"/>
  <c r="AZ233" i="50"/>
  <c r="BA233" i="50"/>
  <c r="BC233" i="50"/>
  <c r="BD233" i="50"/>
  <c r="BE233" i="50"/>
  <c r="BF233" i="50"/>
  <c r="BG233" i="50"/>
  <c r="BH233" i="50"/>
  <c r="BI233" i="50"/>
  <c r="BJ233" i="50"/>
  <c r="BK233" i="50"/>
  <c r="BL233" i="50"/>
  <c r="BM233" i="50"/>
  <c r="BN233" i="50"/>
  <c r="BO233" i="50"/>
  <c r="BP233" i="50"/>
  <c r="BQ233" i="50"/>
  <c r="BR233" i="50"/>
  <c r="BS233" i="50"/>
  <c r="BT233" i="50"/>
  <c r="BU233" i="50"/>
  <c r="A234" i="50"/>
  <c r="B234" i="50"/>
  <c r="C234" i="50"/>
  <c r="D234" i="50"/>
  <c r="E234" i="50"/>
  <c r="F234" i="50"/>
  <c r="G234" i="50"/>
  <c r="H234" i="50"/>
  <c r="I234" i="50"/>
  <c r="J234" i="50"/>
  <c r="K234" i="50"/>
  <c r="M234" i="50"/>
  <c r="N234" i="50"/>
  <c r="O234" i="50"/>
  <c r="P234" i="50"/>
  <c r="Q234" i="50"/>
  <c r="S234" i="50"/>
  <c r="U234" i="50"/>
  <c r="W234" i="50"/>
  <c r="X234" i="50"/>
  <c r="Y234" i="50"/>
  <c r="AA234" i="50"/>
  <c r="AC234" i="50"/>
  <c r="AD234" i="50"/>
  <c r="AE234" i="50"/>
  <c r="AG234" i="50"/>
  <c r="AI234" i="50"/>
  <c r="AK234" i="50"/>
  <c r="AM234" i="50"/>
  <c r="AN234" i="50"/>
  <c r="AO234" i="50"/>
  <c r="AQ234" i="50"/>
  <c r="AR234" i="50"/>
  <c r="AS234" i="50"/>
  <c r="AU234" i="50"/>
  <c r="AV234" i="50"/>
  <c r="AW234" i="50"/>
  <c r="AX234" i="50"/>
  <c r="AY234" i="50"/>
  <c r="AZ234" i="50"/>
  <c r="BA234" i="50"/>
  <c r="BC234" i="50"/>
  <c r="BD234" i="50"/>
  <c r="BE234" i="50"/>
  <c r="BF234" i="50"/>
  <c r="BG234" i="50"/>
  <c r="BH234" i="50"/>
  <c r="BI234" i="50"/>
  <c r="BJ234" i="50"/>
  <c r="BK234" i="50"/>
  <c r="BL234" i="50"/>
  <c r="BM234" i="50"/>
  <c r="BN234" i="50"/>
  <c r="BO234" i="50"/>
  <c r="BP234" i="50"/>
  <c r="BQ234" i="50"/>
  <c r="BR234" i="50"/>
  <c r="BS234" i="50"/>
  <c r="BT234" i="50"/>
  <c r="BU234" i="50"/>
  <c r="A235" i="50"/>
  <c r="B235" i="50"/>
  <c r="C235" i="50"/>
  <c r="D235" i="50"/>
  <c r="E235" i="50"/>
  <c r="F235" i="50"/>
  <c r="G235" i="50"/>
  <c r="H235" i="50"/>
  <c r="I235" i="50"/>
  <c r="J235" i="50"/>
  <c r="K235" i="50"/>
  <c r="M235" i="50"/>
  <c r="N235" i="50"/>
  <c r="O235" i="50"/>
  <c r="P235" i="50"/>
  <c r="Q235" i="50"/>
  <c r="S235" i="50"/>
  <c r="U235" i="50"/>
  <c r="W235" i="50"/>
  <c r="X235" i="50"/>
  <c r="Y235" i="50"/>
  <c r="AA235" i="50"/>
  <c r="AC235" i="50"/>
  <c r="AD235" i="50"/>
  <c r="AE235" i="50"/>
  <c r="AG235" i="50"/>
  <c r="AI235" i="50"/>
  <c r="AK235" i="50"/>
  <c r="AM235" i="50"/>
  <c r="AN235" i="50"/>
  <c r="AO235" i="50"/>
  <c r="AQ235" i="50"/>
  <c r="AR235" i="50"/>
  <c r="AS235" i="50"/>
  <c r="AU235" i="50"/>
  <c r="AV235" i="50"/>
  <c r="AW235" i="50"/>
  <c r="AX235" i="50"/>
  <c r="AY235" i="50"/>
  <c r="AZ235" i="50"/>
  <c r="BA235" i="50"/>
  <c r="BC235" i="50"/>
  <c r="BD235" i="50"/>
  <c r="BE235" i="50"/>
  <c r="BF235" i="50"/>
  <c r="BG235" i="50"/>
  <c r="BH235" i="50"/>
  <c r="BI235" i="50"/>
  <c r="BJ235" i="50"/>
  <c r="BK235" i="50"/>
  <c r="BL235" i="50"/>
  <c r="BM235" i="50"/>
  <c r="BN235" i="50"/>
  <c r="BO235" i="50"/>
  <c r="BP235" i="50"/>
  <c r="BQ235" i="50"/>
  <c r="BR235" i="50"/>
  <c r="BS235" i="50"/>
  <c r="BT235" i="50"/>
  <c r="BU235" i="50"/>
  <c r="A236" i="50"/>
  <c r="B236" i="50"/>
  <c r="C236" i="50"/>
  <c r="D236" i="50"/>
  <c r="E236" i="50"/>
  <c r="F236" i="50"/>
  <c r="G236" i="50"/>
  <c r="H236" i="50"/>
  <c r="I236" i="50"/>
  <c r="J236" i="50"/>
  <c r="K236" i="50"/>
  <c r="M236" i="50"/>
  <c r="N236" i="50"/>
  <c r="O236" i="50"/>
  <c r="P236" i="50"/>
  <c r="Q236" i="50"/>
  <c r="S236" i="50"/>
  <c r="U236" i="50"/>
  <c r="W236" i="50"/>
  <c r="X236" i="50"/>
  <c r="Y236" i="50"/>
  <c r="AA236" i="50"/>
  <c r="AC236" i="50"/>
  <c r="AD236" i="50"/>
  <c r="AE236" i="50"/>
  <c r="AG236" i="50"/>
  <c r="AI236" i="50"/>
  <c r="AK236" i="50"/>
  <c r="AM236" i="50"/>
  <c r="AN236" i="50"/>
  <c r="AO236" i="50"/>
  <c r="AQ236" i="50"/>
  <c r="AR236" i="50"/>
  <c r="AS236" i="50"/>
  <c r="AU236" i="50"/>
  <c r="AV236" i="50"/>
  <c r="AW236" i="50"/>
  <c r="AX236" i="50"/>
  <c r="AY236" i="50"/>
  <c r="AZ236" i="50"/>
  <c r="BA236" i="50"/>
  <c r="BC236" i="50"/>
  <c r="BD236" i="50"/>
  <c r="BE236" i="50"/>
  <c r="BF236" i="50"/>
  <c r="BG236" i="50"/>
  <c r="BH236" i="50"/>
  <c r="BI236" i="50"/>
  <c r="BJ236" i="50"/>
  <c r="BK236" i="50"/>
  <c r="BL236" i="50"/>
  <c r="BM236" i="50"/>
  <c r="BN236" i="50"/>
  <c r="BO236" i="50"/>
  <c r="BP236" i="50"/>
  <c r="BQ236" i="50"/>
  <c r="BR236" i="50"/>
  <c r="BS236" i="50"/>
  <c r="BT236" i="50"/>
  <c r="BU236" i="50"/>
  <c r="A237" i="50"/>
  <c r="B237" i="50"/>
  <c r="C237" i="50"/>
  <c r="D237" i="50"/>
  <c r="E237" i="50"/>
  <c r="F237" i="50"/>
  <c r="G237" i="50"/>
  <c r="H237" i="50"/>
  <c r="I237" i="50"/>
  <c r="J237" i="50"/>
  <c r="K237" i="50"/>
  <c r="M237" i="50"/>
  <c r="N237" i="50"/>
  <c r="O237" i="50"/>
  <c r="P237" i="50"/>
  <c r="Q237" i="50"/>
  <c r="S237" i="50"/>
  <c r="U237" i="50"/>
  <c r="W237" i="50"/>
  <c r="X237" i="50"/>
  <c r="Y237" i="50"/>
  <c r="AA237" i="50"/>
  <c r="AC237" i="50"/>
  <c r="AD237" i="50"/>
  <c r="AE237" i="50"/>
  <c r="AG237" i="50"/>
  <c r="AI237" i="50"/>
  <c r="AK237" i="50"/>
  <c r="AM237" i="50"/>
  <c r="AN237" i="50"/>
  <c r="AO237" i="50"/>
  <c r="AQ237" i="50"/>
  <c r="AR237" i="50"/>
  <c r="AS237" i="50"/>
  <c r="AU237" i="50"/>
  <c r="AV237" i="50"/>
  <c r="AW237" i="50"/>
  <c r="AX237" i="50"/>
  <c r="AY237" i="50"/>
  <c r="AZ237" i="50"/>
  <c r="BA237" i="50"/>
  <c r="BC237" i="50"/>
  <c r="BD237" i="50"/>
  <c r="BE237" i="50"/>
  <c r="BF237" i="50"/>
  <c r="BG237" i="50"/>
  <c r="BH237" i="50"/>
  <c r="BI237" i="50"/>
  <c r="BJ237" i="50"/>
  <c r="BK237" i="50"/>
  <c r="BL237" i="50"/>
  <c r="BM237" i="50"/>
  <c r="BN237" i="50"/>
  <c r="BO237" i="50"/>
  <c r="BP237" i="50"/>
  <c r="BQ237" i="50"/>
  <c r="BR237" i="50"/>
  <c r="BS237" i="50"/>
  <c r="BT237" i="50"/>
  <c r="BU237" i="50"/>
  <c r="A238" i="50"/>
  <c r="B238" i="50"/>
  <c r="C238" i="50"/>
  <c r="D238" i="50"/>
  <c r="E238" i="50"/>
  <c r="F238" i="50"/>
  <c r="G238" i="50"/>
  <c r="H238" i="50"/>
  <c r="I238" i="50"/>
  <c r="J238" i="50"/>
  <c r="K238" i="50"/>
  <c r="M238" i="50"/>
  <c r="N238" i="50"/>
  <c r="O238" i="50"/>
  <c r="P238" i="50"/>
  <c r="Q238" i="50"/>
  <c r="S238" i="50"/>
  <c r="U238" i="50"/>
  <c r="W238" i="50"/>
  <c r="X238" i="50"/>
  <c r="Y238" i="50"/>
  <c r="AA238" i="50"/>
  <c r="AC238" i="50"/>
  <c r="AD238" i="50"/>
  <c r="AE238" i="50"/>
  <c r="AG238" i="50"/>
  <c r="AI238" i="50"/>
  <c r="AK238" i="50"/>
  <c r="AM238" i="50"/>
  <c r="AN238" i="50"/>
  <c r="AO238" i="50"/>
  <c r="AQ238" i="50"/>
  <c r="AR238" i="50"/>
  <c r="AS238" i="50"/>
  <c r="AU238" i="50"/>
  <c r="AV238" i="50"/>
  <c r="AW238" i="50"/>
  <c r="AX238" i="50"/>
  <c r="AY238" i="50"/>
  <c r="AZ238" i="50"/>
  <c r="BA238" i="50"/>
  <c r="BC238" i="50"/>
  <c r="BD238" i="50"/>
  <c r="BE238" i="50"/>
  <c r="BF238" i="50"/>
  <c r="BG238" i="50"/>
  <c r="BH238" i="50"/>
  <c r="BI238" i="50"/>
  <c r="BJ238" i="50"/>
  <c r="BK238" i="50"/>
  <c r="BL238" i="50"/>
  <c r="BM238" i="50"/>
  <c r="BN238" i="50"/>
  <c r="BO238" i="50"/>
  <c r="BP238" i="50"/>
  <c r="BQ238" i="50"/>
  <c r="BR238" i="50"/>
  <c r="BS238" i="50"/>
  <c r="BT238" i="50"/>
  <c r="BU238" i="50"/>
  <c r="A239" i="50"/>
  <c r="B239" i="50"/>
  <c r="C239" i="50"/>
  <c r="D239" i="50"/>
  <c r="E239" i="50"/>
  <c r="F239" i="50"/>
  <c r="G239" i="50"/>
  <c r="H239" i="50"/>
  <c r="I239" i="50"/>
  <c r="J239" i="50"/>
  <c r="K239" i="50"/>
  <c r="M239" i="50"/>
  <c r="N239" i="50"/>
  <c r="O239" i="50"/>
  <c r="P239" i="50"/>
  <c r="Q239" i="50"/>
  <c r="S239" i="50"/>
  <c r="U239" i="50"/>
  <c r="W239" i="50"/>
  <c r="X239" i="50"/>
  <c r="Y239" i="50"/>
  <c r="AA239" i="50"/>
  <c r="AC239" i="50"/>
  <c r="AD239" i="50"/>
  <c r="AE239" i="50"/>
  <c r="AG239" i="50"/>
  <c r="AI239" i="50"/>
  <c r="AK239" i="50"/>
  <c r="AM239" i="50"/>
  <c r="AN239" i="50"/>
  <c r="AO239" i="50"/>
  <c r="AQ239" i="50"/>
  <c r="AR239" i="50"/>
  <c r="AS239" i="50"/>
  <c r="AU239" i="50"/>
  <c r="AV239" i="50"/>
  <c r="AW239" i="50"/>
  <c r="AX239" i="50"/>
  <c r="AY239" i="50"/>
  <c r="AZ239" i="50"/>
  <c r="BA239" i="50"/>
  <c r="BC239" i="50"/>
  <c r="BD239" i="50"/>
  <c r="BE239" i="50"/>
  <c r="BF239" i="50"/>
  <c r="BG239" i="50"/>
  <c r="BH239" i="50"/>
  <c r="BI239" i="50"/>
  <c r="BJ239" i="50"/>
  <c r="BK239" i="50"/>
  <c r="BL239" i="50"/>
  <c r="BM239" i="50"/>
  <c r="BN239" i="50"/>
  <c r="BO239" i="50"/>
  <c r="BP239" i="50"/>
  <c r="BQ239" i="50"/>
  <c r="BR239" i="50"/>
  <c r="BS239" i="50"/>
  <c r="BT239" i="50"/>
  <c r="BU239" i="50"/>
  <c r="A240" i="50"/>
  <c r="B240" i="50"/>
  <c r="C240" i="50"/>
  <c r="D240" i="50"/>
  <c r="E240" i="50"/>
  <c r="F240" i="50"/>
  <c r="G240" i="50"/>
  <c r="H240" i="50"/>
  <c r="I240" i="50"/>
  <c r="J240" i="50"/>
  <c r="K240" i="50"/>
  <c r="M240" i="50"/>
  <c r="N240" i="50"/>
  <c r="O240" i="50"/>
  <c r="P240" i="50"/>
  <c r="Q240" i="50"/>
  <c r="S240" i="50"/>
  <c r="U240" i="50"/>
  <c r="W240" i="50"/>
  <c r="X240" i="50"/>
  <c r="Y240" i="50"/>
  <c r="AA240" i="50"/>
  <c r="AC240" i="50"/>
  <c r="AD240" i="50"/>
  <c r="AE240" i="50"/>
  <c r="AG240" i="50"/>
  <c r="AI240" i="50"/>
  <c r="AK240" i="50"/>
  <c r="AM240" i="50"/>
  <c r="AN240" i="50"/>
  <c r="AO240" i="50"/>
  <c r="AQ240" i="50"/>
  <c r="AR240" i="50"/>
  <c r="AS240" i="50"/>
  <c r="AU240" i="50"/>
  <c r="AV240" i="50"/>
  <c r="AW240" i="50"/>
  <c r="AX240" i="50"/>
  <c r="AY240" i="50"/>
  <c r="AZ240" i="50"/>
  <c r="BA240" i="50"/>
  <c r="BC240" i="50"/>
  <c r="BD240" i="50"/>
  <c r="BE240" i="50"/>
  <c r="BF240" i="50"/>
  <c r="BG240" i="50"/>
  <c r="BH240" i="50"/>
  <c r="BI240" i="50"/>
  <c r="BJ240" i="50"/>
  <c r="BK240" i="50"/>
  <c r="BL240" i="50"/>
  <c r="BM240" i="50"/>
  <c r="BN240" i="50"/>
  <c r="BO240" i="50"/>
  <c r="BP240" i="50"/>
  <c r="BQ240" i="50"/>
  <c r="BR240" i="50"/>
  <c r="BS240" i="50"/>
  <c r="BT240" i="50"/>
  <c r="BU240" i="50"/>
  <c r="A241" i="50"/>
  <c r="B241" i="50"/>
  <c r="C241" i="50"/>
  <c r="D241" i="50"/>
  <c r="E241" i="50"/>
  <c r="F241" i="50"/>
  <c r="G241" i="50"/>
  <c r="H241" i="50"/>
  <c r="I241" i="50"/>
  <c r="J241" i="50"/>
  <c r="K241" i="50"/>
  <c r="M241" i="50"/>
  <c r="N241" i="50"/>
  <c r="O241" i="50"/>
  <c r="P241" i="50"/>
  <c r="Q241" i="50"/>
  <c r="S241" i="50"/>
  <c r="U241" i="50"/>
  <c r="W241" i="50"/>
  <c r="X241" i="50"/>
  <c r="Y241" i="50"/>
  <c r="AA241" i="50"/>
  <c r="AC241" i="50"/>
  <c r="AD241" i="50"/>
  <c r="AE241" i="50"/>
  <c r="AG241" i="50"/>
  <c r="AI241" i="50"/>
  <c r="AK241" i="50"/>
  <c r="AM241" i="50"/>
  <c r="AN241" i="50"/>
  <c r="AO241" i="50"/>
  <c r="AQ241" i="50"/>
  <c r="AR241" i="50"/>
  <c r="AS241" i="50"/>
  <c r="AU241" i="50"/>
  <c r="AV241" i="50"/>
  <c r="AW241" i="50"/>
  <c r="AX241" i="50"/>
  <c r="AY241" i="50"/>
  <c r="AZ241" i="50"/>
  <c r="BA241" i="50"/>
  <c r="BC241" i="50"/>
  <c r="BD241" i="50"/>
  <c r="BE241" i="50"/>
  <c r="BF241" i="50"/>
  <c r="BG241" i="50"/>
  <c r="BH241" i="50"/>
  <c r="BI241" i="50"/>
  <c r="BJ241" i="50"/>
  <c r="BK241" i="50"/>
  <c r="BL241" i="50"/>
  <c r="BM241" i="50"/>
  <c r="BN241" i="50"/>
  <c r="BO241" i="50"/>
  <c r="BP241" i="50"/>
  <c r="BQ241" i="50"/>
  <c r="BR241" i="50"/>
  <c r="BS241" i="50"/>
  <c r="BT241" i="50"/>
  <c r="BU241" i="50"/>
  <c r="A242" i="50"/>
  <c r="B242" i="50"/>
  <c r="C242" i="50"/>
  <c r="D242" i="50"/>
  <c r="E242" i="50"/>
  <c r="F242" i="50"/>
  <c r="G242" i="50"/>
  <c r="H242" i="50"/>
  <c r="I242" i="50"/>
  <c r="J242" i="50"/>
  <c r="K242" i="50"/>
  <c r="M242" i="50"/>
  <c r="N242" i="50"/>
  <c r="O242" i="50"/>
  <c r="P242" i="50"/>
  <c r="Q242" i="50"/>
  <c r="S242" i="50"/>
  <c r="U242" i="50"/>
  <c r="W242" i="50"/>
  <c r="X242" i="50"/>
  <c r="Y242" i="50"/>
  <c r="AA242" i="50"/>
  <c r="AC242" i="50"/>
  <c r="AD242" i="50"/>
  <c r="AE242" i="50"/>
  <c r="AG242" i="50"/>
  <c r="AI242" i="50"/>
  <c r="AK242" i="50"/>
  <c r="AM242" i="50"/>
  <c r="AN242" i="50"/>
  <c r="AO242" i="50"/>
  <c r="AQ242" i="50"/>
  <c r="AR242" i="50"/>
  <c r="AS242" i="50"/>
  <c r="AU242" i="50"/>
  <c r="AV242" i="50"/>
  <c r="AW242" i="50"/>
  <c r="AX242" i="50"/>
  <c r="AY242" i="50"/>
  <c r="AZ242" i="50"/>
  <c r="BA242" i="50"/>
  <c r="BC242" i="50"/>
  <c r="BD242" i="50"/>
  <c r="BE242" i="50"/>
  <c r="BF242" i="50"/>
  <c r="BG242" i="50"/>
  <c r="BH242" i="50"/>
  <c r="BI242" i="50"/>
  <c r="BJ242" i="50"/>
  <c r="BK242" i="50"/>
  <c r="BL242" i="50"/>
  <c r="BM242" i="50"/>
  <c r="BN242" i="50"/>
  <c r="BO242" i="50"/>
  <c r="BP242" i="50"/>
  <c r="BQ242" i="50"/>
  <c r="BR242" i="50"/>
  <c r="BS242" i="50"/>
  <c r="BT242" i="50"/>
  <c r="BU242" i="50"/>
  <c r="A243" i="50"/>
  <c r="B243" i="50"/>
  <c r="C243" i="50"/>
  <c r="D243" i="50"/>
  <c r="E243" i="50"/>
  <c r="F243" i="50"/>
  <c r="G243" i="50"/>
  <c r="H243" i="50"/>
  <c r="I243" i="50"/>
  <c r="J243" i="50"/>
  <c r="K243" i="50"/>
  <c r="M243" i="50"/>
  <c r="N243" i="50"/>
  <c r="O243" i="50"/>
  <c r="P243" i="50"/>
  <c r="Q243" i="50"/>
  <c r="S243" i="50"/>
  <c r="U243" i="50"/>
  <c r="W243" i="50"/>
  <c r="X243" i="50"/>
  <c r="Y243" i="50"/>
  <c r="AA243" i="50"/>
  <c r="AC243" i="50"/>
  <c r="AD243" i="50"/>
  <c r="AE243" i="50"/>
  <c r="AG243" i="50"/>
  <c r="AI243" i="50"/>
  <c r="AK243" i="50"/>
  <c r="AM243" i="50"/>
  <c r="AN243" i="50"/>
  <c r="AO243" i="50"/>
  <c r="AQ243" i="50"/>
  <c r="AR243" i="50"/>
  <c r="AS243" i="50"/>
  <c r="AU243" i="50"/>
  <c r="AV243" i="50"/>
  <c r="AW243" i="50"/>
  <c r="AX243" i="50"/>
  <c r="AY243" i="50"/>
  <c r="AZ243" i="50"/>
  <c r="BA243" i="50"/>
  <c r="BC243" i="50"/>
  <c r="BD243" i="50"/>
  <c r="BE243" i="50"/>
  <c r="BF243" i="50"/>
  <c r="BG243" i="50"/>
  <c r="BH243" i="50"/>
  <c r="BI243" i="50"/>
  <c r="BJ243" i="50"/>
  <c r="BK243" i="50"/>
  <c r="BL243" i="50"/>
  <c r="BM243" i="50"/>
  <c r="BN243" i="50"/>
  <c r="BO243" i="50"/>
  <c r="BP243" i="50"/>
  <c r="BQ243" i="50"/>
  <c r="BR243" i="50"/>
  <c r="BS243" i="50"/>
  <c r="BT243" i="50"/>
  <c r="BU243" i="50"/>
  <c r="A244" i="50"/>
  <c r="B244" i="50"/>
  <c r="C244" i="50"/>
  <c r="D244" i="50"/>
  <c r="E244" i="50"/>
  <c r="F244" i="50"/>
  <c r="G244" i="50"/>
  <c r="H244" i="50"/>
  <c r="I244" i="50"/>
  <c r="J244" i="50"/>
  <c r="K244" i="50"/>
  <c r="M244" i="50"/>
  <c r="N244" i="50"/>
  <c r="O244" i="50"/>
  <c r="P244" i="50"/>
  <c r="Q244" i="50"/>
  <c r="S244" i="50"/>
  <c r="U244" i="50"/>
  <c r="W244" i="50"/>
  <c r="X244" i="50"/>
  <c r="Y244" i="50"/>
  <c r="AA244" i="50"/>
  <c r="AC244" i="50"/>
  <c r="AD244" i="50"/>
  <c r="AE244" i="50"/>
  <c r="AG244" i="50"/>
  <c r="AI244" i="50"/>
  <c r="AK244" i="50"/>
  <c r="AM244" i="50"/>
  <c r="AN244" i="50"/>
  <c r="AO244" i="50"/>
  <c r="AQ244" i="50"/>
  <c r="AR244" i="50"/>
  <c r="AS244" i="50"/>
  <c r="AU244" i="50"/>
  <c r="AV244" i="50"/>
  <c r="AW244" i="50"/>
  <c r="AX244" i="50"/>
  <c r="AY244" i="50"/>
  <c r="AZ244" i="50"/>
  <c r="BA244" i="50"/>
  <c r="BC244" i="50"/>
  <c r="BD244" i="50"/>
  <c r="BE244" i="50"/>
  <c r="BF244" i="50"/>
  <c r="BG244" i="50"/>
  <c r="BH244" i="50"/>
  <c r="BI244" i="50"/>
  <c r="BJ244" i="50"/>
  <c r="BK244" i="50"/>
  <c r="BL244" i="50"/>
  <c r="BM244" i="50"/>
  <c r="BN244" i="50"/>
  <c r="BO244" i="50"/>
  <c r="BP244" i="50"/>
  <c r="BQ244" i="50"/>
  <c r="BR244" i="50"/>
  <c r="BS244" i="50"/>
  <c r="BT244" i="50"/>
  <c r="BU244" i="50"/>
  <c r="A245" i="50"/>
  <c r="B245" i="50"/>
  <c r="C245" i="50"/>
  <c r="D245" i="50"/>
  <c r="E245" i="50"/>
  <c r="F245" i="50"/>
  <c r="G245" i="50"/>
  <c r="H245" i="50"/>
  <c r="I245" i="50"/>
  <c r="J245" i="50"/>
  <c r="K245" i="50"/>
  <c r="M245" i="50"/>
  <c r="N245" i="50"/>
  <c r="O245" i="50"/>
  <c r="P245" i="50"/>
  <c r="Q245" i="50"/>
  <c r="S245" i="50"/>
  <c r="U245" i="50"/>
  <c r="W245" i="50"/>
  <c r="X245" i="50"/>
  <c r="Y245" i="50"/>
  <c r="AA245" i="50"/>
  <c r="AC245" i="50"/>
  <c r="AD245" i="50"/>
  <c r="AE245" i="50"/>
  <c r="AG245" i="50"/>
  <c r="AI245" i="50"/>
  <c r="AK245" i="50"/>
  <c r="AM245" i="50"/>
  <c r="AN245" i="50"/>
  <c r="AO245" i="50"/>
  <c r="AQ245" i="50"/>
  <c r="AR245" i="50"/>
  <c r="AS245" i="50"/>
  <c r="AU245" i="50"/>
  <c r="AV245" i="50"/>
  <c r="AW245" i="50"/>
  <c r="AX245" i="50"/>
  <c r="AY245" i="50"/>
  <c r="AZ245" i="50"/>
  <c r="BA245" i="50"/>
  <c r="BC245" i="50"/>
  <c r="BD245" i="50"/>
  <c r="BE245" i="50"/>
  <c r="BF245" i="50"/>
  <c r="BG245" i="50"/>
  <c r="BH245" i="50"/>
  <c r="BI245" i="50"/>
  <c r="BJ245" i="50"/>
  <c r="BK245" i="50"/>
  <c r="BL245" i="50"/>
  <c r="BM245" i="50"/>
  <c r="BN245" i="50"/>
  <c r="BO245" i="50"/>
  <c r="BP245" i="50"/>
  <c r="BQ245" i="50"/>
  <c r="BR245" i="50"/>
  <c r="BS245" i="50"/>
  <c r="BT245" i="50"/>
  <c r="BU245" i="50"/>
  <c r="A246" i="50"/>
  <c r="B246" i="50"/>
  <c r="C246" i="50"/>
  <c r="D246" i="50"/>
  <c r="E246" i="50"/>
  <c r="F246" i="50"/>
  <c r="G246" i="50"/>
  <c r="H246" i="50"/>
  <c r="I246" i="50"/>
  <c r="J246" i="50"/>
  <c r="K246" i="50"/>
  <c r="M246" i="50"/>
  <c r="N246" i="50"/>
  <c r="O246" i="50"/>
  <c r="P246" i="50"/>
  <c r="Q246" i="50"/>
  <c r="S246" i="50"/>
  <c r="U246" i="50"/>
  <c r="W246" i="50"/>
  <c r="X246" i="50"/>
  <c r="Y246" i="50"/>
  <c r="AA246" i="50"/>
  <c r="AC246" i="50"/>
  <c r="AD246" i="50"/>
  <c r="AE246" i="50"/>
  <c r="AG246" i="50"/>
  <c r="AI246" i="50"/>
  <c r="AK246" i="50"/>
  <c r="AM246" i="50"/>
  <c r="AN246" i="50"/>
  <c r="AO246" i="50"/>
  <c r="AQ246" i="50"/>
  <c r="AR246" i="50"/>
  <c r="AS246" i="50"/>
  <c r="AU246" i="50"/>
  <c r="AV246" i="50"/>
  <c r="AW246" i="50"/>
  <c r="AX246" i="50"/>
  <c r="AY246" i="50"/>
  <c r="AZ246" i="50"/>
  <c r="BA246" i="50"/>
  <c r="BC246" i="50"/>
  <c r="BD246" i="50"/>
  <c r="BE246" i="50"/>
  <c r="BF246" i="50"/>
  <c r="BG246" i="50"/>
  <c r="BH246" i="50"/>
  <c r="BI246" i="50"/>
  <c r="BJ246" i="50"/>
  <c r="BK246" i="50"/>
  <c r="BL246" i="50"/>
  <c r="BM246" i="50"/>
  <c r="BN246" i="50"/>
  <c r="BO246" i="50"/>
  <c r="BP246" i="50"/>
  <c r="BQ246" i="50"/>
  <c r="BR246" i="50"/>
  <c r="BS246" i="50"/>
  <c r="BT246" i="50"/>
  <c r="BU246" i="50"/>
  <c r="A247" i="50"/>
  <c r="B247" i="50"/>
  <c r="C247" i="50"/>
  <c r="D247" i="50"/>
  <c r="E247" i="50"/>
  <c r="F247" i="50"/>
  <c r="G247" i="50"/>
  <c r="H247" i="50"/>
  <c r="I247" i="50"/>
  <c r="J247" i="50"/>
  <c r="K247" i="50"/>
  <c r="M247" i="50"/>
  <c r="N247" i="50"/>
  <c r="O247" i="50"/>
  <c r="P247" i="50"/>
  <c r="Q247" i="50"/>
  <c r="S247" i="50"/>
  <c r="U247" i="50"/>
  <c r="W247" i="50"/>
  <c r="X247" i="50"/>
  <c r="Y247" i="50"/>
  <c r="AA247" i="50"/>
  <c r="AC247" i="50"/>
  <c r="AD247" i="50"/>
  <c r="AE247" i="50"/>
  <c r="AG247" i="50"/>
  <c r="AI247" i="50"/>
  <c r="AK247" i="50"/>
  <c r="AM247" i="50"/>
  <c r="AN247" i="50"/>
  <c r="AO247" i="50"/>
  <c r="AQ247" i="50"/>
  <c r="AR247" i="50"/>
  <c r="AS247" i="50"/>
  <c r="AU247" i="50"/>
  <c r="AV247" i="50"/>
  <c r="AW247" i="50"/>
  <c r="AX247" i="50"/>
  <c r="AY247" i="50"/>
  <c r="AZ247" i="50"/>
  <c r="BA247" i="50"/>
  <c r="BC247" i="50"/>
  <c r="BD247" i="50"/>
  <c r="BE247" i="50"/>
  <c r="BF247" i="50"/>
  <c r="BG247" i="50"/>
  <c r="BH247" i="50"/>
  <c r="BI247" i="50"/>
  <c r="BJ247" i="50"/>
  <c r="BK247" i="50"/>
  <c r="BL247" i="50"/>
  <c r="BM247" i="50"/>
  <c r="BN247" i="50"/>
  <c r="BO247" i="50"/>
  <c r="BP247" i="50"/>
  <c r="BQ247" i="50"/>
  <c r="BR247" i="50"/>
  <c r="BS247" i="50"/>
  <c r="BT247" i="50"/>
  <c r="BU247" i="50"/>
  <c r="A248" i="50"/>
  <c r="B248" i="50"/>
  <c r="C248" i="50"/>
  <c r="D248" i="50"/>
  <c r="E248" i="50"/>
  <c r="F248" i="50"/>
  <c r="G248" i="50"/>
  <c r="H248" i="50"/>
  <c r="I248" i="50"/>
  <c r="J248" i="50"/>
  <c r="K248" i="50"/>
  <c r="M248" i="50"/>
  <c r="N248" i="50"/>
  <c r="O248" i="50"/>
  <c r="P248" i="50"/>
  <c r="Q248" i="50"/>
  <c r="S248" i="50"/>
  <c r="U248" i="50"/>
  <c r="W248" i="50"/>
  <c r="X248" i="50"/>
  <c r="Y248" i="50"/>
  <c r="AA248" i="50"/>
  <c r="AC248" i="50"/>
  <c r="AD248" i="50"/>
  <c r="AE248" i="50"/>
  <c r="AG248" i="50"/>
  <c r="AI248" i="50"/>
  <c r="AK248" i="50"/>
  <c r="AM248" i="50"/>
  <c r="AN248" i="50"/>
  <c r="AO248" i="50"/>
  <c r="AQ248" i="50"/>
  <c r="AR248" i="50"/>
  <c r="AS248" i="50"/>
  <c r="AU248" i="50"/>
  <c r="AV248" i="50"/>
  <c r="AW248" i="50"/>
  <c r="AX248" i="50"/>
  <c r="AY248" i="50"/>
  <c r="AZ248" i="50"/>
  <c r="BA248" i="50"/>
  <c r="BC248" i="50"/>
  <c r="BD248" i="50"/>
  <c r="BE248" i="50"/>
  <c r="BF248" i="50"/>
  <c r="BG248" i="50"/>
  <c r="BH248" i="50"/>
  <c r="BI248" i="50"/>
  <c r="BJ248" i="50"/>
  <c r="BK248" i="50"/>
  <c r="BL248" i="50"/>
  <c r="BM248" i="50"/>
  <c r="BN248" i="50"/>
  <c r="BO248" i="50"/>
  <c r="BP248" i="50"/>
  <c r="BQ248" i="50"/>
  <c r="BR248" i="50"/>
  <c r="BS248" i="50"/>
  <c r="BT248" i="50"/>
  <c r="BU248" i="50"/>
  <c r="A249" i="50"/>
  <c r="B249" i="50"/>
  <c r="C249" i="50"/>
  <c r="D249" i="50"/>
  <c r="E249" i="50"/>
  <c r="F249" i="50"/>
  <c r="G249" i="50"/>
  <c r="H249" i="50"/>
  <c r="I249" i="50"/>
  <c r="J249" i="50"/>
  <c r="K249" i="50"/>
  <c r="M249" i="50"/>
  <c r="N249" i="50"/>
  <c r="O249" i="50"/>
  <c r="P249" i="50"/>
  <c r="Q249" i="50"/>
  <c r="S249" i="50"/>
  <c r="U249" i="50"/>
  <c r="W249" i="50"/>
  <c r="X249" i="50"/>
  <c r="Y249" i="50"/>
  <c r="AA249" i="50"/>
  <c r="AC249" i="50"/>
  <c r="AD249" i="50"/>
  <c r="AE249" i="50"/>
  <c r="AG249" i="50"/>
  <c r="AI249" i="50"/>
  <c r="AK249" i="50"/>
  <c r="AM249" i="50"/>
  <c r="AN249" i="50"/>
  <c r="AO249" i="50"/>
  <c r="AQ249" i="50"/>
  <c r="AR249" i="50"/>
  <c r="AS249" i="50"/>
  <c r="AU249" i="50"/>
  <c r="AV249" i="50"/>
  <c r="AW249" i="50"/>
  <c r="AX249" i="50"/>
  <c r="AY249" i="50"/>
  <c r="AZ249" i="50"/>
  <c r="BA249" i="50"/>
  <c r="BC249" i="50"/>
  <c r="BD249" i="50"/>
  <c r="BE249" i="50"/>
  <c r="BF249" i="50"/>
  <c r="BG249" i="50"/>
  <c r="BH249" i="50"/>
  <c r="BI249" i="50"/>
  <c r="BJ249" i="50"/>
  <c r="BK249" i="50"/>
  <c r="BL249" i="50"/>
  <c r="BM249" i="50"/>
  <c r="BN249" i="50"/>
  <c r="BO249" i="50"/>
  <c r="BP249" i="50"/>
  <c r="BQ249" i="50"/>
  <c r="BR249" i="50"/>
  <c r="BS249" i="50"/>
  <c r="BT249" i="50"/>
  <c r="BU249" i="50"/>
  <c r="A250" i="50"/>
  <c r="B250" i="50"/>
  <c r="C250" i="50"/>
  <c r="D250" i="50"/>
  <c r="E250" i="50"/>
  <c r="F250" i="50"/>
  <c r="G250" i="50"/>
  <c r="H250" i="50"/>
  <c r="I250" i="50"/>
  <c r="J250" i="50"/>
  <c r="K250" i="50"/>
  <c r="M250" i="50"/>
  <c r="N250" i="50"/>
  <c r="O250" i="50"/>
  <c r="P250" i="50"/>
  <c r="Q250" i="50"/>
  <c r="S250" i="50"/>
  <c r="U250" i="50"/>
  <c r="W250" i="50"/>
  <c r="X250" i="50"/>
  <c r="Y250" i="50"/>
  <c r="AA250" i="50"/>
  <c r="AC250" i="50"/>
  <c r="AD250" i="50"/>
  <c r="AE250" i="50"/>
  <c r="AG250" i="50"/>
  <c r="AI250" i="50"/>
  <c r="AK250" i="50"/>
  <c r="AM250" i="50"/>
  <c r="AN250" i="50"/>
  <c r="AO250" i="50"/>
  <c r="AQ250" i="50"/>
  <c r="AR250" i="50"/>
  <c r="AS250" i="50"/>
  <c r="AU250" i="50"/>
  <c r="AV250" i="50"/>
  <c r="AW250" i="50"/>
  <c r="AX250" i="50"/>
  <c r="AY250" i="50"/>
  <c r="AZ250" i="50"/>
  <c r="BA250" i="50"/>
  <c r="BC250" i="50"/>
  <c r="BD250" i="50"/>
  <c r="BE250" i="50"/>
  <c r="BF250" i="50"/>
  <c r="BG250" i="50"/>
  <c r="BH250" i="50"/>
  <c r="BI250" i="50"/>
  <c r="BJ250" i="50"/>
  <c r="BK250" i="50"/>
  <c r="BL250" i="50"/>
  <c r="BM250" i="50"/>
  <c r="BN250" i="50"/>
  <c r="BO250" i="50"/>
  <c r="BP250" i="50"/>
  <c r="BQ250" i="50"/>
  <c r="BR250" i="50"/>
  <c r="BS250" i="50"/>
  <c r="BT250" i="50"/>
  <c r="BU250" i="50"/>
  <c r="A251" i="50"/>
  <c r="B251" i="50"/>
  <c r="C251" i="50"/>
  <c r="D251" i="50"/>
  <c r="E251" i="50"/>
  <c r="F251" i="50"/>
  <c r="G251" i="50"/>
  <c r="H251" i="50"/>
  <c r="I251" i="50"/>
  <c r="J251" i="50"/>
  <c r="K251" i="50"/>
  <c r="M251" i="50"/>
  <c r="N251" i="50"/>
  <c r="O251" i="50"/>
  <c r="P251" i="50"/>
  <c r="Q251" i="50"/>
  <c r="S251" i="50"/>
  <c r="U251" i="50"/>
  <c r="W251" i="50"/>
  <c r="X251" i="50"/>
  <c r="Y251" i="50"/>
  <c r="AA251" i="50"/>
  <c r="AC251" i="50"/>
  <c r="AD251" i="50"/>
  <c r="AE251" i="50"/>
  <c r="AG251" i="50"/>
  <c r="AI251" i="50"/>
  <c r="AK251" i="50"/>
  <c r="AM251" i="50"/>
  <c r="AN251" i="50"/>
  <c r="AO251" i="50"/>
  <c r="AQ251" i="50"/>
  <c r="AR251" i="50"/>
  <c r="AS251" i="50"/>
  <c r="AU251" i="50"/>
  <c r="AV251" i="50"/>
  <c r="AW251" i="50"/>
  <c r="AX251" i="50"/>
  <c r="AY251" i="50"/>
  <c r="AZ251" i="50"/>
  <c r="BA251" i="50"/>
  <c r="BC251" i="50"/>
  <c r="BD251" i="50"/>
  <c r="BE251" i="50"/>
  <c r="BF251" i="50"/>
  <c r="BG251" i="50"/>
  <c r="BH251" i="50"/>
  <c r="BI251" i="50"/>
  <c r="BJ251" i="50"/>
  <c r="BK251" i="50"/>
  <c r="BL251" i="50"/>
  <c r="BM251" i="50"/>
  <c r="BN251" i="50"/>
  <c r="BO251" i="50"/>
  <c r="BP251" i="50"/>
  <c r="BQ251" i="50"/>
  <c r="BR251" i="50"/>
  <c r="BS251" i="50"/>
  <c r="BT251" i="50"/>
  <c r="BU251" i="50"/>
  <c r="A252" i="50"/>
  <c r="B252" i="50"/>
  <c r="C252" i="50"/>
  <c r="D252" i="50"/>
  <c r="E252" i="50"/>
  <c r="F252" i="50"/>
  <c r="G252" i="50"/>
  <c r="H252" i="50"/>
  <c r="I252" i="50"/>
  <c r="J252" i="50"/>
  <c r="K252" i="50"/>
  <c r="M252" i="50"/>
  <c r="N252" i="50"/>
  <c r="O252" i="50"/>
  <c r="P252" i="50"/>
  <c r="Q252" i="50"/>
  <c r="S252" i="50"/>
  <c r="U252" i="50"/>
  <c r="W252" i="50"/>
  <c r="X252" i="50"/>
  <c r="Y252" i="50"/>
  <c r="AA252" i="50"/>
  <c r="AC252" i="50"/>
  <c r="AD252" i="50"/>
  <c r="AE252" i="50"/>
  <c r="AG252" i="50"/>
  <c r="AI252" i="50"/>
  <c r="AK252" i="50"/>
  <c r="AM252" i="50"/>
  <c r="AN252" i="50"/>
  <c r="AO252" i="50"/>
  <c r="AQ252" i="50"/>
  <c r="AR252" i="50"/>
  <c r="AS252" i="50"/>
  <c r="AU252" i="50"/>
  <c r="AV252" i="50"/>
  <c r="AW252" i="50"/>
  <c r="AX252" i="50"/>
  <c r="AY252" i="50"/>
  <c r="AZ252" i="50"/>
  <c r="BA252" i="50"/>
  <c r="BC252" i="50"/>
  <c r="BD252" i="50"/>
  <c r="BE252" i="50"/>
  <c r="BF252" i="50"/>
  <c r="BG252" i="50"/>
  <c r="BH252" i="50"/>
  <c r="BI252" i="50"/>
  <c r="BJ252" i="50"/>
  <c r="BK252" i="50"/>
  <c r="BL252" i="50"/>
  <c r="BM252" i="50"/>
  <c r="BN252" i="50"/>
  <c r="BO252" i="50"/>
  <c r="BP252" i="50"/>
  <c r="BQ252" i="50"/>
  <c r="BR252" i="50"/>
  <c r="BS252" i="50"/>
  <c r="BT252" i="50"/>
  <c r="BU252" i="50"/>
  <c r="A253" i="50"/>
  <c r="B253" i="50"/>
  <c r="C253" i="50"/>
  <c r="D253" i="50"/>
  <c r="E253" i="50"/>
  <c r="F253" i="50"/>
  <c r="G253" i="50"/>
  <c r="H253" i="50"/>
  <c r="I253" i="50"/>
  <c r="J253" i="50"/>
  <c r="K253" i="50"/>
  <c r="M253" i="50"/>
  <c r="N253" i="50"/>
  <c r="O253" i="50"/>
  <c r="P253" i="50"/>
  <c r="Q253" i="50"/>
  <c r="S253" i="50"/>
  <c r="U253" i="50"/>
  <c r="W253" i="50"/>
  <c r="X253" i="50"/>
  <c r="Y253" i="50"/>
  <c r="AA253" i="50"/>
  <c r="AC253" i="50"/>
  <c r="AD253" i="50"/>
  <c r="AE253" i="50"/>
  <c r="AG253" i="50"/>
  <c r="AI253" i="50"/>
  <c r="AK253" i="50"/>
  <c r="AM253" i="50"/>
  <c r="AN253" i="50"/>
  <c r="AO253" i="50"/>
  <c r="AQ253" i="50"/>
  <c r="AR253" i="50"/>
  <c r="AS253" i="50"/>
  <c r="AU253" i="50"/>
  <c r="AV253" i="50"/>
  <c r="AW253" i="50"/>
  <c r="AX253" i="50"/>
  <c r="AY253" i="50"/>
  <c r="AZ253" i="50"/>
  <c r="BA253" i="50"/>
  <c r="BC253" i="50"/>
  <c r="BD253" i="50"/>
  <c r="BE253" i="50"/>
  <c r="BF253" i="50"/>
  <c r="BG253" i="50"/>
  <c r="BH253" i="50"/>
  <c r="BI253" i="50"/>
  <c r="BJ253" i="50"/>
  <c r="BK253" i="50"/>
  <c r="BL253" i="50"/>
  <c r="BM253" i="50"/>
  <c r="BN253" i="50"/>
  <c r="BO253" i="50"/>
  <c r="BP253" i="50"/>
  <c r="BQ253" i="50"/>
  <c r="BR253" i="50"/>
  <c r="BS253" i="50"/>
  <c r="BT253" i="50"/>
  <c r="BU253" i="50"/>
  <c r="A254" i="50"/>
  <c r="B254" i="50"/>
  <c r="C254" i="50"/>
  <c r="D254" i="50"/>
  <c r="E254" i="50"/>
  <c r="F254" i="50"/>
  <c r="G254" i="50"/>
  <c r="H254" i="50"/>
  <c r="I254" i="50"/>
  <c r="J254" i="50"/>
  <c r="K254" i="50"/>
  <c r="M254" i="50"/>
  <c r="N254" i="50"/>
  <c r="O254" i="50"/>
  <c r="P254" i="50"/>
  <c r="Q254" i="50"/>
  <c r="S254" i="50"/>
  <c r="U254" i="50"/>
  <c r="W254" i="50"/>
  <c r="X254" i="50"/>
  <c r="Y254" i="50"/>
  <c r="AA254" i="50"/>
  <c r="AC254" i="50"/>
  <c r="AD254" i="50"/>
  <c r="AE254" i="50"/>
  <c r="AG254" i="50"/>
  <c r="AI254" i="50"/>
  <c r="AK254" i="50"/>
  <c r="AM254" i="50"/>
  <c r="AN254" i="50"/>
  <c r="AO254" i="50"/>
  <c r="AQ254" i="50"/>
  <c r="AR254" i="50"/>
  <c r="AS254" i="50"/>
  <c r="AU254" i="50"/>
  <c r="AV254" i="50"/>
  <c r="AW254" i="50"/>
  <c r="AX254" i="50"/>
  <c r="AY254" i="50"/>
  <c r="AZ254" i="50"/>
  <c r="BA254" i="50"/>
  <c r="BC254" i="50"/>
  <c r="BD254" i="50"/>
  <c r="BE254" i="50"/>
  <c r="BF254" i="50"/>
  <c r="BG254" i="50"/>
  <c r="BH254" i="50"/>
  <c r="BI254" i="50"/>
  <c r="BJ254" i="50"/>
  <c r="BK254" i="50"/>
  <c r="BL254" i="50"/>
  <c r="BM254" i="50"/>
  <c r="BN254" i="50"/>
  <c r="BO254" i="50"/>
  <c r="BP254" i="50"/>
  <c r="BQ254" i="50"/>
  <c r="BR254" i="50"/>
  <c r="BS254" i="50"/>
  <c r="BT254" i="50"/>
  <c r="BU254" i="50"/>
  <c r="A255" i="50"/>
  <c r="B255" i="50"/>
  <c r="C255" i="50"/>
  <c r="D255" i="50"/>
  <c r="E255" i="50"/>
  <c r="F255" i="50"/>
  <c r="G255" i="50"/>
  <c r="H255" i="50"/>
  <c r="I255" i="50"/>
  <c r="J255" i="50"/>
  <c r="K255" i="50"/>
  <c r="M255" i="50"/>
  <c r="N255" i="50"/>
  <c r="O255" i="50"/>
  <c r="P255" i="50"/>
  <c r="Q255" i="50"/>
  <c r="S255" i="50"/>
  <c r="U255" i="50"/>
  <c r="W255" i="50"/>
  <c r="X255" i="50"/>
  <c r="Y255" i="50"/>
  <c r="AA255" i="50"/>
  <c r="AC255" i="50"/>
  <c r="AD255" i="50"/>
  <c r="AE255" i="50"/>
  <c r="AG255" i="50"/>
  <c r="AI255" i="50"/>
  <c r="AK255" i="50"/>
  <c r="AM255" i="50"/>
  <c r="AN255" i="50"/>
  <c r="AO255" i="50"/>
  <c r="AQ255" i="50"/>
  <c r="AR255" i="50"/>
  <c r="AS255" i="50"/>
  <c r="AU255" i="50"/>
  <c r="AV255" i="50"/>
  <c r="AW255" i="50"/>
  <c r="AX255" i="50"/>
  <c r="AY255" i="50"/>
  <c r="AZ255" i="50"/>
  <c r="BA255" i="50"/>
  <c r="BC255" i="50"/>
  <c r="BD255" i="50"/>
  <c r="BE255" i="50"/>
  <c r="BF255" i="50"/>
  <c r="BG255" i="50"/>
  <c r="BH255" i="50"/>
  <c r="BI255" i="50"/>
  <c r="BJ255" i="50"/>
  <c r="BK255" i="50"/>
  <c r="BL255" i="50"/>
  <c r="BM255" i="50"/>
  <c r="BN255" i="50"/>
  <c r="BO255" i="50"/>
  <c r="BP255" i="50"/>
  <c r="BQ255" i="50"/>
  <c r="BR255" i="50"/>
  <c r="BS255" i="50"/>
  <c r="BT255" i="50"/>
  <c r="BU255" i="50"/>
  <c r="A256" i="50"/>
  <c r="B256" i="50"/>
  <c r="C256" i="50"/>
  <c r="D256" i="50"/>
  <c r="E256" i="50"/>
  <c r="F256" i="50"/>
  <c r="G256" i="50"/>
  <c r="H256" i="50"/>
  <c r="I256" i="50"/>
  <c r="J256" i="50"/>
  <c r="K256" i="50"/>
  <c r="M256" i="50"/>
  <c r="N256" i="50"/>
  <c r="O256" i="50"/>
  <c r="P256" i="50"/>
  <c r="Q256" i="50"/>
  <c r="S256" i="50"/>
  <c r="U256" i="50"/>
  <c r="W256" i="50"/>
  <c r="X256" i="50"/>
  <c r="Y256" i="50"/>
  <c r="AA256" i="50"/>
  <c r="AC256" i="50"/>
  <c r="AD256" i="50"/>
  <c r="AE256" i="50"/>
  <c r="AG256" i="50"/>
  <c r="AI256" i="50"/>
  <c r="AK256" i="50"/>
  <c r="AM256" i="50"/>
  <c r="AN256" i="50"/>
  <c r="AO256" i="50"/>
  <c r="AQ256" i="50"/>
  <c r="AR256" i="50"/>
  <c r="AS256" i="50"/>
  <c r="AU256" i="50"/>
  <c r="AV256" i="50"/>
  <c r="AW256" i="50"/>
  <c r="AX256" i="50"/>
  <c r="AY256" i="50"/>
  <c r="AZ256" i="50"/>
  <c r="BA256" i="50"/>
  <c r="BC256" i="50"/>
  <c r="BD256" i="50"/>
  <c r="BE256" i="50"/>
  <c r="BF256" i="50"/>
  <c r="BG256" i="50"/>
  <c r="BH256" i="50"/>
  <c r="BI256" i="50"/>
  <c r="BJ256" i="50"/>
  <c r="BK256" i="50"/>
  <c r="BL256" i="50"/>
  <c r="BM256" i="50"/>
  <c r="BN256" i="50"/>
  <c r="BO256" i="50"/>
  <c r="BP256" i="50"/>
  <c r="BQ256" i="50"/>
  <c r="BR256" i="50"/>
  <c r="BS256" i="50"/>
  <c r="BT256" i="50"/>
  <c r="BU256" i="50"/>
  <c r="A257" i="50"/>
  <c r="A258" i="50"/>
  <c r="A259" i="50"/>
  <c r="A260" i="50"/>
  <c r="A261" i="50"/>
  <c r="A262" i="50"/>
  <c r="A263" i="50"/>
  <c r="A264" i="50"/>
  <c r="A265" i="50"/>
  <c r="A266" i="50"/>
  <c r="A267" i="50"/>
  <c r="A268" i="50"/>
  <c r="A269" i="50"/>
  <c r="A270" i="50"/>
  <c r="A271" i="50"/>
  <c r="A272" i="50"/>
  <c r="A273" i="50"/>
  <c r="A274" i="50"/>
  <c r="A275" i="50"/>
  <c r="A276" i="50"/>
  <c r="A277" i="50"/>
  <c r="A278" i="50"/>
  <c r="A279" i="50"/>
  <c r="A280" i="50"/>
  <c r="A281" i="50"/>
  <c r="AX281" i="50"/>
</calcChain>
</file>

<file path=xl/sharedStrings.xml><?xml version="1.0" encoding="utf-8"?>
<sst xmlns="http://schemas.openxmlformats.org/spreadsheetml/2006/main" count="173" uniqueCount="101">
  <si>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</si>
  <si>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</si>
  <si>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</si>
  <si>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</si>
  <si>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</si>
  <si>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</si>
  <si>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</si>
  <si>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</si>
  <si>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</si>
  <si>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</si>
  <si>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</si>
  <si>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</si>
  <si>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</si>
  <si>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Start Date</t>
  </si>
  <si>
    <t>Stop Date</t>
  </si>
  <si>
    <t>Mark Date</t>
  </si>
  <si>
    <t>Curve Date</t>
  </si>
  <si>
    <t>Phy1 Fin2</t>
  </si>
  <si>
    <t>Buy1 Sell2</t>
  </si>
  <si>
    <t>Accum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</si>
  <si>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</si>
  <si>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</si>
  <si>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</si>
  <si>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</si>
  <si>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</si>
  <si>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</si>
  <si>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</si>
  <si>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</si>
  <si>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</si>
  <si>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</si>
  <si>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MMBtu</t>
  </si>
  <si>
    <t>NG-P</t>
  </si>
  <si>
    <t>Total</t>
  </si>
  <si>
    <t>LIBOR-AA</t>
  </si>
  <si>
    <t>SUMMARY</t>
  </si>
  <si>
    <t xml:space="preserve"> </t>
  </si>
  <si>
    <t>Daily</t>
  </si>
  <si>
    <t>Total Price</t>
  </si>
  <si>
    <t>Vol</t>
  </si>
  <si>
    <t>Blended</t>
  </si>
  <si>
    <t>Option</t>
  </si>
  <si>
    <t>Offer</t>
  </si>
  <si>
    <t>Correlation</t>
  </si>
  <si>
    <t>Strike</t>
  </si>
  <si>
    <t>Expire Date</t>
  </si>
  <si>
    <t>Expire Days</t>
  </si>
  <si>
    <t>Type</t>
  </si>
  <si>
    <t>Premium</t>
  </si>
  <si>
    <t>Commodity A</t>
  </si>
  <si>
    <t>Commodity B</t>
  </si>
  <si>
    <t>daily</t>
  </si>
  <si>
    <t>monthly</t>
  </si>
  <si>
    <t>Price Curve</t>
  </si>
  <si>
    <t>Monthly Vol Curve</t>
  </si>
  <si>
    <t>Daily Vol Curve</t>
  </si>
  <si>
    <t>Intrinsic Value</t>
  </si>
  <si>
    <t>(Basis Spread-</t>
  </si>
  <si>
    <t>Extrinsic</t>
  </si>
  <si>
    <t>Commodity&amp;Fuel)</t>
  </si>
  <si>
    <t>Intrinsic</t>
  </si>
  <si>
    <t>Bid/Offer</t>
  </si>
  <si>
    <t>Volumes</t>
  </si>
  <si>
    <t>Daily=1/Monthly=2</t>
  </si>
  <si>
    <t>Physical=1/Financial=2</t>
  </si>
  <si>
    <t>Spread Option Inputs</t>
  </si>
  <si>
    <t>Strike Price</t>
  </si>
  <si>
    <t>Desk Position</t>
  </si>
  <si>
    <t>2 = Buy Put</t>
  </si>
  <si>
    <t>1= Buy Call</t>
  </si>
  <si>
    <t>Daily Vol</t>
  </si>
  <si>
    <t xml:space="preserve"> Monthly Vol</t>
  </si>
  <si>
    <t>Monthly Vol</t>
  </si>
  <si>
    <t>Basis Spread</t>
  </si>
  <si>
    <t>Index Spread</t>
  </si>
  <si>
    <t>NYMEX Spread</t>
  </si>
  <si>
    <t>Cost of Funds (bp)</t>
  </si>
  <si>
    <t>per mmbtu</t>
  </si>
  <si>
    <t>Trader</t>
  </si>
  <si>
    <t>Originator</t>
  </si>
  <si>
    <t>Structurer</t>
  </si>
  <si>
    <t>Customer</t>
  </si>
  <si>
    <t>Kim Ward</t>
  </si>
  <si>
    <t>Field / Location</t>
  </si>
  <si>
    <t>Start</t>
  </si>
  <si>
    <t>Stop</t>
  </si>
  <si>
    <t>NOTES</t>
  </si>
  <si>
    <t>Pricing Pt.</t>
  </si>
  <si>
    <t>El Paso San Juan</t>
  </si>
  <si>
    <t>IF-ELPO/SJ, NGI-Socal</t>
  </si>
  <si>
    <t>Andy Zipper</t>
  </si>
  <si>
    <t>Kelli Little  x5-3419</t>
  </si>
  <si>
    <t>Tucson Electric</t>
  </si>
  <si>
    <t>Financial call option on the spread between San Juan and Socal.</t>
  </si>
  <si>
    <t>Option Premium</t>
  </si>
  <si>
    <t>5 Months</t>
  </si>
  <si>
    <t>Bid</t>
  </si>
  <si>
    <t>VO-P</t>
  </si>
  <si>
    <t>VO</t>
  </si>
  <si>
    <t>IF-FGT/MKT-P2X</t>
  </si>
  <si>
    <t>IF-FGT/MKTAREA</t>
  </si>
  <si>
    <t>IF-FGT/Z2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</si>
</sst>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0000"/>
    <numFmt numFmtId="165" formatCode="0.0000"/>
    <numFmt numFmtId="168" formatCode="mm/dd/yy"/>
    <numFmt numFmtId="169" formatCode="&quot;$&quot;#,##0.0000_);[Red]\(&quot;$&quot;#,##0.0000\)"/>
    <numFmt numFmtId="170" formatCode="0.0000_);\(0.0000\)"/>
    <numFmt numFmtId="171" formatCode="#,##0.000_);\(#,##0.000\)"/>
    <numFmt numFmtId="172" formatCode="&quot;$&quot;#,##0.0000"/>
    <numFmt numFmtId="179" formatCode="&quot;$&quot;#,##0.0_);[Red]\(&quot;$&quot;#,##0.0\)"/>
    <numFmt numFmtId="180" formatCode="&quot;$&quot;#,##0.000_);[Red]\(&quot;$&quot;#,##0.000\)"/>
    <numFmt numFmtId="184" formatCode="m/d/yy"/>
    <numFmt numFmtId="186" formatCode="&quot;$&quot;#,##0.00"/>
  </numFmts>
  <fonts count="27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b/>
      <sz val="10"/>
      <name val="Arial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1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36"/>
      <name val="Arial"/>
    </font>
    <font>
      <b/>
      <sz val="10"/>
      <color indexed="9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1" fontId="5" fillId="0" borderId="0"/>
    <xf numFmtId="0" fontId="4" fillId="2" borderId="1">
      <alignment horizontal="center" vertical="center"/>
    </xf>
    <xf numFmtId="0" fontId="17" fillId="0" borderId="2">
      <alignment horizontal="center"/>
    </xf>
    <xf numFmtId="43" fontId="1" fillId="0" borderId="0" applyFont="0" applyFill="0" applyBorder="0" applyAlignment="0" applyProtection="0"/>
    <xf numFmtId="6" fontId="3" fillId="0" borderId="0">
      <protection locked="0"/>
    </xf>
    <xf numFmtId="0" fontId="1" fillId="0" borderId="0"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38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8" fillId="0" borderId="3" applyNumberFormat="0" applyFill="0" applyAlignment="0" applyProtection="0"/>
    <xf numFmtId="10" fontId="6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9" fillId="0" borderId="0"/>
    <xf numFmtId="0" fontId="10" fillId="0" borderId="0"/>
    <xf numFmtId="0" fontId="1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6" fillId="5" borderId="0" applyNumberFormat="0" applyBorder="0" applyAlignment="0" applyProtection="0"/>
    <xf numFmtId="37" fontId="11" fillId="0" borderId="0"/>
    <xf numFmtId="3" fontId="13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2" fillId="0" borderId="6" xfId="0" applyFont="1" applyBorder="1" applyAlignment="1">
      <alignment horizontal="center"/>
    </xf>
    <xf numFmtId="168" fontId="2" fillId="0" borderId="7" xfId="0" applyNumberFormat="1" applyFont="1" applyBorder="1" applyAlignment="1">
      <alignment horizontal="center"/>
    </xf>
    <xf numFmtId="0" fontId="2" fillId="0" borderId="7" xfId="20" quotePrefix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9" xfId="0" quotePrefix="1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38" fontId="2" fillId="0" borderId="0" xfId="0" applyNumberFormat="1" applyFont="1"/>
    <xf numFmtId="165" fontId="2" fillId="0" borderId="0" xfId="0" applyNumberFormat="1" applyFont="1"/>
    <xf numFmtId="168" fontId="2" fillId="0" borderId="0" xfId="0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170" fontId="8" fillId="0" borderId="0" xfId="0" applyNumberFormat="1" applyFont="1" applyAlignment="1">
      <alignment horizontal="center"/>
    </xf>
    <xf numFmtId="0" fontId="2" fillId="0" borderId="0" xfId="0" applyFont="1" applyFill="1"/>
    <xf numFmtId="1" fontId="14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38" fontId="18" fillId="8" borderId="0" xfId="0" applyNumberFormat="1" applyFont="1" applyFill="1" applyAlignment="1">
      <alignment horizontal="center"/>
    </xf>
    <xf numFmtId="172" fontId="18" fillId="8" borderId="0" xfId="0" applyNumberFormat="1" applyFont="1" applyFill="1" applyAlignment="1">
      <alignment horizontal="center"/>
    </xf>
    <xf numFmtId="6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169" fontId="0" fillId="0" borderId="0" xfId="0" applyNumberFormat="1"/>
    <xf numFmtId="17" fontId="18" fillId="0" borderId="0" xfId="0" applyNumberFormat="1" applyFont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" fillId="9" borderId="0" xfId="0" applyFont="1" applyFill="1" applyBorder="1"/>
    <xf numFmtId="165" fontId="2" fillId="9" borderId="0" xfId="0" applyNumberFormat="1" applyFont="1" applyFill="1" applyBorder="1"/>
    <xf numFmtId="0" fontId="2" fillId="0" borderId="0" xfId="0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72" fontId="8" fillId="0" borderId="0" xfId="0" applyNumberFormat="1" applyFont="1" applyFill="1" applyAlignment="1">
      <alignment horizontal="center"/>
    </xf>
    <xf numFmtId="172" fontId="8" fillId="0" borderId="0" xfId="0" applyNumberFormat="1" applyFont="1" applyAlignment="1">
      <alignment horizontal="center"/>
    </xf>
    <xf numFmtId="172" fontId="8" fillId="9" borderId="0" xfId="0" applyNumberFormat="1" applyFont="1" applyFill="1" applyBorder="1" applyAlignment="1">
      <alignment horizontal="center"/>
    </xf>
    <xf numFmtId="6" fontId="14" fillId="0" borderId="0" xfId="0" applyNumberFormat="1" applyFont="1" applyBorder="1" applyAlignment="1">
      <alignment horizontal="center"/>
    </xf>
    <xf numFmtId="172" fontId="8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left"/>
    </xf>
    <xf numFmtId="0" fontId="18" fillId="0" borderId="0" xfId="0" applyFont="1"/>
    <xf numFmtId="170" fontId="8" fillId="9" borderId="0" xfId="0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left"/>
    </xf>
    <xf numFmtId="0" fontId="14" fillId="0" borderId="0" xfId="0" applyFont="1" applyFill="1" applyAlignment="1"/>
    <xf numFmtId="10" fontId="18" fillId="0" borderId="0" xfId="2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Border="1"/>
    <xf numFmtId="6" fontId="0" fillId="0" borderId="0" xfId="0" applyNumberFormat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171" fontId="14" fillId="0" borderId="0" xfId="0" applyNumberFormat="1" applyFont="1" applyAlignment="1">
      <alignment horizontal="center" wrapText="1"/>
    </xf>
    <xf numFmtId="37" fontId="2" fillId="0" borderId="0" xfId="0" applyNumberFormat="1" applyFont="1" applyAlignment="1">
      <alignment horizontal="center"/>
    </xf>
    <xf numFmtId="0" fontId="14" fillId="10" borderId="0" xfId="0" applyFont="1" applyFill="1" applyAlignment="1">
      <alignment horizontal="center"/>
    </xf>
    <xf numFmtId="0" fontId="2" fillId="0" borderId="6" xfId="0" applyFont="1" applyBorder="1"/>
    <xf numFmtId="0" fontId="2" fillId="0" borderId="10" xfId="0" applyFont="1" applyBorder="1"/>
    <xf numFmtId="0" fontId="2" fillId="5" borderId="1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2" fillId="0" borderId="6" xfId="0" applyNumberFormat="1" applyFont="1" applyBorder="1"/>
    <xf numFmtId="171" fontId="14" fillId="0" borderId="6" xfId="0" applyNumberFormat="1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37" fontId="18" fillId="0" borderId="0" xfId="4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4" fillId="0" borderId="0" xfId="0" applyFont="1"/>
    <xf numFmtId="0" fontId="22" fillId="0" borderId="0" xfId="0" applyFont="1"/>
    <xf numFmtId="0" fontId="23" fillId="0" borderId="0" xfId="0" applyFont="1"/>
    <xf numFmtId="17" fontId="14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2"/>
    </xf>
    <xf numFmtId="17" fontId="2" fillId="0" borderId="0" xfId="0" applyNumberFormat="1" applyFont="1" applyAlignment="1">
      <alignment horizontal="left"/>
    </xf>
    <xf numFmtId="0" fontId="1" fillId="0" borderId="0" xfId="2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6" fontId="0" fillId="0" borderId="0" xfId="0" applyNumberFormat="1" applyBorder="1"/>
    <xf numFmtId="6" fontId="0" fillId="0" borderId="10" xfId="0" applyNumberFormat="1" applyBorder="1"/>
    <xf numFmtId="169" fontId="0" fillId="0" borderId="7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7" fontId="14" fillId="0" borderId="7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8" fontId="2" fillId="0" borderId="7" xfId="0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" fillId="5" borderId="8" xfId="0" applyFont="1" applyFill="1" applyBorder="1"/>
    <xf numFmtId="0" fontId="2" fillId="5" borderId="0" xfId="0" applyFont="1" applyFill="1" applyBorder="1"/>
    <xf numFmtId="0" fontId="2" fillId="5" borderId="9" xfId="0" applyFont="1" applyFill="1" applyBorder="1"/>
    <xf numFmtId="0" fontId="14" fillId="5" borderId="14" xfId="0" applyFont="1" applyFill="1" applyBorder="1"/>
    <xf numFmtId="38" fontId="14" fillId="5" borderId="14" xfId="0" applyNumberFormat="1" applyFont="1" applyFill="1" applyBorder="1" applyAlignment="1">
      <alignment horizontal="center"/>
    </xf>
    <xf numFmtId="172" fontId="14" fillId="5" borderId="14" xfId="0" applyNumberFormat="1" applyFont="1" applyFill="1" applyBorder="1" applyAlignment="1">
      <alignment horizontal="center"/>
    </xf>
    <xf numFmtId="10" fontId="14" fillId="5" borderId="14" xfId="0" applyNumberFormat="1" applyFont="1" applyFill="1" applyBorder="1" applyAlignment="1">
      <alignment horizontal="center"/>
    </xf>
    <xf numFmtId="170" fontId="18" fillId="5" borderId="14" xfId="0" applyNumberFormat="1" applyFont="1" applyFill="1" applyBorder="1" applyAlignment="1">
      <alignment horizontal="center"/>
    </xf>
    <xf numFmtId="6" fontId="14" fillId="5" borderId="14" xfId="0" applyNumberFormat="1" applyFont="1" applyFill="1" applyBorder="1" applyAlignment="1">
      <alignment horizontal="center"/>
    </xf>
    <xf numFmtId="1" fontId="14" fillId="5" borderId="14" xfId="0" applyNumberFormat="1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9" fontId="25" fillId="5" borderId="14" xfId="21" applyFont="1" applyFill="1" applyBorder="1" applyAlignment="1">
      <alignment horizontal="center"/>
    </xf>
    <xf numFmtId="0" fontId="14" fillId="5" borderId="14" xfId="0" quotePrefix="1" applyFont="1" applyFill="1" applyBorder="1" applyAlignment="1">
      <alignment horizontal="center"/>
    </xf>
    <xf numFmtId="37" fontId="14" fillId="5" borderId="14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4" fillId="5" borderId="18" xfId="0" applyFont="1" applyFill="1" applyBorder="1" applyAlignment="1">
      <alignment horizontal="center"/>
    </xf>
    <xf numFmtId="172" fontId="14" fillId="5" borderId="19" xfId="0" applyNumberFormat="1" applyFont="1" applyFill="1" applyBorder="1" applyAlignment="1">
      <alignment horizontal="center"/>
    </xf>
    <xf numFmtId="179" fontId="14" fillId="5" borderId="20" xfId="0" applyNumberFormat="1" applyFont="1" applyFill="1" applyBorder="1" applyAlignment="1">
      <alignment horizontal="center"/>
    </xf>
    <xf numFmtId="169" fontId="14" fillId="0" borderId="10" xfId="0" applyNumberFormat="1" applyFont="1" applyBorder="1" applyAlignment="1">
      <alignment horizontal="center"/>
    </xf>
    <xf numFmtId="169" fontId="14" fillId="0" borderId="13" xfId="0" applyNumberFormat="1" applyFont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15" fillId="6" borderId="16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5" fillId="6" borderId="1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1" fontId="14" fillId="5" borderId="20" xfId="0" applyNumberFormat="1" applyFont="1" applyFill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64" fontId="2" fillId="0" borderId="7" xfId="0" quotePrefix="1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70" fontId="18" fillId="5" borderId="20" xfId="0" applyNumberFormat="1" applyFont="1" applyFill="1" applyBorder="1" applyAlignment="1">
      <alignment horizontal="center"/>
    </xf>
    <xf numFmtId="10" fontId="2" fillId="0" borderId="0" xfId="0" applyNumberFormat="1" applyFont="1" applyBorder="1"/>
    <xf numFmtId="170" fontId="8" fillId="0" borderId="10" xfId="0" applyNumberFormat="1" applyFont="1" applyBorder="1" applyAlignment="1">
      <alignment horizontal="center"/>
    </xf>
    <xf numFmtId="172" fontId="8" fillId="0" borderId="6" xfId="0" applyNumberFormat="1" applyFont="1" applyBorder="1" applyAlignment="1">
      <alignment horizontal="center"/>
    </xf>
    <xf numFmtId="1" fontId="2" fillId="0" borderId="0" xfId="0" applyNumberFormat="1" applyFont="1" applyBorder="1"/>
    <xf numFmtId="172" fontId="8" fillId="0" borderId="21" xfId="0" applyNumberFormat="1" applyFont="1" applyBorder="1" applyAlignment="1">
      <alignment horizontal="center"/>
    </xf>
    <xf numFmtId="1" fontId="2" fillId="0" borderId="7" xfId="0" applyNumberFormat="1" applyFont="1" applyBorder="1"/>
    <xf numFmtId="170" fontId="8" fillId="0" borderId="13" xfId="0" applyNumberFormat="1" applyFont="1" applyBorder="1" applyAlignment="1">
      <alignment horizontal="center"/>
    </xf>
    <xf numFmtId="0" fontId="2" fillId="0" borderId="23" xfId="0" applyFont="1" applyFill="1" applyBorder="1"/>
    <xf numFmtId="0" fontId="14" fillId="0" borderId="23" xfId="0" applyFont="1" applyFill="1" applyBorder="1"/>
    <xf numFmtId="0" fontId="2" fillId="0" borderId="10" xfId="0" applyFont="1" applyFill="1" applyBorder="1"/>
    <xf numFmtId="0" fontId="14" fillId="0" borderId="10" xfId="0" applyFont="1" applyFill="1" applyBorder="1"/>
    <xf numFmtId="0" fontId="2" fillId="0" borderId="6" xfId="0" applyFont="1" applyFill="1" applyBorder="1"/>
    <xf numFmtId="0" fontId="14" fillId="0" borderId="6" xfId="0" applyFont="1" applyFill="1" applyBorder="1"/>
    <xf numFmtId="0" fontId="26" fillId="0" borderId="0" xfId="0" applyFont="1" applyFill="1" applyBorder="1" applyAlignment="1">
      <alignment horizontal="center"/>
    </xf>
    <xf numFmtId="184" fontId="0" fillId="0" borderId="0" xfId="0" applyNumberFormat="1"/>
    <xf numFmtId="0" fontId="0" fillId="0" borderId="0" xfId="0" applyAlignment="1">
      <alignment wrapText="1"/>
    </xf>
    <xf numFmtId="0" fontId="14" fillId="0" borderId="9" xfId="0" applyFont="1" applyBorder="1" applyAlignment="1">
      <alignment horizontal="center"/>
    </xf>
    <xf numFmtId="3" fontId="0" fillId="0" borderId="0" xfId="4" applyNumberFormat="1" applyFont="1" applyAlignment="1">
      <alignment horizontal="center"/>
    </xf>
    <xf numFmtId="184" fontId="0" fillId="0" borderId="0" xfId="0" applyNumberFormat="1" applyAlignment="1">
      <alignment horizontal="center"/>
    </xf>
    <xf numFmtId="8" fontId="14" fillId="0" borderId="0" xfId="0" applyNumberFormat="1" applyFont="1" applyAlignment="1">
      <alignment horizontal="center"/>
    </xf>
    <xf numFmtId="170" fontId="18" fillId="5" borderId="0" xfId="0" applyNumberFormat="1" applyFont="1" applyFill="1" applyBorder="1" applyAlignment="1">
      <alignment horizontal="center"/>
    </xf>
    <xf numFmtId="186" fontId="25" fillId="5" borderId="4" xfId="0" applyNumberFormat="1" applyFont="1" applyFill="1" applyBorder="1" applyAlignment="1">
      <alignment horizontal="center"/>
    </xf>
    <xf numFmtId="180" fontId="18" fillId="0" borderId="0" xfId="0" applyNumberFormat="1" applyFont="1" applyAlignment="1">
      <alignment horizontal="center"/>
    </xf>
    <xf numFmtId="0" fontId="24" fillId="11" borderId="24" xfId="0" applyFont="1" applyFill="1" applyBorder="1" applyAlignment="1">
      <alignment horizontal="center"/>
    </xf>
    <xf numFmtId="0" fontId="24" fillId="11" borderId="25" xfId="0" applyFont="1" applyFill="1" applyBorder="1" applyAlignment="1">
      <alignment horizontal="center"/>
    </xf>
    <xf numFmtId="0" fontId="24" fillId="11" borderId="26" xfId="0" applyFont="1" applyFill="1" applyBorder="1" applyAlignment="1">
      <alignment horizontal="center"/>
    </xf>
    <xf numFmtId="0" fontId="21" fillId="11" borderId="15" xfId="0" applyFont="1" applyFill="1" applyBorder="1" applyAlignment="1">
      <alignment horizontal="center"/>
    </xf>
    <xf numFmtId="0" fontId="21" fillId="11" borderId="16" xfId="0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/>
    </xf>
  </cellXfs>
  <cellStyles count="31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_%20Calpine%20Spread%20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definedNames>
      <definedName name="CurveTable" refersTo="='Curves'!$C$8:$AC$443"/>
      <definedName name="CurveType" refersTo="='Curves'!$C$8:$AC$8"/>
      <definedName name="today" refersTo="='Curves'!$A$6"/>
    </definedNames>
    <sheetDataSet>
      <sheetData sheetId="0">
        <row r="6">
          <cell r="A6">
            <v>37187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IF-FGT/Z2-D</v>
          </cell>
          <cell r="H8" t="str">
            <v>IF-FGT/Z2-I</v>
          </cell>
          <cell r="I8" t="str">
            <v>IF-FGT/Z3-D</v>
          </cell>
          <cell r="J8" t="str">
            <v>IF-FGT/Z3-I</v>
          </cell>
          <cell r="K8" t="str">
            <v>IF-FGT/MKT-D</v>
          </cell>
          <cell r="L8" t="str">
            <v>IF-FGT/MKT-I</v>
          </cell>
          <cell r="M8" t="str">
            <v>IF-FGT/MKTAREA-D</v>
          </cell>
          <cell r="N8" t="str">
            <v>IF-FGT/MKTAREA-I</v>
          </cell>
          <cell r="O8" t="str">
            <v>none-D</v>
          </cell>
          <cell r="P8" t="str">
            <v>none-VO</v>
          </cell>
          <cell r="R8" t="str">
            <v>IF-FGT/MKT-P2X-P</v>
          </cell>
          <cell r="S8" t="str">
            <v>IF-FGT/MKT-P1.5X-P</v>
          </cell>
          <cell r="T8" t="str">
            <v>-D</v>
          </cell>
          <cell r="U8" t="str">
            <v>-I</v>
          </cell>
          <cell r="V8" t="str">
            <v>-D</v>
          </cell>
          <cell r="W8" t="str">
            <v>-I</v>
          </cell>
          <cell r="X8" t="str">
            <v>-P</v>
          </cell>
          <cell r="Y8" t="str">
            <v>-P</v>
          </cell>
          <cell r="Z8" t="str">
            <v>-P</v>
          </cell>
        </row>
        <row r="9">
          <cell r="R9">
            <v>2</v>
          </cell>
          <cell r="S9">
            <v>1.5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</row>
        <row r="11">
          <cell r="C11" t="str">
            <v>Effective Date</v>
          </cell>
          <cell r="D11">
            <v>37187</v>
          </cell>
          <cell r="E11">
            <v>37187</v>
          </cell>
          <cell r="F11">
            <v>37187</v>
          </cell>
          <cell r="G11">
            <v>37187</v>
          </cell>
          <cell r="H11">
            <v>37187</v>
          </cell>
          <cell r="I11">
            <v>37187</v>
          </cell>
          <cell r="J11">
            <v>37187</v>
          </cell>
          <cell r="K11">
            <v>37187</v>
          </cell>
          <cell r="L11">
            <v>37181</v>
          </cell>
          <cell r="M11">
            <v>37187</v>
          </cell>
          <cell r="N11">
            <v>37181</v>
          </cell>
          <cell r="O11">
            <v>37187</v>
          </cell>
          <cell r="P11">
            <v>37187</v>
          </cell>
          <cell r="R11">
            <v>37181</v>
          </cell>
          <cell r="S11">
            <v>37181</v>
          </cell>
          <cell r="T11">
            <v>37187</v>
          </cell>
          <cell r="U11">
            <v>37187</v>
          </cell>
          <cell r="V11">
            <v>37187</v>
          </cell>
          <cell r="W11">
            <v>37187</v>
          </cell>
          <cell r="X11">
            <v>37187</v>
          </cell>
          <cell r="Y11">
            <v>37187</v>
          </cell>
          <cell r="Z11">
            <v>37187</v>
          </cell>
        </row>
        <row r="12">
          <cell r="C12" t="str">
            <v>Prompt Month</v>
          </cell>
          <cell r="D12">
            <v>37196</v>
          </cell>
          <cell r="E12">
            <v>37196</v>
          </cell>
          <cell r="F12">
            <v>37196</v>
          </cell>
          <cell r="G12">
            <v>37196</v>
          </cell>
          <cell r="H12">
            <v>37196</v>
          </cell>
          <cell r="I12">
            <v>37196</v>
          </cell>
          <cell r="J12">
            <v>37196</v>
          </cell>
          <cell r="K12">
            <v>37196</v>
          </cell>
          <cell r="L12">
            <v>37196</v>
          </cell>
          <cell r="M12">
            <v>37196</v>
          </cell>
          <cell r="N12">
            <v>37196</v>
          </cell>
          <cell r="O12">
            <v>37196</v>
          </cell>
          <cell r="P12">
            <v>37196</v>
          </cell>
          <cell r="R12">
            <v>37196</v>
          </cell>
          <cell r="S12">
            <v>37196</v>
          </cell>
          <cell r="T12">
            <v>37196</v>
          </cell>
          <cell r="U12">
            <v>37196</v>
          </cell>
          <cell r="V12">
            <v>37196</v>
          </cell>
          <cell r="W12">
            <v>37196</v>
          </cell>
          <cell r="X12">
            <v>37196</v>
          </cell>
          <cell r="Y12">
            <v>37196</v>
          </cell>
          <cell r="Z12">
            <v>37196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IF-FGT/Z2</v>
          </cell>
          <cell r="H13" t="str">
            <v>IF-FGT/Z2</v>
          </cell>
          <cell r="I13" t="str">
            <v>IF-FGT/Z3</v>
          </cell>
          <cell r="J13" t="str">
            <v>IF-FGT/Z3</v>
          </cell>
          <cell r="K13" t="str">
            <v>IF-FGT/MKT</v>
          </cell>
          <cell r="L13" t="str">
            <v>IF-FGT/MKT</v>
          </cell>
          <cell r="M13" t="str">
            <v>IF-FGT/MKTAREA</v>
          </cell>
          <cell r="N13" t="str">
            <v>IF-FGT/MKTAREA</v>
          </cell>
          <cell r="O13" t="str">
            <v>none</v>
          </cell>
          <cell r="P13" t="str">
            <v>none</v>
          </cell>
          <cell r="R13" t="str">
            <v>IF-FGT/MKT</v>
          </cell>
          <cell r="S13" t="str">
            <v>IF-FGT/MKT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VO</v>
          </cell>
          <cell r="R14" t="str">
            <v>VO</v>
          </cell>
          <cell r="S14" t="str">
            <v>VO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VO</v>
          </cell>
          <cell r="Y14" t="str">
            <v>VO</v>
          </cell>
          <cell r="Z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  <cell r="N15" t="str">
            <v>I</v>
          </cell>
          <cell r="O15" t="str">
            <v>D</v>
          </cell>
          <cell r="P15" t="str">
            <v>P</v>
          </cell>
          <cell r="R15" t="str">
            <v>P</v>
          </cell>
          <cell r="S15" t="str">
            <v>P</v>
          </cell>
          <cell r="T15" t="str">
            <v>D</v>
          </cell>
          <cell r="U15" t="str">
            <v>I</v>
          </cell>
          <cell r="V15" t="str">
            <v>D</v>
          </cell>
          <cell r="W15" t="str">
            <v>I</v>
          </cell>
          <cell r="X15" t="str">
            <v>P</v>
          </cell>
          <cell r="Y15" t="str">
            <v>P</v>
          </cell>
          <cell r="Z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SBRAWNE</v>
          </cell>
          <cell r="H16" t="str">
            <v>SBRAWNE</v>
          </cell>
          <cell r="I16" t="str">
            <v>SBRAWNE</v>
          </cell>
          <cell r="J16" t="str">
            <v>SBRAWNE</v>
          </cell>
          <cell r="K16" t="str">
            <v>BMCKAY_PC</v>
          </cell>
          <cell r="M16" t="str">
            <v>JROYED</v>
          </cell>
          <cell r="N16" t="str">
            <v>JROYED</v>
          </cell>
        </row>
        <row r="17">
          <cell r="C17">
            <v>37196</v>
          </cell>
          <cell r="D17">
            <v>2.6107069427135702E-2</v>
          </cell>
          <cell r="E17">
            <v>2.681</v>
          </cell>
          <cell r="F17">
            <v>1.1000000000000001</v>
          </cell>
          <cell r="G17">
            <v>7.4999999999999997E-3</v>
          </cell>
          <cell r="H17">
            <v>-0.02</v>
          </cell>
          <cell r="I17">
            <v>-3.2500000000000001E-2</v>
          </cell>
          <cell r="J17">
            <v>-0.01</v>
          </cell>
          <cell r="K17">
            <v>0.22</v>
          </cell>
          <cell r="M17">
            <v>0.22</v>
          </cell>
          <cell r="N17">
            <v>0</v>
          </cell>
          <cell r="R17">
            <v>1.1000000000000001</v>
          </cell>
          <cell r="S17">
            <v>1.1000000000000001</v>
          </cell>
        </row>
        <row r="18">
          <cell r="C18">
            <v>37226</v>
          </cell>
          <cell r="D18">
            <v>2.46451704484381E-2</v>
          </cell>
          <cell r="E18">
            <v>2.9350000000000001</v>
          </cell>
          <cell r="F18">
            <v>0.76500000000000001</v>
          </cell>
          <cell r="G18">
            <v>5.0000000000000001E-3</v>
          </cell>
          <cell r="H18">
            <v>-2.5000000000000001E-3</v>
          </cell>
          <cell r="I18">
            <v>-3.5000000000000003E-2</v>
          </cell>
          <cell r="J18">
            <v>-2.5000000000000001E-3</v>
          </cell>
          <cell r="K18">
            <v>0.2</v>
          </cell>
          <cell r="M18">
            <v>0.2</v>
          </cell>
          <cell r="N18">
            <v>0</v>
          </cell>
          <cell r="R18">
            <v>0.76500000000000001</v>
          </cell>
          <cell r="S18">
            <v>0.76500000000000001</v>
          </cell>
        </row>
        <row r="19">
          <cell r="C19">
            <v>37257</v>
          </cell>
          <cell r="D19">
            <v>2.4075347349061402E-2</v>
          </cell>
          <cell r="E19">
            <v>3.11</v>
          </cell>
          <cell r="F19">
            <v>0.75749999999999995</v>
          </cell>
          <cell r="G19">
            <v>5.0000000000000001E-3</v>
          </cell>
          <cell r="H19">
            <v>-2.5000000000000001E-3</v>
          </cell>
          <cell r="I19">
            <v>-3.5000000000000003E-2</v>
          </cell>
          <cell r="J19">
            <v>-2.5000000000000001E-3</v>
          </cell>
          <cell r="K19">
            <v>0.35</v>
          </cell>
          <cell r="M19">
            <v>7.4999999999999997E-2</v>
          </cell>
          <cell r="N19">
            <v>0</v>
          </cell>
          <cell r="R19">
            <v>0.75749999999999995</v>
          </cell>
          <cell r="S19">
            <v>0.75749999999999995</v>
          </cell>
        </row>
        <row r="20">
          <cell r="C20">
            <v>37288</v>
          </cell>
          <cell r="D20">
            <v>2.38777263165941E-2</v>
          </cell>
          <cell r="E20">
            <v>3.117</v>
          </cell>
          <cell r="F20">
            <v>0.70250000000000001</v>
          </cell>
          <cell r="G20">
            <v>5.0000000000000001E-3</v>
          </cell>
          <cell r="H20">
            <v>-2.5000000000000001E-3</v>
          </cell>
          <cell r="I20">
            <v>-3.5000000000000003E-2</v>
          </cell>
          <cell r="J20">
            <v>-2.5000000000000001E-3</v>
          </cell>
          <cell r="K20">
            <v>0.35</v>
          </cell>
          <cell r="M20">
            <v>0.1</v>
          </cell>
          <cell r="N20">
            <v>0</v>
          </cell>
          <cell r="R20">
            <v>0.70250000000000001</v>
          </cell>
          <cell r="S20">
            <v>0.70250000000000001</v>
          </cell>
        </row>
        <row r="21">
          <cell r="C21">
            <v>37316</v>
          </cell>
          <cell r="D21">
            <v>2.3554884971793501E-2</v>
          </cell>
          <cell r="E21">
            <v>3.0740000000000003</v>
          </cell>
          <cell r="F21">
            <v>0.63</v>
          </cell>
          <cell r="G21">
            <v>5.0000000000000001E-3</v>
          </cell>
          <cell r="H21">
            <v>-2.5000000000000001E-3</v>
          </cell>
          <cell r="I21">
            <v>-3.5000000000000003E-2</v>
          </cell>
          <cell r="J21">
            <v>-2.5000000000000001E-3</v>
          </cell>
          <cell r="K21">
            <v>0.4</v>
          </cell>
          <cell r="M21">
            <v>0.25</v>
          </cell>
          <cell r="N21">
            <v>0</v>
          </cell>
          <cell r="R21">
            <v>0.63</v>
          </cell>
          <cell r="S21">
            <v>0.63</v>
          </cell>
        </row>
        <row r="22">
          <cell r="C22">
            <v>37347</v>
          </cell>
          <cell r="D22">
            <v>2.3374746155112803E-2</v>
          </cell>
          <cell r="E22">
            <v>2.9820000000000002</v>
          </cell>
          <cell r="F22">
            <v>0.51749999999999996</v>
          </cell>
          <cell r="G22">
            <v>0.01</v>
          </cell>
          <cell r="H22">
            <v>5.0000000000000001E-3</v>
          </cell>
          <cell r="I22">
            <v>-2.2499999999999999E-2</v>
          </cell>
          <cell r="J22">
            <v>5.0000000000000001E-3</v>
          </cell>
          <cell r="K22">
            <v>0.6</v>
          </cell>
          <cell r="M22">
            <v>0.45</v>
          </cell>
          <cell r="N22">
            <v>0</v>
          </cell>
          <cell r="R22">
            <v>0.51749999999999996</v>
          </cell>
          <cell r="S22">
            <v>0.51749999999999996</v>
          </cell>
        </row>
        <row r="23">
          <cell r="C23">
            <v>37377</v>
          </cell>
          <cell r="D23">
            <v>2.3434028402120201E-2</v>
          </cell>
          <cell r="E23">
            <v>3.0130000000000003</v>
          </cell>
          <cell r="F23">
            <v>0.46500000000000002</v>
          </cell>
          <cell r="G23">
            <v>0.01</v>
          </cell>
          <cell r="H23">
            <v>5.0000000000000001E-3</v>
          </cell>
          <cell r="I23">
            <v>-2.2499999999999999E-2</v>
          </cell>
          <cell r="J23">
            <v>5.0000000000000001E-3</v>
          </cell>
          <cell r="K23">
            <v>0.75</v>
          </cell>
          <cell r="M23">
            <v>0.6</v>
          </cell>
          <cell r="N23">
            <v>0</v>
          </cell>
          <cell r="R23">
            <v>0.93</v>
          </cell>
          <cell r="S23">
            <v>0.69750000000000001</v>
          </cell>
        </row>
        <row r="24">
          <cell r="C24">
            <v>37408</v>
          </cell>
          <cell r="D24">
            <v>2.3495286725276902E-2</v>
          </cell>
          <cell r="E24">
            <v>3.0630000000000002</v>
          </cell>
          <cell r="F24">
            <v>0.45500000000000002</v>
          </cell>
          <cell r="G24">
            <v>1.2500000000000001E-2</v>
          </cell>
          <cell r="H24">
            <v>5.0000000000000001E-3</v>
          </cell>
          <cell r="I24">
            <v>-0.02</v>
          </cell>
          <cell r="J24">
            <v>5.0000000000000001E-3</v>
          </cell>
          <cell r="K24">
            <v>0.85</v>
          </cell>
          <cell r="M24">
            <v>0.7</v>
          </cell>
          <cell r="N24">
            <v>0</v>
          </cell>
          <cell r="R24">
            <v>0.91</v>
          </cell>
          <cell r="S24">
            <v>0.6825</v>
          </cell>
        </row>
        <row r="25">
          <cell r="C25">
            <v>37438</v>
          </cell>
          <cell r="D25">
            <v>2.36609101237324E-2</v>
          </cell>
          <cell r="E25">
            <v>3.1030000000000002</v>
          </cell>
          <cell r="F25">
            <v>0.45500000000000002</v>
          </cell>
          <cell r="G25">
            <v>0.01</v>
          </cell>
          <cell r="H25">
            <v>5.0000000000000001E-3</v>
          </cell>
          <cell r="I25">
            <v>-2.2499999999999999E-2</v>
          </cell>
          <cell r="J25">
            <v>5.0000000000000001E-3</v>
          </cell>
          <cell r="K25">
            <v>1.05</v>
          </cell>
          <cell r="M25">
            <v>0.9</v>
          </cell>
          <cell r="N25">
            <v>0</v>
          </cell>
          <cell r="R25">
            <v>0.91</v>
          </cell>
          <cell r="S25">
            <v>0.6825</v>
          </cell>
        </row>
        <row r="26">
          <cell r="C26">
            <v>37469</v>
          </cell>
          <cell r="D26">
            <v>2.4004072908744997E-2</v>
          </cell>
          <cell r="E26">
            <v>3.145</v>
          </cell>
          <cell r="F26">
            <v>0.45500000000000002</v>
          </cell>
          <cell r="G26">
            <v>7.4999999999999997E-3</v>
          </cell>
          <cell r="H26">
            <v>5.0000000000000001E-3</v>
          </cell>
          <cell r="I26">
            <v>-2.5000000000000001E-2</v>
          </cell>
          <cell r="J26">
            <v>5.0000000000000001E-3</v>
          </cell>
          <cell r="K26">
            <v>1.05</v>
          </cell>
          <cell r="M26">
            <v>0.9</v>
          </cell>
          <cell r="N26">
            <v>0</v>
          </cell>
          <cell r="R26">
            <v>0.91</v>
          </cell>
          <cell r="S26">
            <v>0.6825</v>
          </cell>
        </row>
        <row r="27">
          <cell r="C27">
            <v>37500</v>
          </cell>
          <cell r="D27">
            <v>2.4347235733580802E-2</v>
          </cell>
          <cell r="E27">
            <v>3.145</v>
          </cell>
          <cell r="F27">
            <v>0.45500000000000002</v>
          </cell>
          <cell r="G27">
            <v>7.4999999999999997E-3</v>
          </cell>
          <cell r="H27">
            <v>5.0000000000000001E-3</v>
          </cell>
          <cell r="I27">
            <v>-2.5000000000000001E-2</v>
          </cell>
          <cell r="J27">
            <v>5.0000000000000001E-3</v>
          </cell>
          <cell r="K27">
            <v>0.75</v>
          </cell>
          <cell r="M27">
            <v>0.6</v>
          </cell>
          <cell r="N27">
            <v>0</v>
          </cell>
          <cell r="R27">
            <v>0.91</v>
          </cell>
          <cell r="S27">
            <v>0.6825</v>
          </cell>
        </row>
        <row r="28">
          <cell r="C28">
            <v>37530</v>
          </cell>
          <cell r="D28">
            <v>2.4753847192737301E-2</v>
          </cell>
          <cell r="E28">
            <v>3.1749999999999998</v>
          </cell>
          <cell r="F28">
            <v>0.45500000000000002</v>
          </cell>
          <cell r="G28">
            <v>7.4999999999999997E-3</v>
          </cell>
          <cell r="H28">
            <v>5.0000000000000001E-3</v>
          </cell>
          <cell r="I28">
            <v>-2.5000000000000001E-2</v>
          </cell>
          <cell r="J28">
            <v>5.0000000000000001E-3</v>
          </cell>
          <cell r="K28">
            <v>0.45</v>
          </cell>
          <cell r="M28">
            <v>0.3</v>
          </cell>
          <cell r="N28">
            <v>0</v>
          </cell>
          <cell r="R28">
            <v>0.45500000000000002</v>
          </cell>
          <cell r="S28">
            <v>0.45500000000000002</v>
          </cell>
        </row>
        <row r="29">
          <cell r="C29">
            <v>37561</v>
          </cell>
          <cell r="D29">
            <v>2.5279821037232302E-2</v>
          </cell>
          <cell r="E29">
            <v>3.36</v>
          </cell>
          <cell r="F29">
            <v>0.45500000000000002</v>
          </cell>
          <cell r="G29">
            <v>5.0000000000000001E-3</v>
          </cell>
          <cell r="H29">
            <v>5.0000000000000001E-3</v>
          </cell>
          <cell r="I29">
            <v>-2.2499999999999999E-2</v>
          </cell>
          <cell r="J29">
            <v>2.5000000000000001E-3</v>
          </cell>
          <cell r="K29">
            <v>0.45</v>
          </cell>
          <cell r="M29">
            <v>0.27</v>
          </cell>
          <cell r="N29">
            <v>0</v>
          </cell>
          <cell r="R29">
            <v>0.45500000000000002</v>
          </cell>
          <cell r="S29">
            <v>0.45500000000000002</v>
          </cell>
        </row>
        <row r="30">
          <cell r="C30">
            <v>37591</v>
          </cell>
          <cell r="D30">
            <v>2.5788828072538902E-2</v>
          </cell>
          <cell r="E30">
            <v>3.57</v>
          </cell>
          <cell r="F30">
            <v>0.45250000000000001</v>
          </cell>
          <cell r="G30">
            <v>5.0000000000000001E-3</v>
          </cell>
          <cell r="H30">
            <v>5.0000000000000001E-3</v>
          </cell>
          <cell r="I30">
            <v>-2.2499999999999999E-2</v>
          </cell>
          <cell r="J30">
            <v>2.5000000000000001E-3</v>
          </cell>
          <cell r="K30">
            <v>0.4</v>
          </cell>
          <cell r="M30">
            <v>0.25</v>
          </cell>
          <cell r="N30">
            <v>0</v>
          </cell>
          <cell r="R30">
            <v>0.45250000000000001</v>
          </cell>
          <cell r="S30">
            <v>0.45250000000000001</v>
          </cell>
        </row>
        <row r="31">
          <cell r="C31">
            <v>37622</v>
          </cell>
          <cell r="D31">
            <v>2.6368072268864E-2</v>
          </cell>
          <cell r="E31">
            <v>3.6949999999999998</v>
          </cell>
          <cell r="F31">
            <v>0.45250000000000001</v>
          </cell>
          <cell r="G31">
            <v>5.0000000000000001E-3</v>
          </cell>
          <cell r="H31">
            <v>5.0000000000000001E-3</v>
          </cell>
          <cell r="I31">
            <v>-2.2499999999999999E-2</v>
          </cell>
          <cell r="J31">
            <v>2.5000000000000001E-3</v>
          </cell>
          <cell r="K31">
            <v>0.35</v>
          </cell>
          <cell r="M31">
            <v>7.4999999999999997E-2</v>
          </cell>
          <cell r="N31">
            <v>0</v>
          </cell>
          <cell r="R31">
            <v>0.45250000000000001</v>
          </cell>
          <cell r="S31">
            <v>0.45250000000000001</v>
          </cell>
        </row>
        <row r="32">
          <cell r="C32">
            <v>37653</v>
          </cell>
          <cell r="D32">
            <v>2.7012001796315601E-2</v>
          </cell>
          <cell r="E32">
            <v>3.613</v>
          </cell>
          <cell r="F32">
            <v>0.44500000000000001</v>
          </cell>
          <cell r="G32">
            <v>5.0000000000000001E-3</v>
          </cell>
          <cell r="H32">
            <v>5.0000000000000001E-3</v>
          </cell>
          <cell r="I32">
            <v>-2.2499999999999999E-2</v>
          </cell>
          <cell r="J32">
            <v>2.5000000000000001E-3</v>
          </cell>
          <cell r="K32">
            <v>0.35</v>
          </cell>
          <cell r="M32">
            <v>7.4999999999999997E-2</v>
          </cell>
          <cell r="N32">
            <v>0</v>
          </cell>
          <cell r="R32">
            <v>0.44500000000000001</v>
          </cell>
          <cell r="S32">
            <v>0.44500000000000001</v>
          </cell>
        </row>
        <row r="33">
          <cell r="C33">
            <v>37681</v>
          </cell>
          <cell r="D33">
            <v>2.7593615683391401E-2</v>
          </cell>
          <cell r="E33">
            <v>3.5180000000000002</v>
          </cell>
          <cell r="F33">
            <v>0.42749999999999999</v>
          </cell>
          <cell r="G33">
            <v>5.0000000000000001E-3</v>
          </cell>
          <cell r="H33">
            <v>5.0000000000000001E-3</v>
          </cell>
          <cell r="I33">
            <v>-2.2499999999999999E-2</v>
          </cell>
          <cell r="J33">
            <v>2.5000000000000001E-3</v>
          </cell>
          <cell r="K33">
            <v>0.4</v>
          </cell>
          <cell r="M33">
            <v>0.25</v>
          </cell>
          <cell r="N33">
            <v>0</v>
          </cell>
          <cell r="R33">
            <v>0.42749999999999999</v>
          </cell>
          <cell r="S33">
            <v>0.42749999999999999</v>
          </cell>
        </row>
        <row r="34">
          <cell r="C34">
            <v>37712</v>
          </cell>
          <cell r="D34">
            <v>2.8234996141192101E-2</v>
          </cell>
          <cell r="E34">
            <v>3.3930000000000002</v>
          </cell>
          <cell r="F34">
            <v>0.38</v>
          </cell>
          <cell r="G34">
            <v>0.01</v>
          </cell>
          <cell r="H34">
            <v>5.0000000000000001E-3</v>
          </cell>
          <cell r="I34">
            <v>-1.7500000000000002E-2</v>
          </cell>
          <cell r="J34">
            <v>5.0000000000000001E-3</v>
          </cell>
          <cell r="K34">
            <v>0.6</v>
          </cell>
          <cell r="M34">
            <v>0.5</v>
          </cell>
          <cell r="N34">
            <v>0</v>
          </cell>
          <cell r="R34">
            <v>0.38</v>
          </cell>
          <cell r="S34">
            <v>0.38</v>
          </cell>
        </row>
        <row r="35">
          <cell r="C35">
            <v>37742</v>
          </cell>
          <cell r="D35">
            <v>2.8844048160616701E-2</v>
          </cell>
          <cell r="E35">
            <v>3.3930000000000002</v>
          </cell>
          <cell r="F35">
            <v>0.36249999999999999</v>
          </cell>
          <cell r="G35">
            <v>0.01</v>
          </cell>
          <cell r="H35">
            <v>5.0000000000000001E-3</v>
          </cell>
          <cell r="I35">
            <v>-1.7500000000000002E-2</v>
          </cell>
          <cell r="J35">
            <v>5.0000000000000001E-3</v>
          </cell>
          <cell r="K35">
            <v>0.75</v>
          </cell>
          <cell r="M35">
            <v>0.65</v>
          </cell>
          <cell r="N35">
            <v>0</v>
          </cell>
          <cell r="R35">
            <v>0.72499999999999998</v>
          </cell>
          <cell r="S35">
            <v>0.54374999999999996</v>
          </cell>
        </row>
        <row r="36">
          <cell r="C36">
            <v>37773</v>
          </cell>
          <cell r="D36">
            <v>2.94734020454923E-2</v>
          </cell>
          <cell r="E36">
            <v>3.415</v>
          </cell>
          <cell r="F36">
            <v>0.35749999999999998</v>
          </cell>
          <cell r="G36">
            <v>1.2500000000000001E-2</v>
          </cell>
          <cell r="H36">
            <v>5.0000000000000001E-3</v>
          </cell>
          <cell r="I36">
            <v>-1.4999999999999999E-2</v>
          </cell>
          <cell r="J36">
            <v>5.0000000000000001E-3</v>
          </cell>
          <cell r="K36">
            <v>0.85</v>
          </cell>
          <cell r="M36">
            <v>0.75</v>
          </cell>
          <cell r="N36">
            <v>0</v>
          </cell>
          <cell r="R36">
            <v>0.71499999999999997</v>
          </cell>
          <cell r="S36">
            <v>0.53625</v>
          </cell>
        </row>
        <row r="37">
          <cell r="C37">
            <v>37803</v>
          </cell>
          <cell r="D37">
            <v>3.0083341452871601E-2</v>
          </cell>
          <cell r="E37">
            <v>3.44</v>
          </cell>
          <cell r="F37">
            <v>0.35749999999999998</v>
          </cell>
          <cell r="G37">
            <v>0.01</v>
          </cell>
          <cell r="H37">
            <v>5.0000000000000001E-3</v>
          </cell>
          <cell r="I37">
            <v>-1.7500000000000002E-2</v>
          </cell>
          <cell r="J37">
            <v>5.0000000000000001E-3</v>
          </cell>
          <cell r="K37">
            <v>1.05</v>
          </cell>
          <cell r="M37">
            <v>0.95</v>
          </cell>
          <cell r="N37">
            <v>0</v>
          </cell>
          <cell r="R37">
            <v>0.71499999999999997</v>
          </cell>
          <cell r="S37">
            <v>0.53625</v>
          </cell>
        </row>
        <row r="38">
          <cell r="C38">
            <v>37834</v>
          </cell>
          <cell r="D38">
            <v>3.0714892406518601E-2</v>
          </cell>
          <cell r="E38">
            <v>3.472</v>
          </cell>
          <cell r="F38">
            <v>0.35749999999999998</v>
          </cell>
          <cell r="G38">
            <v>7.4999999999999997E-3</v>
          </cell>
          <cell r="H38">
            <v>5.0000000000000001E-3</v>
          </cell>
          <cell r="I38">
            <v>-0.02</v>
          </cell>
          <cell r="J38">
            <v>5.0000000000000001E-3</v>
          </cell>
          <cell r="K38">
            <v>1.05</v>
          </cell>
          <cell r="M38">
            <v>0.95</v>
          </cell>
          <cell r="N38">
            <v>0</v>
          </cell>
          <cell r="R38">
            <v>0.71499999999999997</v>
          </cell>
          <cell r="S38">
            <v>0.53625</v>
          </cell>
        </row>
        <row r="39">
          <cell r="C39">
            <v>37865</v>
          </cell>
          <cell r="D39">
            <v>3.1346443494602902E-2</v>
          </cell>
          <cell r="E39">
            <v>3.472</v>
          </cell>
          <cell r="F39">
            <v>0.35749999999999998</v>
          </cell>
          <cell r="G39">
            <v>7.4999999999999997E-3</v>
          </cell>
          <cell r="H39">
            <v>5.0000000000000001E-3</v>
          </cell>
          <cell r="I39">
            <v>-0.02</v>
          </cell>
          <cell r="J39">
            <v>5.0000000000000001E-3</v>
          </cell>
          <cell r="K39">
            <v>0.75</v>
          </cell>
          <cell r="M39">
            <v>0.65</v>
          </cell>
          <cell r="N39">
            <v>0</v>
          </cell>
          <cell r="R39">
            <v>0.71499999999999997</v>
          </cell>
          <cell r="S39">
            <v>0.53625</v>
          </cell>
        </row>
        <row r="40">
          <cell r="C40">
            <v>37895</v>
          </cell>
          <cell r="D40">
            <v>3.1947768598393995E-2</v>
          </cell>
          <cell r="E40">
            <v>3.4870000000000001</v>
          </cell>
          <cell r="F40">
            <v>0.35749999999999998</v>
          </cell>
          <cell r="G40">
            <v>7.4999999999999997E-3</v>
          </cell>
          <cell r="H40">
            <v>5.0000000000000001E-3</v>
          </cell>
          <cell r="I40">
            <v>-0.02</v>
          </cell>
          <cell r="J40">
            <v>5.0000000000000001E-3</v>
          </cell>
          <cell r="K40">
            <v>0.45</v>
          </cell>
          <cell r="M40">
            <v>0.35</v>
          </cell>
          <cell r="N40">
            <v>0</v>
          </cell>
          <cell r="R40">
            <v>0.35749999999999998</v>
          </cell>
          <cell r="S40">
            <v>0.35749999999999998</v>
          </cell>
        </row>
        <row r="41">
          <cell r="C41">
            <v>37926</v>
          </cell>
          <cell r="D41">
            <v>3.2556803992008602E-2</v>
          </cell>
          <cell r="E41">
            <v>3.65</v>
          </cell>
          <cell r="F41">
            <v>0.35749999999999998</v>
          </cell>
          <cell r="G41">
            <v>5.0000000000000001E-3</v>
          </cell>
          <cell r="H41">
            <v>7.4999999999999997E-3</v>
          </cell>
          <cell r="I41">
            <v>-0.02</v>
          </cell>
          <cell r="J41">
            <v>2.5000000000000001E-3</v>
          </cell>
          <cell r="K41">
            <v>0.45</v>
          </cell>
          <cell r="M41">
            <v>0.27</v>
          </cell>
          <cell r="N41">
            <v>0</v>
          </cell>
          <cell r="R41">
            <v>0.35749999999999998</v>
          </cell>
          <cell r="S41">
            <v>0.35749999999999998</v>
          </cell>
        </row>
        <row r="42">
          <cell r="C42">
            <v>37956</v>
          </cell>
          <cell r="D42">
            <v>3.3146193201532899E-2</v>
          </cell>
          <cell r="E42">
            <v>3.7970000000000002</v>
          </cell>
          <cell r="F42">
            <v>0.35749999999999998</v>
          </cell>
          <cell r="G42">
            <v>5.0000000000000001E-3</v>
          </cell>
          <cell r="H42">
            <v>7.4999999999999997E-3</v>
          </cell>
          <cell r="I42">
            <v>-0.02</v>
          </cell>
          <cell r="J42">
            <v>2.5000000000000001E-3</v>
          </cell>
          <cell r="K42">
            <v>0.4</v>
          </cell>
          <cell r="M42">
            <v>0.25</v>
          </cell>
          <cell r="N42">
            <v>0</v>
          </cell>
          <cell r="R42">
            <v>0.35749999999999998</v>
          </cell>
          <cell r="S42">
            <v>0.35749999999999998</v>
          </cell>
        </row>
        <row r="43">
          <cell r="C43">
            <v>37987</v>
          </cell>
          <cell r="D43">
            <v>3.3749246902441903E-2</v>
          </cell>
          <cell r="E43">
            <v>3.8370000000000002</v>
          </cell>
          <cell r="F43">
            <v>0.35249999999999998</v>
          </cell>
          <cell r="G43">
            <v>5.0000000000000001E-3</v>
          </cell>
          <cell r="H43">
            <v>7.4999999999999997E-3</v>
          </cell>
          <cell r="I43">
            <v>-0.02</v>
          </cell>
          <cell r="J43">
            <v>2.5000000000000001E-3</v>
          </cell>
          <cell r="K43">
            <v>0.35</v>
          </cell>
          <cell r="M43">
            <v>7.4999999999999997E-2</v>
          </cell>
          <cell r="N43">
            <v>0</v>
          </cell>
          <cell r="R43">
            <v>0.35249999999999998</v>
          </cell>
          <cell r="S43">
            <v>0.35249999999999998</v>
          </cell>
        </row>
        <row r="44">
          <cell r="C44">
            <v>38018</v>
          </cell>
          <cell r="D44">
            <v>3.4345919990110399E-2</v>
          </cell>
          <cell r="E44">
            <v>3.75</v>
          </cell>
          <cell r="F44">
            <v>0.34749999999999998</v>
          </cell>
          <cell r="G44">
            <v>5.0000000000000001E-3</v>
          </cell>
          <cell r="H44">
            <v>7.4999999999999997E-3</v>
          </cell>
          <cell r="I44">
            <v>-0.02</v>
          </cell>
          <cell r="J44">
            <v>2.5000000000000001E-3</v>
          </cell>
          <cell r="K44">
            <v>0.35</v>
          </cell>
          <cell r="M44">
            <v>7.4999999999999997E-2</v>
          </cell>
          <cell r="N44">
            <v>0</v>
          </cell>
          <cell r="R44">
            <v>0.34749999999999998</v>
          </cell>
          <cell r="S44">
            <v>0.34749999999999998</v>
          </cell>
        </row>
        <row r="45">
          <cell r="C45">
            <v>38047</v>
          </cell>
          <cell r="D45">
            <v>3.4904098148306001E-2</v>
          </cell>
          <cell r="E45">
            <v>3.6110000000000002</v>
          </cell>
          <cell r="F45">
            <v>0.33500000000000002</v>
          </cell>
          <cell r="G45">
            <v>5.0000000000000001E-3</v>
          </cell>
          <cell r="H45">
            <v>7.4999999999999997E-3</v>
          </cell>
          <cell r="I45">
            <v>-0.02</v>
          </cell>
          <cell r="J45">
            <v>2.5000000000000001E-3</v>
          </cell>
          <cell r="K45">
            <v>0.4</v>
          </cell>
          <cell r="M45">
            <v>0.25</v>
          </cell>
          <cell r="N45">
            <v>0</v>
          </cell>
          <cell r="R45">
            <v>0.33500000000000002</v>
          </cell>
          <cell r="S45">
            <v>0.33500000000000002</v>
          </cell>
        </row>
        <row r="46">
          <cell r="C46">
            <v>38078</v>
          </cell>
          <cell r="D46">
            <v>3.5466671553804098E-2</v>
          </cell>
          <cell r="E46">
            <v>3.4570000000000003</v>
          </cell>
          <cell r="F46">
            <v>0.3075</v>
          </cell>
          <cell r="G46">
            <v>9.0000000000000011E-3</v>
          </cell>
          <cell r="H46">
            <v>5.0000000000000001E-3</v>
          </cell>
          <cell r="I46">
            <v>-1.6E-2</v>
          </cell>
          <cell r="J46">
            <v>7.4999999999999997E-3</v>
          </cell>
          <cell r="K46">
            <v>0.6</v>
          </cell>
          <cell r="M46">
            <v>0.55000000000000004</v>
          </cell>
          <cell r="N46">
            <v>0</v>
          </cell>
          <cell r="R46">
            <v>0.3075</v>
          </cell>
          <cell r="S46">
            <v>0.3075</v>
          </cell>
        </row>
        <row r="47">
          <cell r="C47">
            <v>38108</v>
          </cell>
          <cell r="D47">
            <v>3.5975897614188006E-2</v>
          </cell>
          <cell r="E47">
            <v>3.4620000000000002</v>
          </cell>
          <cell r="F47">
            <v>0.30249999999999999</v>
          </cell>
          <cell r="G47">
            <v>9.0000000000000011E-3</v>
          </cell>
          <cell r="H47">
            <v>5.0000000000000001E-3</v>
          </cell>
          <cell r="I47">
            <v>-1.6E-2</v>
          </cell>
          <cell r="J47">
            <v>7.4999999999999997E-3</v>
          </cell>
          <cell r="K47">
            <v>0.75</v>
          </cell>
          <cell r="M47">
            <v>0.7</v>
          </cell>
          <cell r="N47">
            <v>0</v>
          </cell>
          <cell r="R47">
            <v>0.60499999999999998</v>
          </cell>
          <cell r="S47">
            <v>0.45374999999999999</v>
          </cell>
        </row>
        <row r="48">
          <cell r="C48">
            <v>38139</v>
          </cell>
          <cell r="D48">
            <v>3.6502097968167398E-2</v>
          </cell>
          <cell r="E48">
            <v>3.5</v>
          </cell>
          <cell r="F48">
            <v>0.30249999999999999</v>
          </cell>
          <cell r="G48">
            <v>1.15E-2</v>
          </cell>
          <cell r="H48">
            <v>5.0000000000000001E-3</v>
          </cell>
          <cell r="I48">
            <v>-1.35E-2</v>
          </cell>
          <cell r="J48">
            <v>7.4999999999999997E-3</v>
          </cell>
          <cell r="K48">
            <v>0.85</v>
          </cell>
          <cell r="M48">
            <v>0.8</v>
          </cell>
          <cell r="N48">
            <v>0</v>
          </cell>
          <cell r="R48">
            <v>0.60499999999999998</v>
          </cell>
          <cell r="S48">
            <v>0.45374999999999999</v>
          </cell>
        </row>
        <row r="49">
          <cell r="C49">
            <v>38169</v>
          </cell>
          <cell r="D49">
            <v>3.69924836168933E-2</v>
          </cell>
          <cell r="E49">
            <v>3.5449999999999999</v>
          </cell>
          <cell r="F49">
            <v>0.30249999999999999</v>
          </cell>
          <cell r="G49">
            <v>9.0000000000000011E-3</v>
          </cell>
          <cell r="H49">
            <v>5.0000000000000001E-3</v>
          </cell>
          <cell r="I49">
            <v>-1.6E-2</v>
          </cell>
          <cell r="J49">
            <v>7.4999999999999997E-3</v>
          </cell>
          <cell r="K49">
            <v>1.05</v>
          </cell>
          <cell r="M49">
            <v>1</v>
          </cell>
          <cell r="N49">
            <v>0</v>
          </cell>
          <cell r="R49">
            <v>0.60499999999999998</v>
          </cell>
          <cell r="S49">
            <v>0.45374999999999999</v>
          </cell>
        </row>
        <row r="50">
          <cell r="C50">
            <v>38200</v>
          </cell>
          <cell r="D50">
            <v>3.74785437604142E-2</v>
          </cell>
          <cell r="E50">
            <v>3.5830000000000002</v>
          </cell>
          <cell r="F50">
            <v>0.30249999999999999</v>
          </cell>
          <cell r="G50">
            <v>6.5000000000000006E-3</v>
          </cell>
          <cell r="H50">
            <v>5.0000000000000001E-3</v>
          </cell>
          <cell r="I50">
            <v>-1.8500000000000003E-2</v>
          </cell>
          <cell r="J50">
            <v>7.4999999999999997E-3</v>
          </cell>
          <cell r="K50">
            <v>1.05</v>
          </cell>
          <cell r="M50">
            <v>1</v>
          </cell>
          <cell r="N50">
            <v>0</v>
          </cell>
          <cell r="R50">
            <v>0.60499999999999998</v>
          </cell>
          <cell r="S50">
            <v>0.45374999999999999</v>
          </cell>
        </row>
        <row r="51">
          <cell r="C51">
            <v>38231</v>
          </cell>
          <cell r="D51">
            <v>3.7964603983300801E-2</v>
          </cell>
          <cell r="E51">
            <v>3.577</v>
          </cell>
          <cell r="F51">
            <v>0.30249999999999999</v>
          </cell>
          <cell r="G51">
            <v>6.5000000000000006E-3</v>
          </cell>
          <cell r="H51">
            <v>5.0000000000000001E-3</v>
          </cell>
          <cell r="I51">
            <v>-1.8500000000000003E-2</v>
          </cell>
          <cell r="J51">
            <v>7.4999999999999997E-3</v>
          </cell>
          <cell r="K51">
            <v>0.75</v>
          </cell>
          <cell r="M51">
            <v>0.65</v>
          </cell>
          <cell r="N51">
            <v>0</v>
          </cell>
          <cell r="R51">
            <v>0.60499999999999998</v>
          </cell>
          <cell r="S51">
            <v>0.45374999999999999</v>
          </cell>
        </row>
        <row r="52">
          <cell r="C52">
            <v>38261</v>
          </cell>
          <cell r="D52">
            <v>3.8416276345083003E-2</v>
          </cell>
          <cell r="E52">
            <v>3.577</v>
          </cell>
          <cell r="F52">
            <v>0.30249999999999999</v>
          </cell>
          <cell r="G52">
            <v>6.5000000000000006E-3</v>
          </cell>
          <cell r="H52">
            <v>5.0000000000000001E-3</v>
          </cell>
          <cell r="I52">
            <v>-1.8500000000000003E-2</v>
          </cell>
          <cell r="J52">
            <v>7.4999999999999997E-3</v>
          </cell>
          <cell r="K52">
            <v>0.45</v>
          </cell>
          <cell r="M52">
            <v>0.35</v>
          </cell>
          <cell r="N52">
            <v>0</v>
          </cell>
          <cell r="R52">
            <v>0.30249999999999999</v>
          </cell>
          <cell r="S52">
            <v>0.30249999999999999</v>
          </cell>
        </row>
        <row r="53">
          <cell r="C53">
            <v>38292</v>
          </cell>
          <cell r="D53">
            <v>3.8865022537725002E-2</v>
          </cell>
          <cell r="E53">
            <v>3.7250000000000001</v>
          </cell>
          <cell r="F53">
            <v>0.30249999999999999</v>
          </cell>
          <cell r="G53">
            <v>6.0000000000000001E-3</v>
          </cell>
          <cell r="H53">
            <v>7.4999999999999997E-3</v>
          </cell>
          <cell r="I53">
            <v>-1.6500000000000001E-2</v>
          </cell>
          <cell r="J53">
            <v>2.5000000000000001E-3</v>
          </cell>
          <cell r="K53">
            <v>0.45</v>
          </cell>
          <cell r="M53">
            <v>0.27</v>
          </cell>
          <cell r="N53">
            <v>0</v>
          </cell>
          <cell r="R53">
            <v>0.30249999999999999</v>
          </cell>
          <cell r="S53">
            <v>0.30249999999999999</v>
          </cell>
        </row>
        <row r="54">
          <cell r="C54">
            <v>38322</v>
          </cell>
          <cell r="D54">
            <v>3.9299293111099601E-2</v>
          </cell>
          <cell r="E54">
            <v>3.8770000000000002</v>
          </cell>
          <cell r="F54">
            <v>0.3</v>
          </cell>
          <cell r="G54">
            <v>6.0000000000000001E-3</v>
          </cell>
          <cell r="H54">
            <v>7.4999999999999997E-3</v>
          </cell>
          <cell r="I54">
            <v>-1.6500000000000001E-2</v>
          </cell>
          <cell r="J54">
            <v>2.5000000000000001E-3</v>
          </cell>
          <cell r="K54">
            <v>0.4</v>
          </cell>
          <cell r="M54">
            <v>0.25</v>
          </cell>
          <cell r="N54">
            <v>0</v>
          </cell>
          <cell r="R54">
            <v>0.3</v>
          </cell>
          <cell r="S54">
            <v>0.3</v>
          </cell>
        </row>
        <row r="55">
          <cell r="C55">
            <v>38353</v>
          </cell>
          <cell r="D55">
            <v>3.9736460642034302E-2</v>
          </cell>
          <cell r="E55">
            <v>3.9370000000000003</v>
          </cell>
          <cell r="F55">
            <v>0.3</v>
          </cell>
          <cell r="G55">
            <v>6.0000000000000001E-3</v>
          </cell>
          <cell r="H55">
            <v>7.4999999999999997E-3</v>
          </cell>
          <cell r="I55">
            <v>-1.6500000000000001E-2</v>
          </cell>
          <cell r="J55">
            <v>2.5000000000000001E-3</v>
          </cell>
          <cell r="K55">
            <v>0.35</v>
          </cell>
          <cell r="M55">
            <v>7.4999999999999997E-2</v>
          </cell>
          <cell r="N55">
            <v>0</v>
          </cell>
          <cell r="R55">
            <v>0.3</v>
          </cell>
          <cell r="S55">
            <v>0.3</v>
          </cell>
        </row>
        <row r="56">
          <cell r="C56">
            <v>38384</v>
          </cell>
          <cell r="D56">
            <v>4.01640927577325E-2</v>
          </cell>
          <cell r="E56">
            <v>3.85</v>
          </cell>
          <cell r="F56">
            <v>0.29749999999999999</v>
          </cell>
          <cell r="G56">
            <v>6.0000000000000001E-3</v>
          </cell>
          <cell r="H56">
            <v>7.4999999999999997E-3</v>
          </cell>
          <cell r="I56">
            <v>-1.6500000000000001E-2</v>
          </cell>
          <cell r="J56">
            <v>2.5000000000000001E-3</v>
          </cell>
          <cell r="K56">
            <v>0.35</v>
          </cell>
          <cell r="M56">
            <v>7.4999999999999997E-2</v>
          </cell>
          <cell r="N56">
            <v>0</v>
          </cell>
          <cell r="R56">
            <v>0.29749999999999999</v>
          </cell>
          <cell r="S56">
            <v>0.29749999999999999</v>
          </cell>
        </row>
        <row r="57">
          <cell r="C57">
            <v>38412</v>
          </cell>
          <cell r="D57">
            <v>4.0550341173031704E-2</v>
          </cell>
          <cell r="E57">
            <v>3.7110000000000003</v>
          </cell>
          <cell r="F57">
            <v>0.28249999999999997</v>
          </cell>
          <cell r="G57">
            <v>6.0000000000000001E-3</v>
          </cell>
          <cell r="H57">
            <v>7.4999999999999997E-3</v>
          </cell>
          <cell r="I57">
            <v>-1.6500000000000001E-2</v>
          </cell>
          <cell r="J57">
            <v>2.5000000000000001E-3</v>
          </cell>
          <cell r="K57">
            <v>0.4</v>
          </cell>
          <cell r="M57">
            <v>0.25</v>
          </cell>
          <cell r="N57">
            <v>0</v>
          </cell>
          <cell r="R57">
            <v>0.28249999999999997</v>
          </cell>
          <cell r="S57">
            <v>0.28249999999999997</v>
          </cell>
        </row>
        <row r="58">
          <cell r="C58">
            <v>38443</v>
          </cell>
          <cell r="D58">
            <v>4.0948974275518205E-2</v>
          </cell>
          <cell r="E58">
            <v>3.5570000000000004</v>
          </cell>
          <cell r="F58">
            <v>0.27</v>
          </cell>
          <cell r="G58">
            <v>0.01</v>
          </cell>
          <cell r="H58">
            <v>7.4999999999999997E-3</v>
          </cell>
          <cell r="I58">
            <v>-1.2500000000000001E-2</v>
          </cell>
          <cell r="J58">
            <v>7.4999999999999997E-3</v>
          </cell>
          <cell r="K58">
            <v>0.6</v>
          </cell>
          <cell r="M58">
            <v>0.6</v>
          </cell>
          <cell r="N58">
            <v>0</v>
          </cell>
          <cell r="R58">
            <v>0.27</v>
          </cell>
          <cell r="S58">
            <v>0.27</v>
          </cell>
        </row>
        <row r="59">
          <cell r="C59">
            <v>38473</v>
          </cell>
          <cell r="D59">
            <v>4.1309504009789097E-2</v>
          </cell>
          <cell r="E59">
            <v>3.5620000000000003</v>
          </cell>
          <cell r="F59">
            <v>0.26250000000000001</v>
          </cell>
          <cell r="G59">
            <v>0.01</v>
          </cell>
          <cell r="H59">
            <v>7.4999999999999997E-3</v>
          </cell>
          <cell r="I59">
            <v>-1.2500000000000001E-2</v>
          </cell>
          <cell r="J59">
            <v>7.4999999999999997E-3</v>
          </cell>
          <cell r="K59">
            <v>0.75</v>
          </cell>
          <cell r="M59">
            <v>0.75</v>
          </cell>
          <cell r="N59">
            <v>0</v>
          </cell>
          <cell r="R59">
            <v>0.52500000000000002</v>
          </cell>
          <cell r="S59">
            <v>0.39375000000000004</v>
          </cell>
        </row>
        <row r="60">
          <cell r="C60">
            <v>38504</v>
          </cell>
          <cell r="D60">
            <v>4.1682051447656097E-2</v>
          </cell>
          <cell r="E60">
            <v>3.6</v>
          </cell>
          <cell r="F60">
            <v>0.25750000000000001</v>
          </cell>
          <cell r="G60">
            <v>1.2500000000000001E-2</v>
          </cell>
          <cell r="H60">
            <v>7.4999999999999997E-3</v>
          </cell>
          <cell r="I60">
            <v>-0.01</v>
          </cell>
          <cell r="J60">
            <v>7.4999999999999997E-3</v>
          </cell>
          <cell r="K60">
            <v>0.85</v>
          </cell>
          <cell r="M60">
            <v>0.85</v>
          </cell>
          <cell r="N60">
            <v>0</v>
          </cell>
          <cell r="R60">
            <v>0.51500000000000001</v>
          </cell>
          <cell r="S60">
            <v>0.38624999999999998</v>
          </cell>
        </row>
        <row r="61">
          <cell r="C61">
            <v>38534</v>
          </cell>
          <cell r="D61">
            <v>4.2028790488236802E-2</v>
          </cell>
          <cell r="E61">
            <v>3.645</v>
          </cell>
          <cell r="F61">
            <v>0.25750000000000001</v>
          </cell>
          <cell r="G61">
            <v>0.01</v>
          </cell>
          <cell r="H61">
            <v>7.4999999999999997E-3</v>
          </cell>
          <cell r="I61">
            <v>-1.2500000000000001E-2</v>
          </cell>
          <cell r="J61">
            <v>7.4999999999999997E-3</v>
          </cell>
          <cell r="K61">
            <v>1.05</v>
          </cell>
          <cell r="M61">
            <v>1.05</v>
          </cell>
          <cell r="N61">
            <v>0</v>
          </cell>
          <cell r="R61">
            <v>0.51500000000000001</v>
          </cell>
          <cell r="S61">
            <v>0.38624999999999998</v>
          </cell>
        </row>
        <row r="62">
          <cell r="C62">
            <v>38565</v>
          </cell>
          <cell r="D62">
            <v>4.2373817407468796E-2</v>
          </cell>
          <cell r="E62">
            <v>3.6830000000000003</v>
          </cell>
          <cell r="F62">
            <v>0.25750000000000001</v>
          </cell>
          <cell r="G62">
            <v>7.4999999999999997E-3</v>
          </cell>
          <cell r="H62">
            <v>7.4999999999999997E-3</v>
          </cell>
          <cell r="I62">
            <v>-1.4999999999999999E-2</v>
          </cell>
          <cell r="J62">
            <v>7.4999999999999997E-3</v>
          </cell>
          <cell r="K62">
            <v>1.05</v>
          </cell>
          <cell r="M62">
            <v>1.05</v>
          </cell>
          <cell r="N62">
            <v>0</v>
          </cell>
          <cell r="R62">
            <v>0.51500000000000001</v>
          </cell>
          <cell r="S62">
            <v>0.38624999999999998</v>
          </cell>
        </row>
        <row r="63">
          <cell r="C63">
            <v>38596</v>
          </cell>
          <cell r="D63">
            <v>4.2718844366596398E-2</v>
          </cell>
          <cell r="E63">
            <v>3.677</v>
          </cell>
          <cell r="F63">
            <v>0.25750000000000001</v>
          </cell>
          <cell r="G63">
            <v>7.4999999999999997E-3</v>
          </cell>
          <cell r="H63">
            <v>7.4999999999999997E-3</v>
          </cell>
          <cell r="I63">
            <v>-1.4999999999999999E-2</v>
          </cell>
          <cell r="J63">
            <v>7.4999999999999997E-3</v>
          </cell>
          <cell r="K63">
            <v>0.75</v>
          </cell>
          <cell r="M63">
            <v>0.65</v>
          </cell>
          <cell r="N63">
            <v>0</v>
          </cell>
          <cell r="R63">
            <v>0.51500000000000001</v>
          </cell>
          <cell r="S63">
            <v>0.38624999999999998</v>
          </cell>
        </row>
        <row r="64">
          <cell r="C64">
            <v>38626</v>
          </cell>
          <cell r="D64">
            <v>4.3044097988549399E-2</v>
          </cell>
          <cell r="E64">
            <v>3.677</v>
          </cell>
          <cell r="F64">
            <v>0.25750000000000001</v>
          </cell>
          <cell r="G64">
            <v>7.4999999999999997E-3</v>
          </cell>
          <cell r="H64">
            <v>7.4999999999999997E-3</v>
          </cell>
          <cell r="I64">
            <v>-1.4999999999999999E-2</v>
          </cell>
          <cell r="J64">
            <v>7.4999999999999997E-3</v>
          </cell>
          <cell r="K64">
            <v>0.45</v>
          </cell>
          <cell r="M64">
            <v>0.35</v>
          </cell>
          <cell r="N64">
            <v>0</v>
          </cell>
          <cell r="R64">
            <v>0.25750000000000001</v>
          </cell>
          <cell r="S64">
            <v>0.25750000000000001</v>
          </cell>
        </row>
        <row r="65">
          <cell r="C65">
            <v>38657</v>
          </cell>
          <cell r="D65">
            <v>4.3361061025444202E-2</v>
          </cell>
          <cell r="E65">
            <v>3.8250000000000002</v>
          </cell>
          <cell r="F65">
            <v>0.25750000000000001</v>
          </cell>
          <cell r="G65">
            <v>6.0000000000000001E-3</v>
          </cell>
          <cell r="H65">
            <v>7.4999999999999997E-3</v>
          </cell>
          <cell r="I65">
            <v>-1.6500000000000001E-2</v>
          </cell>
          <cell r="J65">
            <v>2.5000000000000001E-3</v>
          </cell>
          <cell r="K65">
            <v>0.45</v>
          </cell>
          <cell r="M65">
            <v>0.27</v>
          </cell>
          <cell r="N65">
            <v>0</v>
          </cell>
          <cell r="R65">
            <v>0.25750000000000001</v>
          </cell>
          <cell r="S65">
            <v>0.25750000000000001</v>
          </cell>
        </row>
        <row r="66">
          <cell r="C66">
            <v>38687</v>
          </cell>
          <cell r="D66">
            <v>4.36677994802879E-2</v>
          </cell>
          <cell r="E66">
            <v>3.9770000000000003</v>
          </cell>
          <cell r="F66">
            <v>0.25750000000000001</v>
          </cell>
          <cell r="G66">
            <v>6.0000000000000001E-3</v>
          </cell>
          <cell r="H66">
            <v>7.4999999999999997E-3</v>
          </cell>
          <cell r="I66">
            <v>-1.6500000000000001E-2</v>
          </cell>
          <cell r="J66">
            <v>2.5000000000000001E-3</v>
          </cell>
          <cell r="K66">
            <v>0.4</v>
          </cell>
          <cell r="M66">
            <v>0.25</v>
          </cell>
          <cell r="N66">
            <v>0</v>
          </cell>
          <cell r="R66">
            <v>0.25750000000000001</v>
          </cell>
          <cell r="S66">
            <v>0.25750000000000001</v>
          </cell>
        </row>
        <row r="67">
          <cell r="C67">
            <v>38718</v>
          </cell>
          <cell r="D67">
            <v>4.3965797884801795E-2</v>
          </cell>
          <cell r="E67">
            <v>4.0395000000000003</v>
          </cell>
          <cell r="F67">
            <v>0.25750000000000001</v>
          </cell>
          <cell r="G67">
            <v>6.0000000000000001E-3</v>
          </cell>
          <cell r="H67">
            <v>7.4999999999999997E-3</v>
          </cell>
          <cell r="I67">
            <v>-1.6500000000000001E-2</v>
          </cell>
          <cell r="J67">
            <v>2.5000000000000001E-3</v>
          </cell>
          <cell r="K67">
            <v>0.35</v>
          </cell>
          <cell r="M67">
            <v>7.4999999999999997E-2</v>
          </cell>
          <cell r="N67">
            <v>0</v>
          </cell>
          <cell r="R67">
            <v>0.25750000000000001</v>
          </cell>
          <cell r="S67">
            <v>0.25750000000000001</v>
          </cell>
        </row>
        <row r="68">
          <cell r="C68">
            <v>38749</v>
          </cell>
          <cell r="D68">
            <v>4.4229315045746398E-2</v>
          </cell>
          <cell r="E68">
            <v>3.9525000000000001</v>
          </cell>
          <cell r="F68">
            <v>0.25</v>
          </cell>
          <cell r="G68">
            <v>6.0000000000000001E-3</v>
          </cell>
          <cell r="H68">
            <v>7.4999999999999997E-3</v>
          </cell>
          <cell r="I68">
            <v>-1.6500000000000001E-2</v>
          </cell>
          <cell r="J68">
            <v>2.5000000000000001E-3</v>
          </cell>
          <cell r="K68">
            <v>0.35</v>
          </cell>
          <cell r="M68">
            <v>7.4999999999999997E-2</v>
          </cell>
          <cell r="N68">
            <v>0</v>
          </cell>
          <cell r="R68">
            <v>0.25</v>
          </cell>
          <cell r="S68">
            <v>0.25</v>
          </cell>
        </row>
        <row r="69">
          <cell r="C69">
            <v>38777</v>
          </cell>
          <cell r="D69">
            <v>4.4467330565938198E-2</v>
          </cell>
          <cell r="E69">
            <v>3.8135000000000003</v>
          </cell>
          <cell r="F69">
            <v>0.24249999999999999</v>
          </cell>
          <cell r="G69">
            <v>0.01</v>
          </cell>
          <cell r="H69">
            <v>7.4999999999999997E-3</v>
          </cell>
          <cell r="I69">
            <v>-1.2500000000000001E-2</v>
          </cell>
          <cell r="J69">
            <v>2.5000000000000001E-3</v>
          </cell>
          <cell r="K69">
            <v>0.4</v>
          </cell>
          <cell r="M69">
            <v>0.25</v>
          </cell>
          <cell r="N69">
            <v>0</v>
          </cell>
          <cell r="R69">
            <v>0.24249999999999999</v>
          </cell>
          <cell r="S69">
            <v>0.24249999999999999</v>
          </cell>
        </row>
        <row r="70">
          <cell r="C70">
            <v>38808</v>
          </cell>
          <cell r="D70">
            <v>4.4730847771131899E-2</v>
          </cell>
          <cell r="E70">
            <v>3.6595</v>
          </cell>
          <cell r="F70">
            <v>0.24</v>
          </cell>
          <cell r="G70">
            <v>0.01</v>
          </cell>
          <cell r="H70">
            <v>0.01</v>
          </cell>
          <cell r="I70">
            <v>-1.2500000000000001E-2</v>
          </cell>
          <cell r="J70">
            <v>7.4999999999999997E-3</v>
          </cell>
          <cell r="K70">
            <v>0.6</v>
          </cell>
          <cell r="M70">
            <v>0.65</v>
          </cell>
          <cell r="N70">
            <v>0</v>
          </cell>
          <cell r="R70">
            <v>0.24</v>
          </cell>
          <cell r="S70">
            <v>0.24</v>
          </cell>
        </row>
        <row r="71">
          <cell r="C71">
            <v>38838</v>
          </cell>
          <cell r="D71">
            <v>4.4985864443451505E-2</v>
          </cell>
          <cell r="E71">
            <v>3.6645000000000003</v>
          </cell>
          <cell r="F71">
            <v>0.23749999999999999</v>
          </cell>
          <cell r="G71">
            <v>1.2500000000000001E-2</v>
          </cell>
          <cell r="H71">
            <v>0.01</v>
          </cell>
          <cell r="I71">
            <v>-0.01</v>
          </cell>
          <cell r="J71">
            <v>7.4999999999999997E-3</v>
          </cell>
          <cell r="K71">
            <v>0.75</v>
          </cell>
          <cell r="M71">
            <v>0.8</v>
          </cell>
          <cell r="N71">
            <v>0</v>
          </cell>
          <cell r="R71">
            <v>0.47499999999999998</v>
          </cell>
          <cell r="S71">
            <v>0.35624999999999996</v>
          </cell>
        </row>
        <row r="72">
          <cell r="C72">
            <v>38869</v>
          </cell>
          <cell r="D72">
            <v>4.5249381694382397E-2</v>
          </cell>
          <cell r="E72">
            <v>3.7025000000000001</v>
          </cell>
          <cell r="F72">
            <v>0.23749999999999999</v>
          </cell>
          <cell r="G72">
            <v>0.01</v>
          </cell>
          <cell r="H72">
            <v>0.01</v>
          </cell>
          <cell r="I72">
            <v>-1.2500000000000001E-2</v>
          </cell>
          <cell r="J72">
            <v>7.4999999999999997E-3</v>
          </cell>
          <cell r="K72">
            <v>0.85</v>
          </cell>
          <cell r="M72">
            <v>0.9</v>
          </cell>
          <cell r="N72">
            <v>0</v>
          </cell>
          <cell r="R72">
            <v>0.47499999999999998</v>
          </cell>
          <cell r="S72">
            <v>0.35624999999999996</v>
          </cell>
        </row>
        <row r="73">
          <cell r="C73">
            <v>38899</v>
          </cell>
          <cell r="D73">
            <v>4.5504398410958199E-2</v>
          </cell>
          <cell r="E73">
            <v>3.7475000000000001</v>
          </cell>
          <cell r="F73">
            <v>0.23749999999999999</v>
          </cell>
          <cell r="G73">
            <v>7.4999999999999997E-3</v>
          </cell>
          <cell r="H73">
            <v>0.01</v>
          </cell>
          <cell r="I73">
            <v>-1.4999999999999999E-2</v>
          </cell>
          <cell r="J73">
            <v>7.4999999999999997E-3</v>
          </cell>
          <cell r="K73">
            <v>1.05</v>
          </cell>
          <cell r="M73">
            <v>1.1000000000000001</v>
          </cell>
          <cell r="N73">
            <v>0</v>
          </cell>
          <cell r="R73">
            <v>0.47499999999999998</v>
          </cell>
          <cell r="S73">
            <v>0.35624999999999996</v>
          </cell>
        </row>
        <row r="74">
          <cell r="C74">
            <v>38930</v>
          </cell>
          <cell r="D74">
            <v>4.5767915707614702E-2</v>
          </cell>
          <cell r="E74">
            <v>3.7855000000000003</v>
          </cell>
          <cell r="F74">
            <v>0.23749999999999999</v>
          </cell>
          <cell r="G74">
            <v>7.4999999999999997E-3</v>
          </cell>
          <cell r="H74">
            <v>0.01</v>
          </cell>
          <cell r="I74">
            <v>-1.4999999999999999E-2</v>
          </cell>
          <cell r="J74">
            <v>7.4999999999999997E-3</v>
          </cell>
          <cell r="K74">
            <v>1.05</v>
          </cell>
          <cell r="M74">
            <v>1.1000000000000001</v>
          </cell>
          <cell r="N74">
            <v>0</v>
          </cell>
          <cell r="R74">
            <v>0.47499999999999998</v>
          </cell>
          <cell r="S74">
            <v>0.35624999999999996</v>
          </cell>
        </row>
        <row r="75">
          <cell r="C75">
            <v>38961</v>
          </cell>
          <cell r="D75">
            <v>4.6031433027504697E-2</v>
          </cell>
          <cell r="E75">
            <v>3.7795000000000001</v>
          </cell>
          <cell r="F75">
            <v>0.23749999999999999</v>
          </cell>
          <cell r="G75">
            <v>7.4999999999999997E-3</v>
          </cell>
          <cell r="H75">
            <v>0.01</v>
          </cell>
          <cell r="I75">
            <v>-1.4999999999999999E-2</v>
          </cell>
          <cell r="J75">
            <v>7.4999999999999997E-3</v>
          </cell>
          <cell r="K75">
            <v>0.75</v>
          </cell>
          <cell r="M75">
            <v>0.65</v>
          </cell>
          <cell r="N75">
            <v>0</v>
          </cell>
          <cell r="R75">
            <v>0.47499999999999998</v>
          </cell>
          <cell r="S75">
            <v>0.35624999999999996</v>
          </cell>
        </row>
        <row r="76">
          <cell r="C76">
            <v>38991</v>
          </cell>
          <cell r="D76">
            <v>4.6286449810807095E-2</v>
          </cell>
          <cell r="E76">
            <v>3.7795000000000001</v>
          </cell>
          <cell r="F76">
            <v>0.23749999999999999</v>
          </cell>
          <cell r="G76">
            <v>6.0000000000000001E-3</v>
          </cell>
          <cell r="H76">
            <v>0.01</v>
          </cell>
          <cell r="I76">
            <v>-1.6500000000000001E-2</v>
          </cell>
          <cell r="J76">
            <v>7.4999999999999997E-3</v>
          </cell>
          <cell r="K76">
            <v>0.45</v>
          </cell>
          <cell r="M76">
            <v>0.35</v>
          </cell>
          <cell r="N76">
            <v>0</v>
          </cell>
          <cell r="R76">
            <v>0.23749999999999999</v>
          </cell>
          <cell r="S76">
            <v>0.23749999999999999</v>
          </cell>
        </row>
        <row r="77">
          <cell r="C77">
            <v>39022</v>
          </cell>
          <cell r="D77">
            <v>4.6533406469315204E-2</v>
          </cell>
          <cell r="E77">
            <v>3.9275000000000002</v>
          </cell>
          <cell r="F77">
            <v>0.23749999999999999</v>
          </cell>
          <cell r="G77">
            <v>7.0000000000000001E-3</v>
          </cell>
          <cell r="H77">
            <v>7.4999999999999997E-3</v>
          </cell>
          <cell r="I77">
            <v>-1.3000000000000001E-2</v>
          </cell>
          <cell r="J77">
            <v>2.5000000000000001E-3</v>
          </cell>
          <cell r="K77">
            <v>0.45</v>
          </cell>
          <cell r="M77">
            <v>0.27</v>
          </cell>
          <cell r="N77">
            <v>0</v>
          </cell>
          <cell r="R77">
            <v>0.23749999999999999</v>
          </cell>
          <cell r="S77">
            <v>0.23749999999999999</v>
          </cell>
        </row>
        <row r="78">
          <cell r="C78">
            <v>39052</v>
          </cell>
          <cell r="D78">
            <v>4.6717448831460097E-2</v>
          </cell>
          <cell r="E78">
            <v>4.0795000000000003</v>
          </cell>
          <cell r="F78">
            <v>0.24</v>
          </cell>
          <cell r="G78">
            <v>7.0000000000000001E-3</v>
          </cell>
          <cell r="H78">
            <v>7.4999999999999997E-3</v>
          </cell>
          <cell r="I78">
            <v>-1.3000000000000001E-2</v>
          </cell>
          <cell r="J78">
            <v>2.5000000000000001E-3</v>
          </cell>
          <cell r="K78">
            <v>0.4</v>
          </cell>
          <cell r="M78">
            <v>0.25</v>
          </cell>
          <cell r="N78">
            <v>0</v>
          </cell>
          <cell r="R78">
            <v>0.24</v>
          </cell>
          <cell r="S78">
            <v>0.24</v>
          </cell>
        </row>
        <row r="79">
          <cell r="C79">
            <v>39083</v>
          </cell>
          <cell r="D79">
            <v>4.6907625950909401E-2</v>
          </cell>
          <cell r="E79">
            <v>4.1444999999999999</v>
          </cell>
          <cell r="F79">
            <v>0.24249999999999999</v>
          </cell>
          <cell r="G79">
            <v>7.0000000000000001E-3</v>
          </cell>
          <cell r="H79">
            <v>7.4999999999999997E-3</v>
          </cell>
          <cell r="I79">
            <v>-1.3000000000000001E-2</v>
          </cell>
          <cell r="J79">
            <v>2.5000000000000001E-3</v>
          </cell>
          <cell r="K79">
            <v>0.35</v>
          </cell>
          <cell r="M79">
            <v>7.4999999999999997E-2</v>
          </cell>
          <cell r="N79">
            <v>0</v>
          </cell>
          <cell r="R79">
            <v>0.24249999999999999</v>
          </cell>
          <cell r="S79">
            <v>0.24249999999999999</v>
          </cell>
        </row>
        <row r="80">
          <cell r="C80">
            <v>39114</v>
          </cell>
          <cell r="D80">
            <v>4.7097803082452899E-2</v>
          </cell>
          <cell r="E80">
            <v>4.0575000000000001</v>
          </cell>
          <cell r="F80">
            <v>0.23749999999999999</v>
          </cell>
          <cell r="G80">
            <v>7.0000000000000001E-3</v>
          </cell>
          <cell r="H80">
            <v>7.4999999999999997E-3</v>
          </cell>
          <cell r="I80">
            <v>-1.3000000000000001E-2</v>
          </cell>
          <cell r="J80">
            <v>2.5000000000000001E-3</v>
          </cell>
          <cell r="K80">
            <v>0.35</v>
          </cell>
          <cell r="M80">
            <v>7.4999999999999997E-2</v>
          </cell>
          <cell r="N80">
            <v>0</v>
          </cell>
          <cell r="R80">
            <v>0.23749999999999999</v>
          </cell>
          <cell r="S80">
            <v>0.23749999999999999</v>
          </cell>
        </row>
        <row r="81">
          <cell r="C81">
            <v>39142</v>
          </cell>
          <cell r="D81">
            <v>4.7269575985853705E-2</v>
          </cell>
          <cell r="E81">
            <v>3.9185000000000003</v>
          </cell>
          <cell r="F81">
            <v>0.23250000000000001</v>
          </cell>
          <cell r="G81">
            <v>1.1000000000000001E-2</v>
          </cell>
          <cell r="H81">
            <v>7.4999999999999997E-3</v>
          </cell>
          <cell r="I81">
            <v>-9.0000000000000011E-3</v>
          </cell>
          <cell r="J81">
            <v>2.5000000000000001E-3</v>
          </cell>
          <cell r="K81">
            <v>0.4</v>
          </cell>
          <cell r="M81">
            <v>0.2</v>
          </cell>
          <cell r="N81">
            <v>0</v>
          </cell>
          <cell r="R81">
            <v>0.23250000000000001</v>
          </cell>
          <cell r="S81">
            <v>0.23250000000000001</v>
          </cell>
        </row>
        <row r="82">
          <cell r="C82">
            <v>39173</v>
          </cell>
          <cell r="D82">
            <v>4.7459753140411703E-2</v>
          </cell>
          <cell r="E82">
            <v>3.7645000000000004</v>
          </cell>
          <cell r="F82">
            <v>0.23250000000000001</v>
          </cell>
          <cell r="G82">
            <v>1.1000000000000001E-2</v>
          </cell>
          <cell r="H82">
            <v>0.01</v>
          </cell>
          <cell r="I82">
            <v>-9.0000000000000011E-3</v>
          </cell>
          <cell r="J82">
            <v>7.4999999999999997E-3</v>
          </cell>
          <cell r="K82">
            <v>0.6</v>
          </cell>
          <cell r="M82">
            <v>0.6</v>
          </cell>
          <cell r="N82">
            <v>0</v>
          </cell>
          <cell r="R82">
            <v>0.23250000000000001</v>
          </cell>
          <cell r="S82">
            <v>0.23250000000000001</v>
          </cell>
        </row>
        <row r="83">
          <cell r="C83">
            <v>39203</v>
          </cell>
          <cell r="D83">
            <v>4.7643795559560297E-2</v>
          </cell>
          <cell r="E83">
            <v>3.7695000000000003</v>
          </cell>
          <cell r="F83">
            <v>0.23250000000000001</v>
          </cell>
          <cell r="G83">
            <v>1.35E-2</v>
          </cell>
          <cell r="H83">
            <v>0.01</v>
          </cell>
          <cell r="I83">
            <v>-6.5000000000000006E-3</v>
          </cell>
          <cell r="J83">
            <v>7.4999999999999997E-3</v>
          </cell>
          <cell r="K83">
            <v>0.75</v>
          </cell>
          <cell r="M83">
            <v>0.75</v>
          </cell>
          <cell r="N83">
            <v>0</v>
          </cell>
          <cell r="R83">
            <v>0.46500000000000002</v>
          </cell>
          <cell r="S83">
            <v>0.34875</v>
          </cell>
        </row>
        <row r="84">
          <cell r="C84">
            <v>39234</v>
          </cell>
          <cell r="D84">
            <v>4.7833972737908202E-2</v>
          </cell>
          <cell r="E84">
            <v>3.8075000000000001</v>
          </cell>
          <cell r="F84">
            <v>0.23250000000000001</v>
          </cell>
          <cell r="G84">
            <v>1.1000000000000001E-2</v>
          </cell>
          <cell r="H84">
            <v>0.01</v>
          </cell>
          <cell r="I84">
            <v>-9.0000000000000011E-3</v>
          </cell>
          <cell r="J84">
            <v>7.4999999999999997E-3</v>
          </cell>
          <cell r="K84">
            <v>0.85</v>
          </cell>
          <cell r="M84">
            <v>0.85</v>
          </cell>
          <cell r="N84">
            <v>0</v>
          </cell>
          <cell r="R84">
            <v>0.46500000000000002</v>
          </cell>
          <cell r="S84">
            <v>0.34875</v>
          </cell>
        </row>
        <row r="85">
          <cell r="C85">
            <v>39264</v>
          </cell>
          <cell r="D85">
            <v>4.8018015180077998E-2</v>
          </cell>
          <cell r="E85">
            <v>3.8525</v>
          </cell>
          <cell r="F85">
            <v>0.23250000000000001</v>
          </cell>
          <cell r="G85">
            <v>8.5000000000000006E-3</v>
          </cell>
          <cell r="H85">
            <v>0.01</v>
          </cell>
          <cell r="I85">
            <v>-1.15E-2</v>
          </cell>
          <cell r="J85">
            <v>7.4999999999999997E-3</v>
          </cell>
          <cell r="K85">
            <v>1.05</v>
          </cell>
          <cell r="M85">
            <v>1.05</v>
          </cell>
          <cell r="N85">
            <v>0</v>
          </cell>
          <cell r="R85">
            <v>0.46500000000000002</v>
          </cell>
          <cell r="S85">
            <v>0.34875</v>
          </cell>
        </row>
        <row r="86">
          <cell r="C86">
            <v>39295</v>
          </cell>
          <cell r="D86">
            <v>4.8208192382211697E-2</v>
          </cell>
          <cell r="E86">
            <v>3.8905000000000003</v>
          </cell>
          <cell r="F86">
            <v>0.23250000000000001</v>
          </cell>
          <cell r="G86">
            <v>8.5000000000000006E-3</v>
          </cell>
          <cell r="H86">
            <v>0.01</v>
          </cell>
          <cell r="I86">
            <v>-1.15E-2</v>
          </cell>
          <cell r="J86">
            <v>7.4999999999999997E-3</v>
          </cell>
          <cell r="K86">
            <v>1.05</v>
          </cell>
          <cell r="M86">
            <v>1.05</v>
          </cell>
          <cell r="N86">
            <v>0</v>
          </cell>
          <cell r="R86">
            <v>0.46500000000000002</v>
          </cell>
          <cell r="S86">
            <v>0.34875</v>
          </cell>
        </row>
        <row r="87">
          <cell r="C87">
            <v>39326</v>
          </cell>
          <cell r="D87">
            <v>4.8398369596431803E-2</v>
          </cell>
          <cell r="E87">
            <v>3.8845000000000001</v>
          </cell>
          <cell r="F87">
            <v>0.23250000000000001</v>
          </cell>
          <cell r="G87">
            <v>8.5000000000000006E-3</v>
          </cell>
          <cell r="H87">
            <v>0.01</v>
          </cell>
          <cell r="I87">
            <v>-1.15E-2</v>
          </cell>
          <cell r="J87">
            <v>7.4999999999999997E-3</v>
          </cell>
          <cell r="K87">
            <v>0.75</v>
          </cell>
          <cell r="M87">
            <v>0.6</v>
          </cell>
          <cell r="N87">
            <v>0</v>
          </cell>
          <cell r="R87">
            <v>0.46500000000000002</v>
          </cell>
          <cell r="S87">
            <v>0.34875</v>
          </cell>
        </row>
        <row r="88">
          <cell r="C88">
            <v>39356</v>
          </cell>
          <cell r="D88">
            <v>4.8582412073313402E-2</v>
          </cell>
          <cell r="E88">
            <v>3.8845000000000001</v>
          </cell>
          <cell r="F88">
            <v>0.23250000000000001</v>
          </cell>
          <cell r="G88">
            <v>7.0000000000000001E-3</v>
          </cell>
          <cell r="H88">
            <v>0.01</v>
          </cell>
          <cell r="I88">
            <v>-1.3000000000000001E-2</v>
          </cell>
          <cell r="J88">
            <v>7.4999999999999997E-3</v>
          </cell>
          <cell r="K88">
            <v>0.45</v>
          </cell>
          <cell r="M88">
            <v>0.3</v>
          </cell>
          <cell r="N88">
            <v>0</v>
          </cell>
          <cell r="R88">
            <v>0.23250000000000001</v>
          </cell>
          <cell r="S88">
            <v>0.23250000000000001</v>
          </cell>
        </row>
        <row r="89">
          <cell r="C89">
            <v>39387</v>
          </cell>
          <cell r="D89">
            <v>4.8772589311313105E-2</v>
          </cell>
          <cell r="E89">
            <v>4.0324999999999998</v>
          </cell>
          <cell r="F89">
            <v>0.23250000000000001</v>
          </cell>
          <cell r="G89">
            <v>8.0000000000000002E-3</v>
          </cell>
          <cell r="H89">
            <v>7.4999999999999997E-3</v>
          </cell>
          <cell r="I89">
            <v>-1.2E-2</v>
          </cell>
          <cell r="J89">
            <v>2.5000000000000001E-3</v>
          </cell>
          <cell r="K89">
            <v>0.45</v>
          </cell>
          <cell r="M89">
            <v>0.22</v>
          </cell>
          <cell r="N89">
            <v>0</v>
          </cell>
          <cell r="R89">
            <v>0.23250000000000001</v>
          </cell>
          <cell r="S89">
            <v>0.23250000000000001</v>
          </cell>
        </row>
        <row r="90">
          <cell r="C90">
            <v>39417</v>
          </cell>
          <cell r="D90">
            <v>4.8956631811204701E-2</v>
          </cell>
          <cell r="E90">
            <v>4.1844999999999999</v>
          </cell>
          <cell r="F90">
            <v>0.23250000000000001</v>
          </cell>
          <cell r="G90">
            <v>8.0000000000000002E-3</v>
          </cell>
          <cell r="H90">
            <v>7.4999999999999997E-3</v>
          </cell>
          <cell r="I90">
            <v>-1.2E-2</v>
          </cell>
          <cell r="J90">
            <v>2.5000000000000001E-3</v>
          </cell>
          <cell r="K90">
            <v>0.4</v>
          </cell>
          <cell r="M90">
            <v>0.2</v>
          </cell>
          <cell r="N90">
            <v>0</v>
          </cell>
          <cell r="R90">
            <v>0.23250000000000001</v>
          </cell>
          <cell r="S90">
            <v>0.23250000000000001</v>
          </cell>
        </row>
        <row r="91">
          <cell r="C91">
            <v>39448</v>
          </cell>
          <cell r="D91">
            <v>4.9146809072979601E-2</v>
          </cell>
          <cell r="E91">
            <v>4.2519999999999998</v>
          </cell>
          <cell r="F91">
            <v>0.23250000000000001</v>
          </cell>
          <cell r="G91">
            <v>8.0000000000000002E-3</v>
          </cell>
          <cell r="H91">
            <v>7.4999999999999997E-3</v>
          </cell>
          <cell r="I91">
            <v>-1.2E-2</v>
          </cell>
          <cell r="J91">
            <v>2.5000000000000001E-3</v>
          </cell>
          <cell r="K91">
            <v>0.35</v>
          </cell>
          <cell r="M91">
            <v>7.4999999999999997E-2</v>
          </cell>
          <cell r="N91">
            <v>0</v>
          </cell>
          <cell r="R91">
            <v>0.23250000000000001</v>
          </cell>
          <cell r="S91">
            <v>0.23250000000000001</v>
          </cell>
        </row>
        <row r="92">
          <cell r="C92">
            <v>39479</v>
          </cell>
          <cell r="D92">
            <v>4.9336986346835102E-2</v>
          </cell>
          <cell r="E92">
            <v>4.165</v>
          </cell>
          <cell r="F92">
            <v>0.23250000000000001</v>
          </cell>
          <cell r="G92">
            <v>8.0000000000000002E-3</v>
          </cell>
          <cell r="H92">
            <v>7.4999999999999997E-3</v>
          </cell>
          <cell r="I92">
            <v>-1.2E-2</v>
          </cell>
          <cell r="J92">
            <v>2.5000000000000001E-3</v>
          </cell>
          <cell r="K92">
            <v>0.35</v>
          </cell>
          <cell r="M92">
            <v>7.4999999999999997E-2</v>
          </cell>
          <cell r="N92">
            <v>0</v>
          </cell>
          <cell r="R92">
            <v>0.23250000000000001</v>
          </cell>
          <cell r="S92">
            <v>0.23250000000000001</v>
          </cell>
        </row>
        <row r="93">
          <cell r="C93">
            <v>39508</v>
          </cell>
          <cell r="D93">
            <v>4.9514894130087098E-2</v>
          </cell>
          <cell r="E93">
            <v>4.0259999999999998</v>
          </cell>
          <cell r="F93">
            <v>0.2225</v>
          </cell>
          <cell r="G93">
            <v>1.2E-2</v>
          </cell>
          <cell r="H93">
            <v>7.4999999999999997E-3</v>
          </cell>
          <cell r="I93">
            <v>-8.0000000000000002E-3</v>
          </cell>
          <cell r="J93">
            <v>2.5000000000000001E-3</v>
          </cell>
          <cell r="K93">
            <v>0.4</v>
          </cell>
          <cell r="M93">
            <v>0.18</v>
          </cell>
          <cell r="N93">
            <v>0</v>
          </cell>
          <cell r="R93">
            <v>0.2225</v>
          </cell>
          <cell r="S93">
            <v>0.2225</v>
          </cell>
        </row>
        <row r="94">
          <cell r="C94">
            <v>39539</v>
          </cell>
          <cell r="D94">
            <v>4.9705071427322202E-2</v>
          </cell>
          <cell r="E94">
            <v>3.8720000000000003</v>
          </cell>
          <cell r="F94">
            <v>0.2225</v>
          </cell>
          <cell r="G94">
            <v>1.2E-2</v>
          </cell>
          <cell r="H94">
            <v>0.01</v>
          </cell>
          <cell r="I94">
            <v>-5.5000000000000005E-3</v>
          </cell>
          <cell r="J94">
            <v>7.4999999999999997E-3</v>
          </cell>
          <cell r="K94">
            <v>0.6</v>
          </cell>
          <cell r="M94">
            <v>0.55000000000000004</v>
          </cell>
          <cell r="N94">
            <v>0</v>
          </cell>
          <cell r="R94">
            <v>0.2225</v>
          </cell>
          <cell r="S94">
            <v>0.2225</v>
          </cell>
        </row>
        <row r="95">
          <cell r="C95">
            <v>39569</v>
          </cell>
          <cell r="D95">
            <v>4.9889113984532302E-2</v>
          </cell>
          <cell r="E95">
            <v>3.8770000000000002</v>
          </cell>
          <cell r="F95">
            <v>0.2225</v>
          </cell>
          <cell r="G95">
            <v>1.4500000000000001E-2</v>
          </cell>
          <cell r="H95">
            <v>0.01</v>
          </cell>
          <cell r="I95">
            <v>-3.0000000000000001E-3</v>
          </cell>
          <cell r="J95">
            <v>7.4999999999999997E-3</v>
          </cell>
          <cell r="K95">
            <v>0.75</v>
          </cell>
          <cell r="M95">
            <v>0.7</v>
          </cell>
          <cell r="N95">
            <v>0</v>
          </cell>
          <cell r="R95">
            <v>0.44500000000000001</v>
          </cell>
          <cell r="S95">
            <v>0.33374999999999999</v>
          </cell>
        </row>
        <row r="96">
          <cell r="C96">
            <v>39600</v>
          </cell>
          <cell r="D96">
            <v>5.0079291305530599E-2</v>
          </cell>
          <cell r="E96">
            <v>3.915</v>
          </cell>
          <cell r="F96">
            <v>0.2225</v>
          </cell>
          <cell r="G96">
            <v>1.2E-2</v>
          </cell>
          <cell r="H96">
            <v>0.01</v>
          </cell>
          <cell r="I96">
            <v>-5.5000000000000005E-3</v>
          </cell>
          <cell r="J96">
            <v>7.4999999999999997E-3</v>
          </cell>
          <cell r="K96">
            <v>0.85</v>
          </cell>
          <cell r="M96">
            <v>0.8</v>
          </cell>
          <cell r="N96">
            <v>0</v>
          </cell>
          <cell r="R96">
            <v>0.44500000000000001</v>
          </cell>
          <cell r="S96">
            <v>0.33374999999999999</v>
          </cell>
        </row>
        <row r="97">
          <cell r="C97">
            <v>39630</v>
          </cell>
          <cell r="D97">
            <v>5.0263333885737005E-2</v>
          </cell>
          <cell r="E97">
            <v>3.96</v>
          </cell>
          <cell r="F97">
            <v>0.22</v>
          </cell>
          <cell r="G97">
            <v>9.4999999999999998E-3</v>
          </cell>
          <cell r="H97">
            <v>0.01</v>
          </cell>
          <cell r="I97">
            <v>-8.0000000000000002E-3</v>
          </cell>
          <cell r="J97">
            <v>7.4999999999999997E-3</v>
          </cell>
          <cell r="K97">
            <v>1.05</v>
          </cell>
          <cell r="M97">
            <v>1</v>
          </cell>
          <cell r="N97">
            <v>0</v>
          </cell>
          <cell r="R97">
            <v>0.44</v>
          </cell>
          <cell r="S97">
            <v>0.33</v>
          </cell>
        </row>
        <row r="98">
          <cell r="C98">
            <v>39661</v>
          </cell>
          <cell r="D98">
            <v>5.04535112304954E-2</v>
          </cell>
          <cell r="E98">
            <v>3.9980000000000002</v>
          </cell>
          <cell r="F98">
            <v>0.22</v>
          </cell>
          <cell r="G98">
            <v>9.4999999999999998E-3</v>
          </cell>
          <cell r="H98">
            <v>0.01</v>
          </cell>
          <cell r="I98">
            <v>-8.0000000000000002E-3</v>
          </cell>
          <cell r="J98">
            <v>7.4999999999999997E-3</v>
          </cell>
          <cell r="K98">
            <v>1.05</v>
          </cell>
          <cell r="M98">
            <v>1</v>
          </cell>
          <cell r="N98">
            <v>0</v>
          </cell>
          <cell r="R98">
            <v>0.44</v>
          </cell>
          <cell r="S98">
            <v>0.33</v>
          </cell>
        </row>
        <row r="99">
          <cell r="C99">
            <v>39692</v>
          </cell>
          <cell r="D99">
            <v>5.06436885873272E-2</v>
          </cell>
          <cell r="E99">
            <v>3.992</v>
          </cell>
          <cell r="F99">
            <v>0.22</v>
          </cell>
          <cell r="G99">
            <v>9.4999999999999998E-3</v>
          </cell>
          <cell r="H99">
            <v>0.01</v>
          </cell>
          <cell r="I99">
            <v>-8.0000000000000002E-3</v>
          </cell>
          <cell r="J99">
            <v>7.4999999999999997E-3</v>
          </cell>
          <cell r="K99">
            <v>0.75</v>
          </cell>
          <cell r="M99">
            <v>0.6</v>
          </cell>
          <cell r="N99">
            <v>0</v>
          </cell>
          <cell r="R99">
            <v>0.44</v>
          </cell>
          <cell r="S99">
            <v>0.33</v>
          </cell>
        </row>
        <row r="100">
          <cell r="C100">
            <v>39722</v>
          </cell>
          <cell r="D100">
            <v>5.0827731202207203E-2</v>
          </cell>
          <cell r="E100">
            <v>3.992</v>
          </cell>
          <cell r="F100">
            <v>0.22</v>
          </cell>
          <cell r="G100">
            <v>8.0000000000000002E-3</v>
          </cell>
          <cell r="H100">
            <v>0.01</v>
          </cell>
          <cell r="I100">
            <v>-9.4999999999999998E-3</v>
          </cell>
          <cell r="J100">
            <v>7.4999999999999997E-3</v>
          </cell>
          <cell r="K100">
            <v>0.45</v>
          </cell>
          <cell r="M100">
            <v>0.3</v>
          </cell>
          <cell r="N100">
            <v>0</v>
          </cell>
          <cell r="R100">
            <v>0.22</v>
          </cell>
          <cell r="S100">
            <v>0.22</v>
          </cell>
        </row>
        <row r="101">
          <cell r="C101">
            <v>39753</v>
          </cell>
          <cell r="D101">
            <v>5.1005058333542803E-2</v>
          </cell>
          <cell r="E101">
            <v>4.1399999999999997</v>
          </cell>
          <cell r="F101">
            <v>0.22</v>
          </cell>
          <cell r="G101">
            <v>9.0000000000000011E-3</v>
          </cell>
          <cell r="H101">
            <v>7.4999999999999997E-3</v>
          </cell>
          <cell r="I101">
            <v>-1.1000000000000001E-2</v>
          </cell>
          <cell r="J101">
            <v>2.5000000000000001E-3</v>
          </cell>
          <cell r="K101">
            <v>0.45</v>
          </cell>
          <cell r="M101">
            <v>0.22</v>
          </cell>
          <cell r="N101">
            <v>0</v>
          </cell>
          <cell r="R101">
            <v>0.22</v>
          </cell>
          <cell r="S101">
            <v>0.22</v>
          </cell>
        </row>
        <row r="102">
          <cell r="C102">
            <v>39783</v>
          </cell>
          <cell r="D102">
            <v>5.1111999471548306E-2</v>
          </cell>
          <cell r="E102">
            <v>4.2919999999999998</v>
          </cell>
          <cell r="F102">
            <v>0.2225</v>
          </cell>
          <cell r="G102">
            <v>9.0000000000000011E-3</v>
          </cell>
          <cell r="H102">
            <v>7.4999999999999997E-3</v>
          </cell>
          <cell r="I102">
            <v>-1.1000000000000001E-2</v>
          </cell>
          <cell r="J102">
            <v>2.5000000000000001E-3</v>
          </cell>
          <cell r="K102">
            <v>0.4</v>
          </cell>
          <cell r="M102">
            <v>0.2</v>
          </cell>
          <cell r="N102">
            <v>0</v>
          </cell>
          <cell r="R102">
            <v>0.2225</v>
          </cell>
          <cell r="S102">
            <v>0.2225</v>
          </cell>
        </row>
        <row r="103">
          <cell r="C103">
            <v>39814</v>
          </cell>
          <cell r="D103">
            <v>5.1222505318162505E-2</v>
          </cell>
          <cell r="E103">
            <v>4.3620000000000001</v>
          </cell>
          <cell r="F103">
            <v>0.22500000000000001</v>
          </cell>
          <cell r="G103">
            <v>9.0000000000000011E-3</v>
          </cell>
          <cell r="H103">
            <v>7.4999999999999997E-3</v>
          </cell>
          <cell r="I103">
            <v>-1.1000000000000001E-2</v>
          </cell>
          <cell r="J103">
            <v>2.5000000000000001E-3</v>
          </cell>
          <cell r="K103">
            <v>0.35</v>
          </cell>
          <cell r="M103">
            <v>7.4999999999999997E-2</v>
          </cell>
          <cell r="N103">
            <v>0</v>
          </cell>
          <cell r="R103">
            <v>0.22500000000000001</v>
          </cell>
          <cell r="S103">
            <v>0.22500000000000001</v>
          </cell>
        </row>
        <row r="104">
          <cell r="C104">
            <v>39845</v>
          </cell>
          <cell r="D104">
            <v>5.1333011168851701E-2</v>
          </cell>
          <cell r="E104">
            <v>4.2750000000000004</v>
          </cell>
          <cell r="F104">
            <v>0.22</v>
          </cell>
          <cell r="G104">
            <v>9.0000000000000011E-3</v>
          </cell>
          <cell r="H104">
            <v>7.4999999999999997E-3</v>
          </cell>
          <cell r="I104">
            <v>-1.1000000000000001E-2</v>
          </cell>
          <cell r="J104">
            <v>2.5000000000000001E-3</v>
          </cell>
          <cell r="K104">
            <v>0.35</v>
          </cell>
          <cell r="M104">
            <v>7.4999999999999997E-2</v>
          </cell>
          <cell r="N104">
            <v>0</v>
          </cell>
          <cell r="R104">
            <v>0.22</v>
          </cell>
          <cell r="S104">
            <v>0.22</v>
          </cell>
        </row>
        <row r="105">
          <cell r="C105">
            <v>39873</v>
          </cell>
          <cell r="D105">
            <v>5.1432822908460206E-2</v>
          </cell>
          <cell r="E105">
            <v>4.1360000000000001</v>
          </cell>
          <cell r="F105">
            <v>0.20499999999999999</v>
          </cell>
          <cell r="G105">
            <v>1.3000000000000001E-2</v>
          </cell>
          <cell r="H105">
            <v>7.4999999999999997E-3</v>
          </cell>
          <cell r="I105">
            <v>-7.0000000000000001E-3</v>
          </cell>
          <cell r="J105">
            <v>2.5000000000000001E-3</v>
          </cell>
          <cell r="K105">
            <v>0.4</v>
          </cell>
          <cell r="M105">
            <v>0.18</v>
          </cell>
          <cell r="N105">
            <v>0</v>
          </cell>
          <cell r="R105">
            <v>0.20499999999999999</v>
          </cell>
          <cell r="S105">
            <v>0.20499999999999999</v>
          </cell>
        </row>
        <row r="106">
          <cell r="C106">
            <v>39904</v>
          </cell>
          <cell r="D106">
            <v>5.1543328766904005E-2</v>
          </cell>
          <cell r="E106">
            <v>3.9820000000000002</v>
          </cell>
          <cell r="F106">
            <v>0.19500000000000001</v>
          </cell>
          <cell r="G106">
            <v>1.3000000000000001E-2</v>
          </cell>
          <cell r="H106">
            <v>0.01</v>
          </cell>
          <cell r="I106">
            <v>-7.0000000000000001E-3</v>
          </cell>
          <cell r="J106">
            <v>7.4999999999999997E-3</v>
          </cell>
          <cell r="K106">
            <v>0.6</v>
          </cell>
          <cell r="M106">
            <v>0.55000000000000004</v>
          </cell>
          <cell r="N106">
            <v>0</v>
          </cell>
          <cell r="R106">
            <v>0.19500000000000001</v>
          </cell>
          <cell r="S106">
            <v>0.19500000000000001</v>
          </cell>
        </row>
        <row r="107">
          <cell r="C107">
            <v>39934</v>
          </cell>
          <cell r="D107">
            <v>5.16502699241164E-2</v>
          </cell>
          <cell r="E107">
            <v>3.9870000000000001</v>
          </cell>
          <cell r="F107">
            <v>0.19500000000000001</v>
          </cell>
          <cell r="G107">
            <v>1.55E-2</v>
          </cell>
          <cell r="H107">
            <v>0.01</v>
          </cell>
          <cell r="I107">
            <v>-4.5000000000000005E-3</v>
          </cell>
          <cell r="J107">
            <v>7.4999999999999997E-3</v>
          </cell>
          <cell r="K107">
            <v>0.75</v>
          </cell>
          <cell r="M107">
            <v>0.7</v>
          </cell>
          <cell r="N107">
            <v>0</v>
          </cell>
          <cell r="R107">
            <v>0.39</v>
          </cell>
          <cell r="S107">
            <v>0.29249999999999998</v>
          </cell>
        </row>
        <row r="108">
          <cell r="C108">
            <v>39965</v>
          </cell>
          <cell r="D108">
            <v>5.1760775790576898E-2</v>
          </cell>
          <cell r="E108">
            <v>4.0250000000000004</v>
          </cell>
          <cell r="F108">
            <v>0.19500000000000001</v>
          </cell>
          <cell r="G108">
            <v>1.3000000000000001E-2</v>
          </cell>
          <cell r="H108">
            <v>0.01</v>
          </cell>
          <cell r="I108">
            <v>-7.0000000000000001E-3</v>
          </cell>
          <cell r="J108">
            <v>7.4999999999999997E-3</v>
          </cell>
          <cell r="K108">
            <v>0.85</v>
          </cell>
          <cell r="M108">
            <v>0.8</v>
          </cell>
          <cell r="N108">
            <v>0</v>
          </cell>
          <cell r="R108">
            <v>0.39</v>
          </cell>
          <cell r="S108">
            <v>0.29249999999999998</v>
          </cell>
        </row>
        <row r="109">
          <cell r="C109">
            <v>39995</v>
          </cell>
          <cell r="D109">
            <v>5.1867716955546601E-2</v>
          </cell>
          <cell r="E109">
            <v>4.07</v>
          </cell>
          <cell r="F109">
            <v>0.19500000000000001</v>
          </cell>
          <cell r="G109">
            <v>1.0500000000000001E-2</v>
          </cell>
          <cell r="H109">
            <v>0.01</v>
          </cell>
          <cell r="I109">
            <v>-9.4999999999999998E-3</v>
          </cell>
          <cell r="J109">
            <v>7.4999999999999997E-3</v>
          </cell>
          <cell r="K109">
            <v>1.05</v>
          </cell>
          <cell r="M109">
            <v>1</v>
          </cell>
          <cell r="N109">
            <v>0</v>
          </cell>
          <cell r="R109">
            <v>0.39</v>
          </cell>
          <cell r="S109">
            <v>0.29249999999999998</v>
          </cell>
        </row>
        <row r="110">
          <cell r="C110">
            <v>40026</v>
          </cell>
          <cell r="D110">
            <v>5.1978222830023402E-2</v>
          </cell>
          <cell r="E110">
            <v>4.1080000000000005</v>
          </cell>
          <cell r="F110">
            <v>0.19500000000000001</v>
          </cell>
          <cell r="G110">
            <v>1.0500000000000001E-2</v>
          </cell>
          <cell r="H110">
            <v>0.01</v>
          </cell>
          <cell r="I110">
            <v>-9.4999999999999998E-3</v>
          </cell>
          <cell r="J110">
            <v>7.4999999999999997E-3</v>
          </cell>
          <cell r="K110">
            <v>1.05</v>
          </cell>
          <cell r="M110">
            <v>1</v>
          </cell>
          <cell r="N110">
            <v>0</v>
          </cell>
          <cell r="R110">
            <v>0.39</v>
          </cell>
          <cell r="S110">
            <v>0.29249999999999998</v>
          </cell>
        </row>
        <row r="111">
          <cell r="C111">
            <v>40057</v>
          </cell>
          <cell r="D111">
            <v>5.2088728708573E-2</v>
          </cell>
          <cell r="E111">
            <v>4.1020000000000003</v>
          </cell>
          <cell r="F111">
            <v>0.19500000000000001</v>
          </cell>
          <cell r="G111">
            <v>1.0500000000000001E-2</v>
          </cell>
          <cell r="H111">
            <v>0.01</v>
          </cell>
          <cell r="I111">
            <v>-9.4999999999999998E-3</v>
          </cell>
          <cell r="J111">
            <v>7.4999999999999997E-3</v>
          </cell>
          <cell r="K111">
            <v>0.75</v>
          </cell>
          <cell r="M111">
            <v>0.6</v>
          </cell>
          <cell r="N111">
            <v>0</v>
          </cell>
          <cell r="R111">
            <v>0.39</v>
          </cell>
          <cell r="S111">
            <v>0.29249999999999998</v>
          </cell>
        </row>
        <row r="112">
          <cell r="C112">
            <v>40087</v>
          </cell>
          <cell r="D112">
            <v>5.2195669885240797E-2</v>
          </cell>
          <cell r="E112">
            <v>4.1020000000000003</v>
          </cell>
          <cell r="F112">
            <v>0.19500000000000001</v>
          </cell>
          <cell r="G112">
            <v>9.0000000000000011E-3</v>
          </cell>
          <cell r="H112">
            <v>0.01</v>
          </cell>
          <cell r="I112">
            <v>-1.1000000000000001E-2</v>
          </cell>
          <cell r="J112">
            <v>7.4999999999999997E-3</v>
          </cell>
          <cell r="K112">
            <v>0.45</v>
          </cell>
          <cell r="M112">
            <v>0.3</v>
          </cell>
          <cell r="N112">
            <v>0</v>
          </cell>
          <cell r="R112">
            <v>0.19500000000000001</v>
          </cell>
          <cell r="S112">
            <v>0.19500000000000001</v>
          </cell>
        </row>
        <row r="113">
          <cell r="C113">
            <v>40118</v>
          </cell>
          <cell r="D113">
            <v>5.2306175771805699E-2</v>
          </cell>
          <cell r="E113">
            <v>4.25</v>
          </cell>
          <cell r="F113">
            <v>0.19500000000000001</v>
          </cell>
          <cell r="G113">
            <v>0.01</v>
          </cell>
          <cell r="H113">
            <v>7.4999999999999997E-3</v>
          </cell>
          <cell r="I113">
            <v>-7.4999999999999997E-3</v>
          </cell>
          <cell r="J113">
            <v>2.5000000000000001E-3</v>
          </cell>
          <cell r="K113">
            <v>0.45</v>
          </cell>
          <cell r="M113">
            <v>0.22</v>
          </cell>
          <cell r="N113">
            <v>0</v>
          </cell>
          <cell r="R113">
            <v>0.19500000000000001</v>
          </cell>
          <cell r="S113">
            <v>0.19500000000000001</v>
          </cell>
        </row>
        <row r="114">
          <cell r="C114">
            <v>40148</v>
          </cell>
          <cell r="D114">
            <v>5.2413116956229598E-2</v>
          </cell>
          <cell r="E114">
            <v>4.4020000000000001</v>
          </cell>
          <cell r="F114">
            <v>0.19500000000000001</v>
          </cell>
          <cell r="G114">
            <v>0.01</v>
          </cell>
          <cell r="H114">
            <v>7.4999999999999997E-3</v>
          </cell>
          <cell r="I114">
            <v>-7.4999999999999997E-3</v>
          </cell>
          <cell r="J114">
            <v>2.5000000000000001E-3</v>
          </cell>
          <cell r="K114">
            <v>0.4</v>
          </cell>
          <cell r="M114">
            <v>0.2</v>
          </cell>
          <cell r="N114">
            <v>0</v>
          </cell>
          <cell r="R114">
            <v>0.19500000000000001</v>
          </cell>
          <cell r="S114">
            <v>0.19500000000000001</v>
          </cell>
        </row>
        <row r="115">
          <cell r="C115">
            <v>40179</v>
          </cell>
          <cell r="D115">
            <v>5.2523622850807701E-2</v>
          </cell>
          <cell r="E115">
            <v>4.4744999999999999</v>
          </cell>
          <cell r="F115">
            <v>0.19500000000000001</v>
          </cell>
          <cell r="G115">
            <v>0.01</v>
          </cell>
          <cell r="H115">
            <v>7.4999999999999997E-3</v>
          </cell>
          <cell r="I115">
            <v>-7.4999999999999997E-3</v>
          </cell>
          <cell r="J115">
            <v>2.5000000000000001E-3</v>
          </cell>
          <cell r="K115">
            <v>0.35</v>
          </cell>
          <cell r="M115">
            <v>7.4999999999999997E-2</v>
          </cell>
          <cell r="N115">
            <v>0</v>
          </cell>
          <cell r="R115">
            <v>0.19500000000000001</v>
          </cell>
          <cell r="S115">
            <v>0.19500000000000001</v>
          </cell>
        </row>
        <row r="116">
          <cell r="C116">
            <v>40210</v>
          </cell>
          <cell r="D116">
            <v>5.2634128749457998E-2</v>
          </cell>
          <cell r="E116">
            <v>4.3875000000000002</v>
          </cell>
          <cell r="F116">
            <v>0.19</v>
          </cell>
          <cell r="G116">
            <v>0.01</v>
          </cell>
          <cell r="H116">
            <v>7.4999999999999997E-3</v>
          </cell>
          <cell r="I116">
            <v>-7.4999999999999997E-3</v>
          </cell>
          <cell r="J116">
            <v>2.5000000000000001E-3</v>
          </cell>
          <cell r="K116">
            <v>0.35</v>
          </cell>
          <cell r="M116">
            <v>7.4999999999999997E-2</v>
          </cell>
          <cell r="N116">
            <v>0</v>
          </cell>
          <cell r="R116">
            <v>0.19</v>
          </cell>
          <cell r="S116">
            <v>0.19</v>
          </cell>
        </row>
        <row r="117">
          <cell r="C117">
            <v>40238</v>
          </cell>
          <cell r="D117">
            <v>5.2733940532383901E-2</v>
          </cell>
          <cell r="E117">
            <v>4.2484999999999999</v>
          </cell>
          <cell r="F117">
            <v>0.1875</v>
          </cell>
          <cell r="G117">
            <v>1.4E-2</v>
          </cell>
          <cell r="H117">
            <v>7.4999999999999997E-3</v>
          </cell>
          <cell r="I117">
            <v>-3.5000000000000001E-3</v>
          </cell>
          <cell r="J117">
            <v>2.5000000000000001E-3</v>
          </cell>
          <cell r="K117">
            <v>0.4</v>
          </cell>
          <cell r="M117">
            <v>0.18</v>
          </cell>
          <cell r="N117">
            <v>0</v>
          </cell>
          <cell r="R117">
            <v>0.1875</v>
          </cell>
          <cell r="S117">
            <v>0.1875</v>
          </cell>
        </row>
        <row r="118">
          <cell r="C118">
            <v>40269</v>
          </cell>
          <cell r="D118">
            <v>5.2844446438784498E-2</v>
          </cell>
          <cell r="E118">
            <v>4.0945</v>
          </cell>
          <cell r="F118">
            <v>0.185</v>
          </cell>
          <cell r="G118">
            <v>1.4E-2</v>
          </cell>
          <cell r="H118">
            <v>0.01</v>
          </cell>
          <cell r="I118">
            <v>-3.5000000000000001E-3</v>
          </cell>
          <cell r="J118">
            <v>7.4999999999999997E-3</v>
          </cell>
          <cell r="K118">
            <v>0.6</v>
          </cell>
          <cell r="M118">
            <v>0.55000000000000004</v>
          </cell>
          <cell r="N118">
            <v>0</v>
          </cell>
          <cell r="R118">
            <v>0.185</v>
          </cell>
          <cell r="S118">
            <v>0.185</v>
          </cell>
        </row>
        <row r="119">
          <cell r="C119">
            <v>40299</v>
          </cell>
          <cell r="D119">
            <v>5.29513876424028E-2</v>
          </cell>
          <cell r="E119">
            <v>4.0994999999999999</v>
          </cell>
          <cell r="F119">
            <v>0.185</v>
          </cell>
          <cell r="G119">
            <v>1.6500000000000001E-2</v>
          </cell>
          <cell r="H119">
            <v>0.01</v>
          </cell>
          <cell r="I119">
            <v>1E-3</v>
          </cell>
          <cell r="J119">
            <v>7.4999999999999997E-3</v>
          </cell>
          <cell r="K119">
            <v>0.75</v>
          </cell>
          <cell r="M119">
            <v>0.7</v>
          </cell>
          <cell r="N119">
            <v>0</v>
          </cell>
          <cell r="R119">
            <v>0.37</v>
          </cell>
          <cell r="S119">
            <v>0.27749999999999997</v>
          </cell>
        </row>
        <row r="120">
          <cell r="C120">
            <v>40330</v>
          </cell>
          <cell r="D120">
            <v>5.3061893556814801E-2</v>
          </cell>
          <cell r="E120">
            <v>4.1375000000000002</v>
          </cell>
          <cell r="F120">
            <v>0.185</v>
          </cell>
          <cell r="G120">
            <v>1.4E-2</v>
          </cell>
          <cell r="H120">
            <v>0.01</v>
          </cell>
          <cell r="I120">
            <v>-3.5000000000000001E-3</v>
          </cell>
          <cell r="J120">
            <v>7.4999999999999997E-3</v>
          </cell>
          <cell r="K120">
            <v>0.85</v>
          </cell>
          <cell r="M120">
            <v>0.8</v>
          </cell>
          <cell r="N120">
            <v>0</v>
          </cell>
          <cell r="R120">
            <v>0.37</v>
          </cell>
          <cell r="S120">
            <v>0.27749999999999997</v>
          </cell>
        </row>
        <row r="121">
          <cell r="C121">
            <v>40360</v>
          </cell>
          <cell r="D121">
            <v>5.3168834768186499E-2</v>
          </cell>
          <cell r="E121">
            <v>4.1825000000000001</v>
          </cell>
          <cell r="F121">
            <v>0.185</v>
          </cell>
          <cell r="G121">
            <v>1.15E-2</v>
          </cell>
          <cell r="H121">
            <v>0.01</v>
          </cell>
          <cell r="I121">
            <v>-6.0000000000000001E-3</v>
          </cell>
          <cell r="J121">
            <v>7.4999999999999997E-3</v>
          </cell>
          <cell r="K121">
            <v>1.05</v>
          </cell>
          <cell r="M121">
            <v>1</v>
          </cell>
          <cell r="N121">
            <v>0</v>
          </cell>
          <cell r="R121">
            <v>0.37</v>
          </cell>
          <cell r="S121">
            <v>0.27749999999999997</v>
          </cell>
        </row>
        <row r="122">
          <cell r="C122">
            <v>40391</v>
          </cell>
          <cell r="D122">
            <v>5.3279340690608898E-2</v>
          </cell>
          <cell r="E122">
            <v>4.2205000000000004</v>
          </cell>
          <cell r="F122">
            <v>0.185</v>
          </cell>
          <cell r="G122">
            <v>1.15E-2</v>
          </cell>
          <cell r="H122">
            <v>0.01</v>
          </cell>
          <cell r="I122">
            <v>-6.0000000000000001E-3</v>
          </cell>
          <cell r="J122">
            <v>7.4999999999999997E-3</v>
          </cell>
          <cell r="K122">
            <v>1.05</v>
          </cell>
          <cell r="M122">
            <v>1</v>
          </cell>
          <cell r="N122">
            <v>0</v>
          </cell>
          <cell r="R122">
            <v>0.37</v>
          </cell>
          <cell r="S122">
            <v>0.27749999999999997</v>
          </cell>
        </row>
        <row r="123">
          <cell r="C123">
            <v>40422</v>
          </cell>
          <cell r="D123">
            <v>5.3389846617102305E-2</v>
          </cell>
          <cell r="E123">
            <v>4.2145000000000001</v>
          </cell>
          <cell r="F123">
            <v>0.185</v>
          </cell>
          <cell r="G123">
            <v>1.15E-2</v>
          </cell>
          <cell r="H123">
            <v>0.01</v>
          </cell>
          <cell r="I123">
            <v>-6.0000000000000001E-3</v>
          </cell>
          <cell r="J123">
            <v>7.4999999999999997E-3</v>
          </cell>
          <cell r="K123">
            <v>0.75</v>
          </cell>
          <cell r="M123">
            <v>0.6</v>
          </cell>
          <cell r="N123">
            <v>0</v>
          </cell>
          <cell r="R123">
            <v>0.37</v>
          </cell>
          <cell r="S123">
            <v>0.27749999999999997</v>
          </cell>
        </row>
        <row r="124">
          <cell r="C124">
            <v>40452</v>
          </cell>
          <cell r="D124">
            <v>5.3496787840165101E-2</v>
          </cell>
          <cell r="E124">
            <v>4.2145000000000001</v>
          </cell>
          <cell r="F124">
            <v>0.185</v>
          </cell>
          <cell r="G124">
            <v>0.01</v>
          </cell>
          <cell r="H124">
            <v>0.01</v>
          </cell>
          <cell r="I124">
            <v>-7.4999999999999997E-3</v>
          </cell>
          <cell r="J124">
            <v>7.4999999999999997E-3</v>
          </cell>
          <cell r="K124">
            <v>0.45</v>
          </cell>
          <cell r="M124">
            <v>0.3</v>
          </cell>
          <cell r="N124">
            <v>0</v>
          </cell>
          <cell r="R124">
            <v>0.185</v>
          </cell>
          <cell r="S124">
            <v>0.185</v>
          </cell>
        </row>
        <row r="125">
          <cell r="C125">
            <v>40483</v>
          </cell>
          <cell r="D125">
            <v>5.3607293774668101E-2</v>
          </cell>
          <cell r="E125">
            <v>4.3624999999999998</v>
          </cell>
          <cell r="F125">
            <v>0.185</v>
          </cell>
          <cell r="G125">
            <v>1.1000000000000001E-2</v>
          </cell>
          <cell r="H125">
            <v>7.4999999999999997E-3</v>
          </cell>
          <cell r="I125">
            <v>-6.5000000000000006E-3</v>
          </cell>
          <cell r="J125">
            <v>2.5000000000000001E-3</v>
          </cell>
          <cell r="K125">
            <v>0.45</v>
          </cell>
          <cell r="M125">
            <v>0.22</v>
          </cell>
          <cell r="N125">
            <v>0</v>
          </cell>
          <cell r="R125">
            <v>0.185</v>
          </cell>
          <cell r="S125">
            <v>0.185</v>
          </cell>
        </row>
        <row r="126">
          <cell r="C126">
            <v>40513</v>
          </cell>
          <cell r="D126">
            <v>5.3714235005481101E-2</v>
          </cell>
          <cell r="E126">
            <v>4.5145</v>
          </cell>
          <cell r="F126">
            <v>0.185</v>
          </cell>
          <cell r="G126">
            <v>1.1000000000000001E-2</v>
          </cell>
          <cell r="H126">
            <v>7.4999999999999997E-3</v>
          </cell>
          <cell r="I126">
            <v>-6.5000000000000006E-3</v>
          </cell>
          <cell r="J126">
            <v>2.5000000000000001E-3</v>
          </cell>
          <cell r="K126">
            <v>0.4</v>
          </cell>
          <cell r="M126">
            <v>0.2</v>
          </cell>
          <cell r="N126">
            <v>0</v>
          </cell>
          <cell r="R126">
            <v>0.185</v>
          </cell>
          <cell r="S126">
            <v>0.185</v>
          </cell>
        </row>
        <row r="127">
          <cell r="C127">
            <v>40544</v>
          </cell>
          <cell r="D127">
            <v>5.3824740947992798E-2</v>
          </cell>
          <cell r="E127">
            <v>4.5895000000000001</v>
          </cell>
          <cell r="F127">
            <v>0.185</v>
          </cell>
          <cell r="G127">
            <v>1.1000000000000001E-2</v>
          </cell>
          <cell r="H127">
            <v>7.4999999999999997E-3</v>
          </cell>
          <cell r="I127">
            <v>-6.5000000000000006E-3</v>
          </cell>
          <cell r="J127">
            <v>2.5000000000000001E-3</v>
          </cell>
          <cell r="K127">
            <v>0.35</v>
          </cell>
          <cell r="M127">
            <v>8.5000000000000006E-2</v>
          </cell>
          <cell r="N127">
            <v>0</v>
          </cell>
          <cell r="R127">
            <v>0.185</v>
          </cell>
          <cell r="S127">
            <v>0.185</v>
          </cell>
        </row>
        <row r="128">
          <cell r="C128">
            <v>40575</v>
          </cell>
          <cell r="D128">
            <v>5.3935246894573699E-2</v>
          </cell>
          <cell r="E128">
            <v>4.5025000000000004</v>
          </cell>
          <cell r="F128">
            <v>0.185</v>
          </cell>
          <cell r="G128">
            <v>1.1000000000000001E-2</v>
          </cell>
          <cell r="H128">
            <v>7.4999999999999997E-3</v>
          </cell>
          <cell r="I128">
            <v>-6.5000000000000006E-3</v>
          </cell>
          <cell r="J128">
            <v>2.5000000000000001E-3</v>
          </cell>
          <cell r="K128">
            <v>0.35</v>
          </cell>
          <cell r="M128">
            <v>7.4999999999999997E-2</v>
          </cell>
          <cell r="N128">
            <v>0</v>
          </cell>
          <cell r="R128">
            <v>0.185</v>
          </cell>
          <cell r="S128">
            <v>0.185</v>
          </cell>
        </row>
        <row r="129">
          <cell r="C129">
            <v>40603</v>
          </cell>
          <cell r="D129">
            <v>5.4035058720790299E-2</v>
          </cell>
          <cell r="E129">
            <v>4.3635000000000002</v>
          </cell>
          <cell r="F129">
            <v>0.18</v>
          </cell>
          <cell r="G129">
            <v>1.4999999999999999E-2</v>
          </cell>
          <cell r="H129">
            <v>7.4999999999999997E-3</v>
          </cell>
          <cell r="I129">
            <v>-2.5000000000000001E-3</v>
          </cell>
          <cell r="J129">
            <v>2.5000000000000001E-3</v>
          </cell>
          <cell r="K129">
            <v>0.4</v>
          </cell>
          <cell r="M129">
            <v>0.115</v>
          </cell>
          <cell r="N129">
            <v>0</v>
          </cell>
          <cell r="R129">
            <v>0.18</v>
          </cell>
          <cell r="S129">
            <v>0.18</v>
          </cell>
        </row>
        <row r="130">
          <cell r="C130">
            <v>40634</v>
          </cell>
          <cell r="D130">
            <v>5.4145564675116602E-2</v>
          </cell>
          <cell r="E130">
            <v>4.2095000000000002</v>
          </cell>
          <cell r="F130">
            <v>0.18</v>
          </cell>
          <cell r="G130">
            <v>1.4999999999999999E-2</v>
          </cell>
          <cell r="H130">
            <v>0.01</v>
          </cell>
          <cell r="I130">
            <v>-2.5000000000000001E-3</v>
          </cell>
          <cell r="J130">
            <v>7.4999999999999997E-3</v>
          </cell>
          <cell r="K130">
            <v>0.6</v>
          </cell>
          <cell r="M130">
            <v>0.55000000000000004</v>
          </cell>
          <cell r="N130">
            <v>0</v>
          </cell>
          <cell r="R130">
            <v>0.18</v>
          </cell>
          <cell r="S130">
            <v>0.18</v>
          </cell>
        </row>
        <row r="131">
          <cell r="C131">
            <v>40664</v>
          </cell>
          <cell r="D131">
            <v>5.4252505925112403E-2</v>
          </cell>
          <cell r="E131">
            <v>4.2145000000000001</v>
          </cell>
          <cell r="F131">
            <v>0.18</v>
          </cell>
          <cell r="G131">
            <v>1.7500000000000002E-2</v>
          </cell>
          <cell r="H131">
            <v>0.01</v>
          </cell>
          <cell r="I131">
            <v>0</v>
          </cell>
          <cell r="J131">
            <v>7.4999999999999997E-3</v>
          </cell>
          <cell r="K131">
            <v>0.75</v>
          </cell>
          <cell r="M131">
            <v>0.7</v>
          </cell>
          <cell r="N131">
            <v>0</v>
          </cell>
          <cell r="R131">
            <v>0.36</v>
          </cell>
          <cell r="S131">
            <v>0.27</v>
          </cell>
        </row>
        <row r="132">
          <cell r="C132">
            <v>40695</v>
          </cell>
          <cell r="D132">
            <v>5.4363011887444704E-2</v>
          </cell>
          <cell r="E132">
            <v>4.2525000000000004</v>
          </cell>
          <cell r="F132">
            <v>0.18</v>
          </cell>
          <cell r="G132">
            <v>1.4999999999999999E-2</v>
          </cell>
          <cell r="H132">
            <v>0.01</v>
          </cell>
          <cell r="I132">
            <v>-2.5000000000000001E-3</v>
          </cell>
          <cell r="J132">
            <v>7.4999999999999997E-3</v>
          </cell>
          <cell r="K132">
            <v>0.85</v>
          </cell>
          <cell r="M132">
            <v>0.8</v>
          </cell>
          <cell r="N132">
            <v>0</v>
          </cell>
          <cell r="R132">
            <v>0.36</v>
          </cell>
          <cell r="S132">
            <v>0.27</v>
          </cell>
        </row>
        <row r="133">
          <cell r="C133">
            <v>40725</v>
          </cell>
          <cell r="D133">
            <v>5.4469953145189098E-2</v>
          </cell>
          <cell r="E133">
            <v>4.2975000000000003</v>
          </cell>
          <cell r="F133">
            <v>0.18</v>
          </cell>
          <cell r="G133">
            <v>1.2500000000000001E-2</v>
          </cell>
          <cell r="H133">
            <v>0.01</v>
          </cell>
          <cell r="I133">
            <v>-5.0000000000000001E-3</v>
          </cell>
          <cell r="J133">
            <v>7.4999999999999997E-3</v>
          </cell>
          <cell r="K133">
            <v>1.05</v>
          </cell>
          <cell r="M133">
            <v>1</v>
          </cell>
          <cell r="N133">
            <v>0</v>
          </cell>
          <cell r="R133">
            <v>0.36</v>
          </cell>
          <cell r="S133">
            <v>0.27</v>
          </cell>
        </row>
        <row r="134">
          <cell r="C134">
            <v>40756</v>
          </cell>
          <cell r="D134">
            <v>5.4580459115527398E-2</v>
          </cell>
          <cell r="E134">
            <v>4.3355000000000006</v>
          </cell>
          <cell r="F134">
            <v>0.18</v>
          </cell>
          <cell r="G134">
            <v>1.2500000000000001E-2</v>
          </cell>
          <cell r="H134">
            <v>0.01</v>
          </cell>
          <cell r="I134">
            <v>-5.0000000000000001E-3</v>
          </cell>
          <cell r="J134">
            <v>7.4999999999999997E-3</v>
          </cell>
          <cell r="K134">
            <v>1.05</v>
          </cell>
          <cell r="M134">
            <v>1</v>
          </cell>
          <cell r="N134">
            <v>0</v>
          </cell>
          <cell r="R134">
            <v>0.36</v>
          </cell>
          <cell r="S134">
            <v>0.27</v>
          </cell>
        </row>
        <row r="135">
          <cell r="C135">
            <v>40787</v>
          </cell>
          <cell r="D135">
            <v>5.4690965089934103E-2</v>
          </cell>
          <cell r="E135">
            <v>4.3295000000000003</v>
          </cell>
          <cell r="F135">
            <v>0.18</v>
          </cell>
          <cell r="G135">
            <v>1.2500000000000001E-2</v>
          </cell>
          <cell r="H135">
            <v>0.01</v>
          </cell>
          <cell r="I135">
            <v>-5.0000000000000001E-3</v>
          </cell>
          <cell r="J135">
            <v>7.4999999999999997E-3</v>
          </cell>
          <cell r="K135">
            <v>0.75</v>
          </cell>
          <cell r="M135">
            <v>0.6</v>
          </cell>
          <cell r="N135">
            <v>0</v>
          </cell>
          <cell r="R135">
            <v>0.36</v>
          </cell>
          <cell r="S135">
            <v>0.27</v>
          </cell>
        </row>
        <row r="136">
          <cell r="C136">
            <v>40817</v>
          </cell>
          <cell r="D136">
            <v>5.4797906359361999E-2</v>
          </cell>
          <cell r="E136">
            <v>4.3295000000000003</v>
          </cell>
          <cell r="F136">
            <v>0.18</v>
          </cell>
          <cell r="G136">
            <v>1.1000000000000001E-2</v>
          </cell>
          <cell r="H136">
            <v>0.01</v>
          </cell>
          <cell r="I136">
            <v>-6.5000000000000006E-3</v>
          </cell>
          <cell r="J136">
            <v>7.4999999999999997E-3</v>
          </cell>
          <cell r="K136">
            <v>0.45</v>
          </cell>
          <cell r="M136">
            <v>0.3</v>
          </cell>
          <cell r="N136">
            <v>0</v>
          </cell>
          <cell r="R136">
            <v>0.18</v>
          </cell>
          <cell r="S136">
            <v>0.18</v>
          </cell>
        </row>
        <row r="137">
          <cell r="C137">
            <v>40848</v>
          </cell>
          <cell r="D137">
            <v>5.4896604180521398E-2</v>
          </cell>
          <cell r="E137">
            <v>4.4775</v>
          </cell>
          <cell r="F137">
            <v>0.18</v>
          </cell>
          <cell r="G137">
            <v>1.2E-2</v>
          </cell>
          <cell r="H137">
            <v>7.4999999999999997E-3</v>
          </cell>
          <cell r="I137">
            <v>-5.5000000000000005E-3</v>
          </cell>
          <cell r="J137">
            <v>2.5000000000000001E-3</v>
          </cell>
          <cell r="K137">
            <v>0.45</v>
          </cell>
          <cell r="M137">
            <v>0.23</v>
          </cell>
          <cell r="N137">
            <v>0</v>
          </cell>
          <cell r="R137">
            <v>0.18</v>
          </cell>
          <cell r="S137">
            <v>0.18</v>
          </cell>
        </row>
        <row r="138">
          <cell r="C138">
            <v>40878</v>
          </cell>
          <cell r="D138">
            <v>5.49529390506351E-2</v>
          </cell>
          <cell r="E138">
            <v>4.6295000000000002</v>
          </cell>
          <cell r="F138">
            <v>0.18</v>
          </cell>
          <cell r="G138">
            <v>1.2E-2</v>
          </cell>
          <cell r="H138">
            <v>7.4999999999999997E-3</v>
          </cell>
          <cell r="I138">
            <v>-5.5000000000000005E-3</v>
          </cell>
          <cell r="J138">
            <v>2.5000000000000001E-3</v>
          </cell>
          <cell r="K138">
            <v>0.4</v>
          </cell>
          <cell r="M138">
            <v>0.26</v>
          </cell>
          <cell r="N138">
            <v>0</v>
          </cell>
          <cell r="R138">
            <v>0.18</v>
          </cell>
          <cell r="S138">
            <v>0.18</v>
          </cell>
        </row>
        <row r="139">
          <cell r="C139">
            <v>40909</v>
          </cell>
          <cell r="D139">
            <v>5.50111517508634E-2</v>
          </cell>
          <cell r="E139">
            <v>4.7069999999999999</v>
          </cell>
          <cell r="F139">
            <v>0.18</v>
          </cell>
          <cell r="G139">
            <v>1.2E-2</v>
          </cell>
          <cell r="H139">
            <v>7.4999999999999997E-3</v>
          </cell>
          <cell r="I139">
            <v>-5.5000000000000005E-3</v>
          </cell>
          <cell r="J139">
            <v>2.5000000000000001E-3</v>
          </cell>
          <cell r="K139">
            <v>0.35</v>
          </cell>
          <cell r="M139">
            <v>8.5000000000000006E-2</v>
          </cell>
          <cell r="N139">
            <v>0</v>
          </cell>
          <cell r="R139">
            <v>0.18</v>
          </cell>
          <cell r="S139">
            <v>0.18</v>
          </cell>
        </row>
        <row r="140">
          <cell r="C140">
            <v>40940</v>
          </cell>
          <cell r="D140">
            <v>5.506936445222E-2</v>
          </cell>
          <cell r="E140">
            <v>4.62</v>
          </cell>
          <cell r="F140">
            <v>0.17499999999999999</v>
          </cell>
          <cell r="G140">
            <v>1.2E-2</v>
          </cell>
          <cell r="H140">
            <v>7.4999999999999997E-3</v>
          </cell>
          <cell r="I140">
            <v>-5.5000000000000005E-3</v>
          </cell>
          <cell r="J140">
            <v>2.5000000000000001E-3</v>
          </cell>
          <cell r="K140">
            <v>0.35</v>
          </cell>
          <cell r="M140">
            <v>7.4999999999999997E-2</v>
          </cell>
          <cell r="N140">
            <v>0</v>
          </cell>
          <cell r="R140">
            <v>0.17499999999999999</v>
          </cell>
          <cell r="S140">
            <v>0.17499999999999999</v>
          </cell>
        </row>
        <row r="141">
          <cell r="C141">
            <v>40969</v>
          </cell>
          <cell r="D141">
            <v>5.5123821496446498E-2</v>
          </cell>
          <cell r="E141">
            <v>4.4809999999999999</v>
          </cell>
          <cell r="F141">
            <v>0.17</v>
          </cell>
          <cell r="G141">
            <v>1.6E-2</v>
          </cell>
          <cell r="H141">
            <v>7.4999999999999997E-3</v>
          </cell>
          <cell r="I141">
            <v>-1.4999990000000001E-3</v>
          </cell>
          <cell r="J141">
            <v>2.5000000000000001E-3</v>
          </cell>
          <cell r="K141">
            <v>0.4</v>
          </cell>
          <cell r="M141">
            <v>0.115</v>
          </cell>
          <cell r="N141">
            <v>0</v>
          </cell>
          <cell r="R141">
            <v>0.17</v>
          </cell>
          <cell r="S141">
            <v>0.17</v>
          </cell>
        </row>
        <row r="142">
          <cell r="C142">
            <v>41000</v>
          </cell>
          <cell r="D142">
            <v>5.5182034199987601E-2</v>
          </cell>
          <cell r="E142">
            <v>4.327</v>
          </cell>
          <cell r="F142">
            <v>0.17</v>
          </cell>
          <cell r="G142">
            <v>1.6E-2</v>
          </cell>
          <cell r="H142">
            <v>0.01</v>
          </cell>
          <cell r="I142">
            <v>-1.4999990000000001E-3</v>
          </cell>
          <cell r="J142">
            <v>7.4999999999999997E-3</v>
          </cell>
          <cell r="K142">
            <v>0.6</v>
          </cell>
          <cell r="M142">
            <v>0.55000000000000004</v>
          </cell>
          <cell r="N142">
            <v>0</v>
          </cell>
          <cell r="R142">
            <v>0.17</v>
          </cell>
          <cell r="S142">
            <v>0.17</v>
          </cell>
        </row>
        <row r="143">
          <cell r="C143">
            <v>41030</v>
          </cell>
          <cell r="D143">
            <v>5.5238369075457004E-2</v>
          </cell>
          <cell r="E143">
            <v>4.3319999999999999</v>
          </cell>
          <cell r="F143">
            <v>0.17</v>
          </cell>
          <cell r="G143">
            <v>1.8500000000000003E-2</v>
          </cell>
          <cell r="H143">
            <v>0.01</v>
          </cell>
          <cell r="I143">
            <v>1E-3</v>
          </cell>
          <cell r="J143">
            <v>7.4999999999999997E-3</v>
          </cell>
          <cell r="K143">
            <v>0.75</v>
          </cell>
          <cell r="M143">
            <v>0.7</v>
          </cell>
          <cell r="N143">
            <v>0</v>
          </cell>
          <cell r="R143">
            <v>0.34</v>
          </cell>
          <cell r="S143">
            <v>0.255</v>
          </cell>
        </row>
        <row r="144">
          <cell r="C144">
            <v>41061</v>
          </cell>
          <cell r="D144">
            <v>5.5296581781219004E-2</v>
          </cell>
          <cell r="E144">
            <v>4.37</v>
          </cell>
          <cell r="F144">
            <v>0.17</v>
          </cell>
          <cell r="G144">
            <v>1.6E-2</v>
          </cell>
          <cell r="H144">
            <v>0.01</v>
          </cell>
          <cell r="I144">
            <v>-1.4999990000000001E-3</v>
          </cell>
          <cell r="J144">
            <v>7.4999999999999997E-3</v>
          </cell>
          <cell r="K144">
            <v>0.85</v>
          </cell>
          <cell r="M144">
            <v>0.8</v>
          </cell>
          <cell r="N144">
            <v>0</v>
          </cell>
          <cell r="R144">
            <v>0.34</v>
          </cell>
          <cell r="S144">
            <v>0.255</v>
          </cell>
        </row>
        <row r="145">
          <cell r="C145">
            <v>41091</v>
          </cell>
          <cell r="D145">
            <v>5.5352916658837403E-2</v>
          </cell>
          <cell r="E145">
            <v>4.415</v>
          </cell>
          <cell r="F145">
            <v>0.17</v>
          </cell>
          <cell r="G145">
            <v>1.35E-2</v>
          </cell>
          <cell r="H145">
            <v>0.01</v>
          </cell>
          <cell r="I145">
            <v>-4.0000000000000001E-3</v>
          </cell>
          <cell r="J145">
            <v>7.4999999999999997E-3</v>
          </cell>
          <cell r="K145">
            <v>1.05</v>
          </cell>
          <cell r="M145">
            <v>1</v>
          </cell>
          <cell r="N145">
            <v>0</v>
          </cell>
          <cell r="R145">
            <v>0.34</v>
          </cell>
          <cell r="S145">
            <v>0.255</v>
          </cell>
        </row>
        <row r="146">
          <cell r="C146">
            <v>41122</v>
          </cell>
          <cell r="D146">
            <v>5.54111293668198E-2</v>
          </cell>
          <cell r="E146">
            <v>4.4530000000000003</v>
          </cell>
          <cell r="F146">
            <v>0.17</v>
          </cell>
          <cell r="G146">
            <v>1.35E-2</v>
          </cell>
          <cell r="H146">
            <v>0.01</v>
          </cell>
          <cell r="I146">
            <v>-4.0000000000000001E-3</v>
          </cell>
          <cell r="J146">
            <v>7.4999999999999997E-3</v>
          </cell>
          <cell r="K146">
            <v>1.05</v>
          </cell>
          <cell r="M146">
            <v>1</v>
          </cell>
          <cell r="N146">
            <v>0</v>
          </cell>
          <cell r="R146">
            <v>0.34</v>
          </cell>
          <cell r="S146">
            <v>0.255</v>
          </cell>
        </row>
        <row r="147">
          <cell r="C147">
            <v>41153</v>
          </cell>
          <cell r="D147">
            <v>5.54693420759311E-2</v>
          </cell>
          <cell r="E147">
            <v>4.4470000000000001</v>
          </cell>
          <cell r="F147">
            <v>0.17</v>
          </cell>
          <cell r="G147">
            <v>1.35E-2</v>
          </cell>
          <cell r="H147">
            <v>0.01</v>
          </cell>
          <cell r="I147">
            <v>-4.0000000000000001E-3</v>
          </cell>
          <cell r="J147">
            <v>7.4999999999999997E-3</v>
          </cell>
          <cell r="K147">
            <v>0.75</v>
          </cell>
          <cell r="M147">
            <v>0.6</v>
          </cell>
          <cell r="N147">
            <v>0</v>
          </cell>
          <cell r="R147">
            <v>0.34</v>
          </cell>
          <cell r="S147">
            <v>0.255</v>
          </cell>
        </row>
        <row r="148">
          <cell r="C148">
            <v>41183</v>
          </cell>
          <cell r="D148">
            <v>5.55256769567904E-2</v>
          </cell>
          <cell r="E148">
            <v>4.4470000000000001</v>
          </cell>
          <cell r="F148">
            <v>0.17</v>
          </cell>
          <cell r="G148">
            <v>1.2E-2</v>
          </cell>
          <cell r="H148">
            <v>0.01</v>
          </cell>
          <cell r="I148">
            <v>-5.5000000000000005E-3</v>
          </cell>
          <cell r="J148">
            <v>7.4999999999999997E-3</v>
          </cell>
          <cell r="K148">
            <v>0.45</v>
          </cell>
          <cell r="M148">
            <v>0.3</v>
          </cell>
          <cell r="N148">
            <v>0</v>
          </cell>
          <cell r="R148">
            <v>0.17</v>
          </cell>
          <cell r="S148">
            <v>0.17</v>
          </cell>
        </row>
        <row r="149">
          <cell r="C149">
            <v>41214</v>
          </cell>
          <cell r="D149">
            <v>5.5583889668121798E-2</v>
          </cell>
          <cell r="E149">
            <v>4.5949999999999998</v>
          </cell>
          <cell r="F149">
            <v>0.17</v>
          </cell>
          <cell r="G149">
            <v>1.3000000000000001E-2</v>
          </cell>
          <cell r="H149">
            <v>7.4999999999999997E-3</v>
          </cell>
          <cell r="I149">
            <v>-4.5000000000000005E-3</v>
          </cell>
          <cell r="J149">
            <v>2.5000000000000001E-3</v>
          </cell>
          <cell r="K149">
            <v>0.45</v>
          </cell>
          <cell r="M149">
            <v>0.23</v>
          </cell>
          <cell r="N149">
            <v>0</v>
          </cell>
          <cell r="R149">
            <v>0.17</v>
          </cell>
          <cell r="S149">
            <v>0.17</v>
          </cell>
        </row>
        <row r="150">
          <cell r="C150">
            <v>41244</v>
          </cell>
          <cell r="D150">
            <v>5.5640224551129602E-2</v>
          </cell>
          <cell r="E150">
            <v>4.7469999999999999</v>
          </cell>
          <cell r="F150">
            <v>0.17</v>
          </cell>
          <cell r="G150">
            <v>1.3000000000000001E-2</v>
          </cell>
          <cell r="H150">
            <v>7.4999999999999997E-3</v>
          </cell>
          <cell r="I150">
            <v>-4.5000000000000005E-3</v>
          </cell>
          <cell r="J150">
            <v>2.5000000000000001E-3</v>
          </cell>
          <cell r="K150">
            <v>0.4</v>
          </cell>
          <cell r="M150">
            <v>0.26</v>
          </cell>
          <cell r="N150">
            <v>0</v>
          </cell>
          <cell r="R150">
            <v>0.17</v>
          </cell>
          <cell r="S150">
            <v>0.17</v>
          </cell>
        </row>
        <row r="151">
          <cell r="C151">
            <v>41275</v>
          </cell>
          <cell r="D151">
            <v>5.5698437264681398E-2</v>
          </cell>
          <cell r="E151">
            <v>4.8245000000000005</v>
          </cell>
          <cell r="F151">
            <v>0.17</v>
          </cell>
          <cell r="G151">
            <v>1.3000000000000001E-2</v>
          </cell>
          <cell r="H151">
            <v>7.4999999999999997E-3</v>
          </cell>
          <cell r="I151">
            <v>-1.9999990000000001E-3</v>
          </cell>
          <cell r="J151">
            <v>2.5000000000000001E-3</v>
          </cell>
          <cell r="K151">
            <v>0.35</v>
          </cell>
          <cell r="M151">
            <v>8.5000000000000006E-2</v>
          </cell>
          <cell r="N151">
            <v>0</v>
          </cell>
          <cell r="R151">
            <v>0.17</v>
          </cell>
          <cell r="S151">
            <v>0.17</v>
          </cell>
        </row>
        <row r="152">
          <cell r="C152">
            <v>41306</v>
          </cell>
          <cell r="D152">
            <v>5.5756649979361105E-2</v>
          </cell>
          <cell r="E152">
            <v>4.7374999999999998</v>
          </cell>
          <cell r="F152">
            <v>0.17</v>
          </cell>
          <cell r="G152">
            <v>1.3000000000000001E-2</v>
          </cell>
          <cell r="H152">
            <v>7.4999999999999997E-3</v>
          </cell>
          <cell r="I152">
            <v>-1.9999990000000001E-3</v>
          </cell>
          <cell r="J152">
            <v>2.5000000000000001E-3</v>
          </cell>
          <cell r="K152">
            <v>0.35</v>
          </cell>
          <cell r="M152">
            <v>7.4999999999999997E-2</v>
          </cell>
          <cell r="N152">
            <v>0</v>
          </cell>
          <cell r="R152">
            <v>0.17</v>
          </cell>
          <cell r="S152">
            <v>0.17</v>
          </cell>
        </row>
        <row r="153">
          <cell r="C153">
            <v>41334</v>
          </cell>
          <cell r="D153">
            <v>5.5809229206493803E-2</v>
          </cell>
          <cell r="E153">
            <v>4.5985000000000005</v>
          </cell>
          <cell r="F153">
            <v>0.17</v>
          </cell>
          <cell r="G153">
            <v>1.7000000000000001E-2</v>
          </cell>
          <cell r="H153">
            <v>7.4999999999999997E-3</v>
          </cell>
          <cell r="I153">
            <v>2E-3</v>
          </cell>
          <cell r="J153">
            <v>2.5000000000000001E-3</v>
          </cell>
          <cell r="K153">
            <v>0.4</v>
          </cell>
          <cell r="M153">
            <v>0.115</v>
          </cell>
          <cell r="N153">
            <v>0</v>
          </cell>
          <cell r="R153">
            <v>0.17</v>
          </cell>
          <cell r="S153">
            <v>0.17</v>
          </cell>
        </row>
        <row r="154">
          <cell r="C154">
            <v>41365</v>
          </cell>
          <cell r="D154">
            <v>5.5867441923321201E-2</v>
          </cell>
          <cell r="E154">
            <v>4.4445000000000006</v>
          </cell>
          <cell r="F154">
            <v>0.17</v>
          </cell>
          <cell r="G154">
            <v>1.7000000000000001E-2</v>
          </cell>
          <cell r="H154">
            <v>0.01</v>
          </cell>
          <cell r="I154">
            <v>2E-3</v>
          </cell>
          <cell r="J154">
            <v>7.4999999999999997E-3</v>
          </cell>
          <cell r="K154">
            <v>0.6</v>
          </cell>
          <cell r="M154">
            <v>0.55000000000000004</v>
          </cell>
          <cell r="N154">
            <v>0</v>
          </cell>
          <cell r="R154">
            <v>0.17</v>
          </cell>
          <cell r="S154">
            <v>0.17</v>
          </cell>
        </row>
        <row r="155">
          <cell r="C155">
            <v>41395</v>
          </cell>
          <cell r="D155">
            <v>5.5923776811647799E-2</v>
          </cell>
          <cell r="E155">
            <v>4.4495000000000005</v>
          </cell>
          <cell r="F155">
            <v>0.17</v>
          </cell>
          <cell r="G155">
            <v>1.95E-2</v>
          </cell>
          <cell r="H155">
            <v>0.01</v>
          </cell>
          <cell r="I155">
            <v>4.5000000000000005E-3</v>
          </cell>
          <cell r="J155">
            <v>7.4999999999999997E-3</v>
          </cell>
          <cell r="K155">
            <v>0.75</v>
          </cell>
          <cell r="M155">
            <v>0.7</v>
          </cell>
          <cell r="N155">
            <v>0</v>
          </cell>
          <cell r="R155">
            <v>0.34</v>
          </cell>
          <cell r="S155">
            <v>0.255</v>
          </cell>
        </row>
        <row r="156">
          <cell r="C156">
            <v>41426</v>
          </cell>
          <cell r="D156">
            <v>5.5981989530695199E-2</v>
          </cell>
          <cell r="E156">
            <v>4.4874999999999998</v>
          </cell>
          <cell r="F156">
            <v>0.17</v>
          </cell>
          <cell r="G156">
            <v>1.7000000000000001E-2</v>
          </cell>
          <cell r="H156">
            <v>0.01</v>
          </cell>
          <cell r="I156">
            <v>3.0000000000000001E-3</v>
          </cell>
          <cell r="J156">
            <v>7.4999999999999997E-3</v>
          </cell>
          <cell r="K156">
            <v>0.85</v>
          </cell>
          <cell r="M156">
            <v>0.8</v>
          </cell>
          <cell r="N156">
            <v>0</v>
          </cell>
          <cell r="R156">
            <v>0.34</v>
          </cell>
          <cell r="S156">
            <v>0.255</v>
          </cell>
        </row>
        <row r="157">
          <cell r="C157">
            <v>41456</v>
          </cell>
          <cell r="D157">
            <v>5.6038324421169995E-2</v>
          </cell>
          <cell r="E157">
            <v>4.5324999999999998</v>
          </cell>
          <cell r="F157">
            <v>0.17</v>
          </cell>
          <cell r="G157">
            <v>1.4500000000000001E-2</v>
          </cell>
          <cell r="H157">
            <v>0.01</v>
          </cell>
          <cell r="I157">
            <v>5.0000000000000597E-4</v>
          </cell>
          <cell r="J157">
            <v>7.4999999999999997E-3</v>
          </cell>
          <cell r="K157">
            <v>1.05</v>
          </cell>
          <cell r="M157">
            <v>1</v>
          </cell>
          <cell r="N157">
            <v>0</v>
          </cell>
          <cell r="R157">
            <v>0.34</v>
          </cell>
          <cell r="S157">
            <v>0.255</v>
          </cell>
        </row>
        <row r="158">
          <cell r="C158">
            <v>41487</v>
          </cell>
          <cell r="D158">
            <v>5.60965371424373E-2</v>
          </cell>
          <cell r="E158">
            <v>4.5705</v>
          </cell>
          <cell r="F158">
            <v>0.17</v>
          </cell>
          <cell r="G158">
            <v>1.4500000000000001E-2</v>
          </cell>
          <cell r="H158">
            <v>0.01</v>
          </cell>
          <cell r="I158">
            <v>5.0000000000000597E-4</v>
          </cell>
          <cell r="J158">
            <v>7.4999999999999997E-3</v>
          </cell>
          <cell r="K158">
            <v>1.05</v>
          </cell>
          <cell r="M158">
            <v>1</v>
          </cell>
          <cell r="N158">
            <v>0</v>
          </cell>
          <cell r="R158">
            <v>0.34</v>
          </cell>
          <cell r="S158">
            <v>0.255</v>
          </cell>
        </row>
        <row r="159">
          <cell r="C159">
            <v>41518</v>
          </cell>
          <cell r="D159">
            <v>5.6154749864832702E-2</v>
          </cell>
          <cell r="E159">
            <v>4.5644999999999998</v>
          </cell>
          <cell r="F159">
            <v>0.17</v>
          </cell>
          <cell r="G159">
            <v>1.4500000000000001E-2</v>
          </cell>
          <cell r="H159">
            <v>0.01</v>
          </cell>
          <cell r="I159">
            <v>5.0000000000000597E-4</v>
          </cell>
          <cell r="J159">
            <v>7.4999999999999997E-3</v>
          </cell>
          <cell r="K159">
            <v>0.75</v>
          </cell>
          <cell r="M159">
            <v>0.6</v>
          </cell>
          <cell r="N159">
            <v>0</v>
          </cell>
          <cell r="R159">
            <v>0.34</v>
          </cell>
          <cell r="S159">
            <v>0.255</v>
          </cell>
        </row>
        <row r="160">
          <cell r="C160">
            <v>41548</v>
          </cell>
          <cell r="D160">
            <v>5.6211084758547504E-2</v>
          </cell>
          <cell r="E160">
            <v>4.5644999999999998</v>
          </cell>
          <cell r="F160">
            <v>0.17</v>
          </cell>
          <cell r="G160">
            <v>1.3000000000000001E-2</v>
          </cell>
          <cell r="H160">
            <v>0.01</v>
          </cell>
          <cell r="I160">
            <v>-1.9999990000000001E-3</v>
          </cell>
          <cell r="J160">
            <v>7.4999999999999997E-3</v>
          </cell>
          <cell r="K160">
            <v>0.45</v>
          </cell>
          <cell r="M160">
            <v>0.3</v>
          </cell>
          <cell r="N160">
            <v>0</v>
          </cell>
          <cell r="R160">
            <v>0.17</v>
          </cell>
          <cell r="S160">
            <v>0.17</v>
          </cell>
        </row>
        <row r="161">
          <cell r="C161">
            <v>41579</v>
          </cell>
          <cell r="D161">
            <v>5.6269297483162402E-2</v>
          </cell>
          <cell r="E161">
            <v>4.7125000000000004</v>
          </cell>
          <cell r="F161">
            <v>0.17</v>
          </cell>
          <cell r="G161">
            <v>1.4E-2</v>
          </cell>
          <cell r="H161">
            <v>7.4999999999999997E-3</v>
          </cell>
          <cell r="I161">
            <v>1E-3</v>
          </cell>
          <cell r="J161">
            <v>2.5000000000000001E-3</v>
          </cell>
          <cell r="K161">
            <v>0.45</v>
          </cell>
          <cell r="M161">
            <v>0.23</v>
          </cell>
          <cell r="N161">
            <v>0</v>
          </cell>
          <cell r="R161">
            <v>0.17</v>
          </cell>
          <cell r="S161">
            <v>0.17</v>
          </cell>
        </row>
        <row r="162">
          <cell r="C162">
            <v>41609</v>
          </cell>
          <cell r="D162">
            <v>5.6325632379025298E-2</v>
          </cell>
          <cell r="E162">
            <v>4.8645000000000005</v>
          </cell>
          <cell r="F162">
            <v>0.17</v>
          </cell>
          <cell r="G162">
            <v>1.4E-2</v>
          </cell>
          <cell r="H162">
            <v>7.4999999999999997E-3</v>
          </cell>
          <cell r="I162">
            <v>1E-3</v>
          </cell>
          <cell r="J162">
            <v>2.5000000000000001E-3</v>
          </cell>
          <cell r="K162">
            <v>0.4</v>
          </cell>
          <cell r="M162">
            <v>0.26</v>
          </cell>
          <cell r="N162">
            <v>0</v>
          </cell>
          <cell r="R162">
            <v>0.17</v>
          </cell>
          <cell r="S162">
            <v>0.17</v>
          </cell>
        </row>
        <row r="163">
          <cell r="C163">
            <v>41640</v>
          </cell>
          <cell r="D163">
            <v>5.6383845105859802E-2</v>
          </cell>
          <cell r="E163">
            <v>4.9420000000000002</v>
          </cell>
          <cell r="F163">
            <v>0.17</v>
          </cell>
          <cell r="G163">
            <v>1.4E-2</v>
          </cell>
          <cell r="H163">
            <v>7.4999999999999997E-3</v>
          </cell>
          <cell r="I163">
            <v>1E-3</v>
          </cell>
          <cell r="J163">
            <v>2.5000000000000001E-3</v>
          </cell>
          <cell r="K163">
            <v>0.35</v>
          </cell>
          <cell r="M163">
            <v>8.5000000000000006E-2</v>
          </cell>
          <cell r="N163">
            <v>0</v>
          </cell>
          <cell r="R163">
            <v>0.17</v>
          </cell>
          <cell r="S163">
            <v>0.17</v>
          </cell>
        </row>
        <row r="164">
          <cell r="C164">
            <v>41671</v>
          </cell>
          <cell r="D164">
            <v>5.64420578338218E-2</v>
          </cell>
          <cell r="E164">
            <v>4.8550000000000004</v>
          </cell>
          <cell r="F164">
            <v>0.17</v>
          </cell>
          <cell r="G164">
            <v>1.4E-2</v>
          </cell>
          <cell r="H164">
            <v>7.4999999999999997E-3</v>
          </cell>
          <cell r="I164">
            <v>1E-3</v>
          </cell>
          <cell r="J164">
            <v>2.5000000000000001E-3</v>
          </cell>
          <cell r="K164">
            <v>0.35</v>
          </cell>
          <cell r="M164">
            <v>7.4999999999999997E-2</v>
          </cell>
          <cell r="N164">
            <v>0</v>
          </cell>
          <cell r="R164">
            <v>0.17</v>
          </cell>
          <cell r="S164">
            <v>0.17</v>
          </cell>
        </row>
        <row r="165">
          <cell r="C165">
            <v>41699</v>
          </cell>
          <cell r="D165">
            <v>5.6494637072951104E-2</v>
          </cell>
          <cell r="E165">
            <v>4.7160000000000002</v>
          </cell>
          <cell r="F165">
            <v>0.17</v>
          </cell>
          <cell r="G165">
            <v>1.8000000000000002E-2</v>
          </cell>
          <cell r="H165">
            <v>7.4999999999999997E-3</v>
          </cell>
          <cell r="I165">
            <v>3.0000000000000001E-3</v>
          </cell>
          <cell r="J165">
            <v>2.5000000000000001E-3</v>
          </cell>
          <cell r="K165">
            <v>0.4</v>
          </cell>
          <cell r="M165">
            <v>0.115</v>
          </cell>
          <cell r="N165">
            <v>0</v>
          </cell>
          <cell r="R165">
            <v>0.17</v>
          </cell>
          <cell r="S165">
            <v>0.17</v>
          </cell>
        </row>
        <row r="166">
          <cell r="C166">
            <v>41730</v>
          </cell>
          <cell r="D166">
            <v>5.6552849803060301E-2</v>
          </cell>
          <cell r="E166">
            <v>4.5620000000000003</v>
          </cell>
          <cell r="F166">
            <v>0.17</v>
          </cell>
          <cell r="G166">
            <v>1.8000000000000002E-2</v>
          </cell>
          <cell r="H166">
            <v>0.01</v>
          </cell>
          <cell r="I166">
            <v>3.0000000000000001E-3</v>
          </cell>
          <cell r="J166">
            <v>7.4999999999999997E-3</v>
          </cell>
          <cell r="K166">
            <v>0.6</v>
          </cell>
          <cell r="M166">
            <v>0.55000000000000004</v>
          </cell>
          <cell r="N166">
            <v>0</v>
          </cell>
          <cell r="R166">
            <v>0.17</v>
          </cell>
          <cell r="S166">
            <v>0.17</v>
          </cell>
        </row>
        <row r="167">
          <cell r="C167">
            <v>41760</v>
          </cell>
          <cell r="D167">
            <v>5.6609184704239798E-2</v>
          </cell>
          <cell r="E167">
            <v>4.5670000000000002</v>
          </cell>
          <cell r="F167">
            <v>0.17</v>
          </cell>
          <cell r="G167">
            <v>2.0500000000000001E-2</v>
          </cell>
          <cell r="H167">
            <v>0.01</v>
          </cell>
          <cell r="I167">
            <v>5.5000000000000005E-3</v>
          </cell>
          <cell r="J167">
            <v>7.4999999999999997E-3</v>
          </cell>
          <cell r="K167">
            <v>0.75</v>
          </cell>
          <cell r="M167">
            <v>0.7</v>
          </cell>
          <cell r="N167">
            <v>0</v>
          </cell>
          <cell r="R167">
            <v>0.34</v>
          </cell>
          <cell r="S167">
            <v>0.255</v>
          </cell>
        </row>
        <row r="168">
          <cell r="C168">
            <v>41791</v>
          </cell>
          <cell r="D168">
            <v>5.6667397436568102E-2</v>
          </cell>
          <cell r="E168">
            <v>4.6050000000000004</v>
          </cell>
          <cell r="F168">
            <v>0.17</v>
          </cell>
          <cell r="G168">
            <v>1.8000000000000002E-2</v>
          </cell>
          <cell r="H168">
            <v>0.01</v>
          </cell>
          <cell r="I168">
            <v>3.0000000000000001E-3</v>
          </cell>
          <cell r="J168">
            <v>7.4999999999999997E-3</v>
          </cell>
          <cell r="K168">
            <v>0.85</v>
          </cell>
          <cell r="M168">
            <v>0.8</v>
          </cell>
          <cell r="N168">
            <v>0</v>
          </cell>
          <cell r="R168">
            <v>0.34</v>
          </cell>
          <cell r="S168">
            <v>0.255</v>
          </cell>
        </row>
        <row r="169">
          <cell r="C169">
            <v>41821</v>
          </cell>
          <cell r="D169">
            <v>5.6723732339895201E-2</v>
          </cell>
          <cell r="E169">
            <v>4.6500000000000004</v>
          </cell>
          <cell r="F169">
            <v>0.17</v>
          </cell>
          <cell r="G169">
            <v>1.55E-2</v>
          </cell>
          <cell r="H169">
            <v>0.01</v>
          </cell>
          <cell r="I169">
            <v>5.0000000000000706E-4</v>
          </cell>
          <cell r="J169">
            <v>7.4999999999999997E-3</v>
          </cell>
          <cell r="K169">
            <v>1.05</v>
          </cell>
          <cell r="M169">
            <v>1</v>
          </cell>
          <cell r="N169">
            <v>0</v>
          </cell>
          <cell r="R169">
            <v>0.34</v>
          </cell>
          <cell r="S169">
            <v>0.255</v>
          </cell>
        </row>
        <row r="170">
          <cell r="C170">
            <v>41852</v>
          </cell>
          <cell r="D170">
            <v>5.6781945074443098E-2</v>
          </cell>
          <cell r="E170">
            <v>4.6880000000000006</v>
          </cell>
          <cell r="F170">
            <v>0.17</v>
          </cell>
          <cell r="G170">
            <v>1.55E-2</v>
          </cell>
          <cell r="H170">
            <v>0.01</v>
          </cell>
          <cell r="I170">
            <v>5.0000000000000706E-4</v>
          </cell>
          <cell r="J170">
            <v>7.4999999999999997E-3</v>
          </cell>
          <cell r="K170">
            <v>1.05</v>
          </cell>
          <cell r="M170">
            <v>1</v>
          </cell>
          <cell r="N170">
            <v>0</v>
          </cell>
          <cell r="R170">
            <v>0.34</v>
          </cell>
          <cell r="S170">
            <v>0.255</v>
          </cell>
        </row>
        <row r="171">
          <cell r="C171">
            <v>41883</v>
          </cell>
          <cell r="D171">
            <v>5.68401578101181E-2</v>
          </cell>
          <cell r="E171">
            <v>4.6820000000000004</v>
          </cell>
          <cell r="F171">
            <v>0.17</v>
          </cell>
          <cell r="G171">
            <v>1.55E-2</v>
          </cell>
          <cell r="H171">
            <v>0.01</v>
          </cell>
          <cell r="I171">
            <v>5.0000000000000706E-4</v>
          </cell>
          <cell r="J171">
            <v>7.4999999999999997E-3</v>
          </cell>
          <cell r="K171">
            <v>0.75</v>
          </cell>
          <cell r="M171">
            <v>0.6</v>
          </cell>
          <cell r="N171">
            <v>0</v>
          </cell>
          <cell r="R171">
            <v>0.34</v>
          </cell>
          <cell r="S171">
            <v>0.255</v>
          </cell>
        </row>
        <row r="172">
          <cell r="C172">
            <v>41913</v>
          </cell>
          <cell r="D172">
            <v>5.6896492716684004E-2</v>
          </cell>
          <cell r="E172">
            <v>4.6820000000000004</v>
          </cell>
          <cell r="F172">
            <v>0.17</v>
          </cell>
          <cell r="G172">
            <v>1.4E-2</v>
          </cell>
          <cell r="H172">
            <v>0.01</v>
          </cell>
          <cell r="I172">
            <v>9.9999999999999395E-4</v>
          </cell>
          <cell r="J172">
            <v>7.4999999999999997E-3</v>
          </cell>
          <cell r="K172">
            <v>0.45</v>
          </cell>
          <cell r="M172">
            <v>0.3</v>
          </cell>
          <cell r="N172">
            <v>0</v>
          </cell>
          <cell r="R172">
            <v>0.17</v>
          </cell>
          <cell r="S172">
            <v>0.17</v>
          </cell>
        </row>
        <row r="173">
          <cell r="C173">
            <v>41944</v>
          </cell>
          <cell r="D173">
            <v>5.6954705454578501E-2</v>
          </cell>
          <cell r="E173">
            <v>4.83</v>
          </cell>
          <cell r="F173">
            <v>0.17</v>
          </cell>
          <cell r="G173">
            <v>1.4999999999999999E-2</v>
          </cell>
          <cell r="H173">
            <v>7.4999999999999997E-3</v>
          </cell>
          <cell r="I173">
            <v>0</v>
          </cell>
          <cell r="J173">
            <v>2.5000000000000001E-3</v>
          </cell>
          <cell r="K173">
            <v>0.45</v>
          </cell>
          <cell r="M173">
            <v>0.23</v>
          </cell>
          <cell r="N173">
            <v>0</v>
          </cell>
          <cell r="R173">
            <v>0.17</v>
          </cell>
          <cell r="S173">
            <v>0.17</v>
          </cell>
        </row>
        <row r="174">
          <cell r="C174">
            <v>41974</v>
          </cell>
          <cell r="D174">
            <v>5.70110403632915E-2</v>
          </cell>
          <cell r="E174">
            <v>4.9820000000000002</v>
          </cell>
          <cell r="F174">
            <v>0.17</v>
          </cell>
          <cell r="G174">
            <v>1.4999999999999999E-2</v>
          </cell>
          <cell r="H174">
            <v>7.4999999999999997E-3</v>
          </cell>
          <cell r="I174">
            <v>0</v>
          </cell>
          <cell r="J174">
            <v>2.5000000000000001E-3</v>
          </cell>
          <cell r="K174">
            <v>0.4</v>
          </cell>
          <cell r="M174">
            <v>0.26</v>
          </cell>
          <cell r="N174">
            <v>0</v>
          </cell>
          <cell r="R174">
            <v>0.17</v>
          </cell>
          <cell r="S174">
            <v>0.17</v>
          </cell>
        </row>
        <row r="175">
          <cell r="C175">
            <v>42005</v>
          </cell>
          <cell r="D175">
            <v>5.7069253103404702E-2</v>
          </cell>
          <cell r="E175">
            <v>5.0594999999999999</v>
          </cell>
          <cell r="F175">
            <v>0.17</v>
          </cell>
          <cell r="G175">
            <v>1.4999999999999999E-2</v>
          </cell>
          <cell r="H175">
            <v>7.4999999999999997E-3</v>
          </cell>
          <cell r="I175">
            <v>0</v>
          </cell>
          <cell r="J175">
            <v>2.5000000000000001E-3</v>
          </cell>
          <cell r="K175">
            <v>0.35</v>
          </cell>
          <cell r="M175">
            <v>8.5000000000000006E-2</v>
          </cell>
          <cell r="N175">
            <v>0</v>
          </cell>
          <cell r="R175">
            <v>0.17</v>
          </cell>
          <cell r="S175">
            <v>0.17</v>
          </cell>
        </row>
        <row r="176">
          <cell r="C176">
            <v>42036</v>
          </cell>
          <cell r="D176">
            <v>5.7127465844645002E-2</v>
          </cell>
          <cell r="E176">
            <v>4.9725000000000001</v>
          </cell>
          <cell r="F176">
            <v>0.17</v>
          </cell>
          <cell r="G176">
            <v>1.4999999999999999E-2</v>
          </cell>
          <cell r="H176">
            <v>7.4999999999999997E-3</v>
          </cell>
          <cell r="I176">
            <v>0</v>
          </cell>
          <cell r="J176">
            <v>2.5000000000000001E-3</v>
          </cell>
          <cell r="K176">
            <v>0.35</v>
          </cell>
          <cell r="M176">
            <v>7.4999999999999997E-2</v>
          </cell>
          <cell r="N176">
            <v>0</v>
          </cell>
          <cell r="R176">
            <v>0.17</v>
          </cell>
          <cell r="S176">
            <v>0.17</v>
          </cell>
        </row>
        <row r="177">
          <cell r="C177">
            <v>42064</v>
          </cell>
          <cell r="D177">
            <v>5.71800450957669E-2</v>
          </cell>
          <cell r="E177">
            <v>4.8334999999999999</v>
          </cell>
          <cell r="F177">
            <v>0.17</v>
          </cell>
          <cell r="G177">
            <v>1.9E-2</v>
          </cell>
          <cell r="H177">
            <v>7.4999999999999997E-3</v>
          </cell>
          <cell r="I177">
            <v>4.0000000000000001E-3</v>
          </cell>
          <cell r="J177">
            <v>2.5000000000000001E-3</v>
          </cell>
          <cell r="K177">
            <v>0.4</v>
          </cell>
          <cell r="M177">
            <v>0.115</v>
          </cell>
          <cell r="N177">
            <v>0</v>
          </cell>
          <cell r="R177">
            <v>0.17</v>
          </cell>
          <cell r="S177">
            <v>0.17</v>
          </cell>
        </row>
        <row r="178">
          <cell r="C178">
            <v>42095</v>
          </cell>
          <cell r="D178">
            <v>5.7238257839152998E-2</v>
          </cell>
          <cell r="E178">
            <v>4.6795</v>
          </cell>
          <cell r="F178">
            <v>0.17</v>
          </cell>
          <cell r="G178">
            <v>1.9E-2</v>
          </cell>
          <cell r="H178">
            <v>0.01</v>
          </cell>
          <cell r="I178">
            <v>4.0000000000000001E-3</v>
          </cell>
          <cell r="J178">
            <v>7.4999999999999997E-3</v>
          </cell>
          <cell r="K178">
            <v>0.6</v>
          </cell>
          <cell r="M178">
            <v>0.55000000000000004</v>
          </cell>
          <cell r="N178">
            <v>0</v>
          </cell>
          <cell r="R178">
            <v>0.17</v>
          </cell>
          <cell r="S178">
            <v>0.17</v>
          </cell>
        </row>
        <row r="179">
          <cell r="C179">
            <v>42125</v>
          </cell>
          <cell r="D179">
            <v>5.7294592753181404E-2</v>
          </cell>
          <cell r="E179">
            <v>4.6844999999999999</v>
          </cell>
          <cell r="F179">
            <v>0.17</v>
          </cell>
          <cell r="G179">
            <v>2.1500000000000002E-2</v>
          </cell>
          <cell r="H179">
            <v>0.01</v>
          </cell>
          <cell r="I179">
            <v>6.5000000000000006E-3</v>
          </cell>
          <cell r="J179">
            <v>7.4999999999999997E-3</v>
          </cell>
          <cell r="K179">
            <v>0.75</v>
          </cell>
          <cell r="M179">
            <v>0.7</v>
          </cell>
          <cell r="N179">
            <v>0</v>
          </cell>
          <cell r="R179">
            <v>0.34</v>
          </cell>
          <cell r="S179">
            <v>0.255</v>
          </cell>
        </row>
        <row r="180">
          <cell r="C180">
            <v>42156</v>
          </cell>
          <cell r="D180">
            <v>5.73528054987862E-2</v>
          </cell>
          <cell r="E180">
            <v>4.7225000000000001</v>
          </cell>
          <cell r="F180">
            <v>0.17</v>
          </cell>
          <cell r="G180">
            <v>1.9E-2</v>
          </cell>
          <cell r="H180">
            <v>0.01</v>
          </cell>
          <cell r="I180">
            <v>4.0000000000000001E-3</v>
          </cell>
          <cell r="J180">
            <v>7.4999999999999997E-3</v>
          </cell>
          <cell r="K180">
            <v>0.85</v>
          </cell>
          <cell r="M180">
            <v>0.8</v>
          </cell>
          <cell r="N180">
            <v>0</v>
          </cell>
          <cell r="R180">
            <v>0.34</v>
          </cell>
          <cell r="S180">
            <v>0.255</v>
          </cell>
        </row>
        <row r="181">
          <cell r="C181">
            <v>42186</v>
          </cell>
          <cell r="D181">
            <v>5.7409140414961701E-2</v>
          </cell>
          <cell r="E181">
            <v>4.7675000000000001</v>
          </cell>
          <cell r="F181">
            <v>0.17</v>
          </cell>
          <cell r="G181">
            <v>1.6500000000000001E-2</v>
          </cell>
          <cell r="H181">
            <v>0.01</v>
          </cell>
          <cell r="I181">
            <v>1.5E-3</v>
          </cell>
          <cell r="J181">
            <v>7.4999999999999997E-3</v>
          </cell>
          <cell r="K181">
            <v>1.05</v>
          </cell>
          <cell r="M181">
            <v>1</v>
          </cell>
          <cell r="N181">
            <v>0</v>
          </cell>
          <cell r="R181">
            <v>0.34</v>
          </cell>
          <cell r="S181">
            <v>0.255</v>
          </cell>
        </row>
        <row r="182">
          <cell r="C182">
            <v>42217</v>
          </cell>
          <cell r="D182">
            <v>5.7467353162784701E-2</v>
          </cell>
          <cell r="E182">
            <v>4.8055000000000003</v>
          </cell>
          <cell r="F182">
            <v>0.17</v>
          </cell>
          <cell r="G182">
            <v>1.6500000000000001E-2</v>
          </cell>
          <cell r="H182">
            <v>0.01</v>
          </cell>
          <cell r="I182">
            <v>1.5E-3</v>
          </cell>
          <cell r="J182">
            <v>7.4999999999999997E-3</v>
          </cell>
          <cell r="K182">
            <v>1.05</v>
          </cell>
          <cell r="M182">
            <v>1</v>
          </cell>
          <cell r="N182">
            <v>0</v>
          </cell>
          <cell r="R182">
            <v>0.34</v>
          </cell>
          <cell r="S182">
            <v>0.255</v>
          </cell>
        </row>
        <row r="183">
          <cell r="C183">
            <v>42248</v>
          </cell>
          <cell r="D183">
            <v>5.7525565911735702E-2</v>
          </cell>
          <cell r="E183">
            <v>4.7995000000000001</v>
          </cell>
          <cell r="F183">
            <v>0.17</v>
          </cell>
          <cell r="G183">
            <v>1.6500000000000001E-2</v>
          </cell>
          <cell r="H183">
            <v>0.01</v>
          </cell>
          <cell r="I183">
            <v>1.5E-3</v>
          </cell>
          <cell r="J183">
            <v>7.4999999999999997E-3</v>
          </cell>
          <cell r="K183">
            <v>0.75</v>
          </cell>
          <cell r="M183">
            <v>0.6</v>
          </cell>
          <cell r="N183">
            <v>0</v>
          </cell>
          <cell r="R183">
            <v>0.34</v>
          </cell>
          <cell r="S183">
            <v>0.255</v>
          </cell>
        </row>
        <row r="184">
          <cell r="C184">
            <v>42278</v>
          </cell>
          <cell r="D184">
            <v>5.7581900831148204E-2</v>
          </cell>
          <cell r="E184">
            <v>4.7995000000000001</v>
          </cell>
          <cell r="F184">
            <v>0.17</v>
          </cell>
          <cell r="G184">
            <v>1.4999999999999999E-2</v>
          </cell>
          <cell r="H184">
            <v>0.01</v>
          </cell>
          <cell r="I184">
            <v>0</v>
          </cell>
          <cell r="J184">
            <v>7.4999999999999997E-3</v>
          </cell>
          <cell r="K184">
            <v>0.45</v>
          </cell>
          <cell r="M184">
            <v>0.3</v>
          </cell>
          <cell r="N184">
            <v>0</v>
          </cell>
          <cell r="R184">
            <v>0.17</v>
          </cell>
          <cell r="S184">
            <v>0.17</v>
          </cell>
        </row>
        <row r="185">
          <cell r="C185">
            <v>42309</v>
          </cell>
          <cell r="D185">
            <v>5.76401135823175E-2</v>
          </cell>
          <cell r="E185">
            <v>4.9474999999999998</v>
          </cell>
          <cell r="F185">
            <v>0.17</v>
          </cell>
          <cell r="G185">
            <v>1.6E-2</v>
          </cell>
          <cell r="H185">
            <v>7.4999999999999997E-3</v>
          </cell>
          <cell r="I185">
            <v>1E-3</v>
          </cell>
          <cell r="J185">
            <v>2.5000000000000001E-3</v>
          </cell>
          <cell r="K185">
            <v>0.45</v>
          </cell>
          <cell r="M185">
            <v>0.23</v>
          </cell>
          <cell r="N185">
            <v>0</v>
          </cell>
          <cell r="R185">
            <v>0.17</v>
          </cell>
          <cell r="S185">
            <v>0.17</v>
          </cell>
        </row>
        <row r="186">
          <cell r="C186">
            <v>42339</v>
          </cell>
          <cell r="D186">
            <v>5.7696448503876702E-2</v>
          </cell>
          <cell r="E186">
            <v>5.0994999999999999</v>
          </cell>
          <cell r="F186">
            <v>0.17</v>
          </cell>
          <cell r="G186">
            <v>1.6E-2</v>
          </cell>
          <cell r="H186">
            <v>7.4999999999999997E-3</v>
          </cell>
          <cell r="I186">
            <v>1E-3</v>
          </cell>
          <cell r="J186">
            <v>2.5000000000000001E-3</v>
          </cell>
          <cell r="K186">
            <v>0.4</v>
          </cell>
          <cell r="M186">
            <v>0.26</v>
          </cell>
          <cell r="N186">
            <v>0</v>
          </cell>
          <cell r="R186">
            <v>0.17</v>
          </cell>
          <cell r="S186">
            <v>0.17</v>
          </cell>
        </row>
        <row r="187">
          <cell r="C187">
            <v>42370</v>
          </cell>
          <cell r="D187">
            <v>5.7754661257263702E-2</v>
          </cell>
          <cell r="E187">
            <v>5.1770000000000005</v>
          </cell>
          <cell r="F187">
            <v>0.17</v>
          </cell>
          <cell r="G187">
            <v>1.6E-2</v>
          </cell>
          <cell r="H187">
            <v>7.4999999999999997E-3</v>
          </cell>
          <cell r="I187">
            <v>1E-3</v>
          </cell>
          <cell r="J187">
            <v>2.5000000000000001E-3</v>
          </cell>
          <cell r="K187">
            <v>0.35</v>
          </cell>
          <cell r="M187">
            <v>8.5000000000000006E-2</v>
          </cell>
          <cell r="N187">
            <v>0</v>
          </cell>
          <cell r="R187">
            <v>0.17</v>
          </cell>
          <cell r="S187">
            <v>0.17</v>
          </cell>
        </row>
        <row r="188">
          <cell r="C188">
            <v>42401</v>
          </cell>
          <cell r="D188">
            <v>5.7812874011778301E-2</v>
          </cell>
          <cell r="E188">
            <v>5.09</v>
          </cell>
          <cell r="F188">
            <v>0.17</v>
          </cell>
          <cell r="G188">
            <v>1.6E-2</v>
          </cell>
          <cell r="H188">
            <v>7.4999999999999997E-3</v>
          </cell>
          <cell r="I188">
            <v>1E-3</v>
          </cell>
          <cell r="J188">
            <v>2.5000000000000001E-3</v>
          </cell>
          <cell r="K188">
            <v>0.35</v>
          </cell>
          <cell r="M188">
            <v>7.4999999999999997E-2</v>
          </cell>
          <cell r="N188">
            <v>0</v>
          </cell>
          <cell r="R188">
            <v>0.17</v>
          </cell>
          <cell r="S188">
            <v>0.17</v>
          </cell>
        </row>
        <row r="189">
          <cell r="C189">
            <v>42430</v>
          </cell>
          <cell r="D189">
            <v>5.7867331105730703E-2</v>
          </cell>
          <cell r="E189">
            <v>4.9510000000000005</v>
          </cell>
          <cell r="F189">
            <v>0.17</v>
          </cell>
          <cell r="G189">
            <v>0.02</v>
          </cell>
          <cell r="H189">
            <v>7.4999999999999997E-3</v>
          </cell>
          <cell r="I189">
            <v>5.0000000000000001E-3</v>
          </cell>
          <cell r="J189">
            <v>2.5000000000000001E-3</v>
          </cell>
          <cell r="K189">
            <v>0.4</v>
          </cell>
          <cell r="M189">
            <v>0.115</v>
          </cell>
          <cell r="N189">
            <v>0</v>
          </cell>
          <cell r="R189">
            <v>0.17</v>
          </cell>
          <cell r="S189">
            <v>0.17</v>
          </cell>
        </row>
        <row r="190">
          <cell r="C190">
            <v>42461</v>
          </cell>
          <cell r="D190">
            <v>5.7925543862426702E-2</v>
          </cell>
          <cell r="E190">
            <v>4.7970000000000006</v>
          </cell>
          <cell r="F190">
            <v>0.17</v>
          </cell>
          <cell r="G190">
            <v>0.02</v>
          </cell>
          <cell r="H190">
            <v>0.01</v>
          </cell>
          <cell r="I190">
            <v>5.0000000000000001E-3</v>
          </cell>
          <cell r="J190">
            <v>7.4999999999999997E-3</v>
          </cell>
          <cell r="K190">
            <v>0.6</v>
          </cell>
          <cell r="M190">
            <v>0.55000000000000004</v>
          </cell>
          <cell r="N190">
            <v>0</v>
          </cell>
          <cell r="R190">
            <v>0.17</v>
          </cell>
          <cell r="S190">
            <v>0.17</v>
          </cell>
        </row>
        <row r="191">
          <cell r="C191">
            <v>42491</v>
          </cell>
          <cell r="D191">
            <v>5.7981878789334501E-2</v>
          </cell>
          <cell r="E191">
            <v>4.8020000000000005</v>
          </cell>
          <cell r="F191">
            <v>0.17</v>
          </cell>
          <cell r="G191">
            <v>2.2499999999999999E-2</v>
          </cell>
          <cell r="H191">
            <v>0.01</v>
          </cell>
          <cell r="I191">
            <v>7.4999999999999997E-3</v>
          </cell>
          <cell r="J191">
            <v>7.4999999999999997E-3</v>
          </cell>
          <cell r="K191">
            <v>0.75</v>
          </cell>
          <cell r="M191">
            <v>0.7</v>
          </cell>
          <cell r="N191">
            <v>0</v>
          </cell>
          <cell r="R191">
            <v>0.34</v>
          </cell>
          <cell r="S191">
            <v>0.255</v>
          </cell>
        </row>
        <row r="192">
          <cell r="C192">
            <v>42522</v>
          </cell>
          <cell r="D192">
            <v>5.8040091548247699E-2</v>
          </cell>
          <cell r="E192">
            <v>4.84</v>
          </cell>
          <cell r="F192">
            <v>0.17</v>
          </cell>
          <cell r="G192">
            <v>0.02</v>
          </cell>
          <cell r="H192">
            <v>0.01</v>
          </cell>
          <cell r="I192">
            <v>5.0000000000000001E-3</v>
          </cell>
          <cell r="J192">
            <v>7.4999999999999997E-3</v>
          </cell>
          <cell r="K192">
            <v>0.85</v>
          </cell>
          <cell r="M192">
            <v>0.8</v>
          </cell>
          <cell r="N192">
            <v>0</v>
          </cell>
          <cell r="R192">
            <v>0.34</v>
          </cell>
          <cell r="S192">
            <v>0.255</v>
          </cell>
        </row>
        <row r="193">
          <cell r="C193">
            <v>42552</v>
          </cell>
          <cell r="D193">
            <v>5.8096426477301802E-2</v>
          </cell>
          <cell r="E193">
            <v>4.8849999999999998</v>
          </cell>
          <cell r="F193">
            <v>0.17</v>
          </cell>
          <cell r="G193">
            <v>1.7500000000000002E-2</v>
          </cell>
          <cell r="H193">
            <v>0.01</v>
          </cell>
          <cell r="I193">
            <v>2.5000000000000001E-3</v>
          </cell>
          <cell r="J193">
            <v>7.4999999999999997E-3</v>
          </cell>
          <cell r="K193">
            <v>1.05</v>
          </cell>
          <cell r="M193">
            <v>1</v>
          </cell>
          <cell r="N193">
            <v>0</v>
          </cell>
          <cell r="R193">
            <v>0.34</v>
          </cell>
          <cell r="S193">
            <v>0.255</v>
          </cell>
        </row>
        <row r="194">
          <cell r="C194">
            <v>42583</v>
          </cell>
          <cell r="D194">
            <v>5.8154639238432899E-2</v>
          </cell>
          <cell r="E194">
            <v>4.923</v>
          </cell>
          <cell r="F194">
            <v>0.17</v>
          </cell>
          <cell r="G194">
            <v>1.7500000000000002E-2</v>
          </cell>
          <cell r="H194">
            <v>0.01</v>
          </cell>
          <cell r="I194">
            <v>2.5000000000000001E-3</v>
          </cell>
          <cell r="J194">
            <v>7.4999999999999997E-3</v>
          </cell>
          <cell r="K194">
            <v>1.05</v>
          </cell>
          <cell r="M194">
            <v>1</v>
          </cell>
          <cell r="N194">
            <v>0</v>
          </cell>
          <cell r="R194">
            <v>0.34</v>
          </cell>
          <cell r="S194">
            <v>0.255</v>
          </cell>
        </row>
        <row r="195">
          <cell r="C195">
            <v>42614</v>
          </cell>
          <cell r="D195">
            <v>5.8212852000690998E-2</v>
          </cell>
          <cell r="E195">
            <v>4.9169999999999998</v>
          </cell>
          <cell r="F195">
            <v>0.17</v>
          </cell>
          <cell r="G195">
            <v>1.7500000000000002E-2</v>
          </cell>
          <cell r="H195">
            <v>0.01</v>
          </cell>
          <cell r="I195">
            <v>2.5000000000000001E-3</v>
          </cell>
          <cell r="J195">
            <v>7.4999999999999997E-3</v>
          </cell>
          <cell r="K195">
            <v>0.75</v>
          </cell>
          <cell r="M195">
            <v>0.6</v>
          </cell>
          <cell r="N195">
            <v>0</v>
          </cell>
          <cell r="R195">
            <v>0.34</v>
          </cell>
          <cell r="S195">
            <v>0.255</v>
          </cell>
        </row>
        <row r="196">
          <cell r="C196">
            <v>42644</v>
          </cell>
          <cell r="D196">
            <v>5.8269186932981699E-2</v>
          </cell>
          <cell r="E196">
            <v>4.9169999999999998</v>
          </cell>
          <cell r="F196">
            <v>0.17</v>
          </cell>
          <cell r="G196">
            <v>1.6E-2</v>
          </cell>
          <cell r="H196">
            <v>0.01</v>
          </cell>
          <cell r="I196">
            <v>1E-3</v>
          </cell>
          <cell r="J196">
            <v>7.4999999999999997E-3</v>
          </cell>
          <cell r="K196">
            <v>0.45</v>
          </cell>
          <cell r="M196">
            <v>0.3</v>
          </cell>
          <cell r="N196">
            <v>0</v>
          </cell>
          <cell r="R196">
            <v>0.17</v>
          </cell>
          <cell r="S196">
            <v>0.17</v>
          </cell>
        </row>
        <row r="197">
          <cell r="C197">
            <v>42675</v>
          </cell>
          <cell r="D197">
            <v>5.8327399697457198E-2</v>
          </cell>
          <cell r="E197">
            <v>5.0650000000000004</v>
          </cell>
          <cell r="F197">
            <v>0.17</v>
          </cell>
          <cell r="G197">
            <v>1.7000000000000001E-2</v>
          </cell>
          <cell r="H197">
            <v>7.4999999999999997E-3</v>
          </cell>
          <cell r="I197">
            <v>2E-3</v>
          </cell>
          <cell r="J197">
            <v>2.5000000000000001E-3</v>
          </cell>
          <cell r="K197">
            <v>0.45</v>
          </cell>
          <cell r="M197">
            <v>0.23</v>
          </cell>
          <cell r="N197">
            <v>0</v>
          </cell>
          <cell r="R197">
            <v>0.17</v>
          </cell>
          <cell r="S197">
            <v>0.17</v>
          </cell>
        </row>
        <row r="198">
          <cell r="C198">
            <v>42705</v>
          </cell>
          <cell r="D198">
            <v>5.83837346318936E-2</v>
          </cell>
          <cell r="E198">
            <v>5.2170000000000005</v>
          </cell>
          <cell r="F198">
            <v>0.17</v>
          </cell>
          <cell r="G198">
            <v>1.7000000000000001E-2</v>
          </cell>
          <cell r="H198">
            <v>7.4999999999999997E-3</v>
          </cell>
          <cell r="I198">
            <v>2E-3</v>
          </cell>
          <cell r="J198">
            <v>2.5000000000000001E-3</v>
          </cell>
          <cell r="K198">
            <v>0.4</v>
          </cell>
          <cell r="M198">
            <v>0.26</v>
          </cell>
          <cell r="N198">
            <v>0</v>
          </cell>
          <cell r="R198">
            <v>0.17</v>
          </cell>
          <cell r="S198">
            <v>0.17</v>
          </cell>
        </row>
        <row r="199">
          <cell r="C199">
            <v>42736</v>
          </cell>
          <cell r="D199">
            <v>5.8441947398586901E-2</v>
          </cell>
          <cell r="E199">
            <v>5.2945000000000002</v>
          </cell>
          <cell r="F199">
            <v>0.17</v>
          </cell>
          <cell r="G199">
            <v>1.7000000000000001E-2</v>
          </cell>
          <cell r="H199">
            <v>7.4999999999999997E-3</v>
          </cell>
          <cell r="I199">
            <v>2E-3</v>
          </cell>
          <cell r="J199">
            <v>2.5000000000000001E-3</v>
          </cell>
          <cell r="K199">
            <v>0.35</v>
          </cell>
          <cell r="M199">
            <v>8.5000000000000006E-2</v>
          </cell>
          <cell r="N199">
            <v>0</v>
          </cell>
          <cell r="R199">
            <v>0.17</v>
          </cell>
          <cell r="S199">
            <v>0.17</v>
          </cell>
        </row>
        <row r="200">
          <cell r="C200">
            <v>42767</v>
          </cell>
          <cell r="D200">
            <v>5.85001601664068E-2</v>
          </cell>
          <cell r="E200">
            <v>5.2074999999999996</v>
          </cell>
          <cell r="F200">
            <v>0.17</v>
          </cell>
          <cell r="G200">
            <v>1.7000000000000001E-2</v>
          </cell>
          <cell r="H200">
            <v>7.4999999999999997E-3</v>
          </cell>
          <cell r="I200">
            <v>2E-3</v>
          </cell>
          <cell r="J200">
            <v>2.5000000000000001E-3</v>
          </cell>
          <cell r="K200">
            <v>0.35</v>
          </cell>
          <cell r="M200">
            <v>7.4999999999999997E-2</v>
          </cell>
          <cell r="N200">
            <v>0</v>
          </cell>
          <cell r="R200">
            <v>0.17</v>
          </cell>
          <cell r="S200">
            <v>0.17</v>
          </cell>
        </row>
        <row r="201">
          <cell r="C201">
            <v>42795</v>
          </cell>
          <cell r="D201">
            <v>5.8552739441534801E-2</v>
          </cell>
          <cell r="E201">
            <v>5.0685000000000002</v>
          </cell>
          <cell r="F201">
            <v>0.17</v>
          </cell>
          <cell r="G201">
            <v>2.1000000000000001E-2</v>
          </cell>
          <cell r="H201">
            <v>7.4999999999999997E-3</v>
          </cell>
          <cell r="I201">
            <v>6.0000000000000001E-3</v>
          </cell>
          <cell r="J201">
            <v>2.5000000000000001E-3</v>
          </cell>
          <cell r="K201">
            <v>0.4</v>
          </cell>
          <cell r="M201">
            <v>0.115</v>
          </cell>
          <cell r="N201">
            <v>0</v>
          </cell>
          <cell r="R201">
            <v>0.17</v>
          </cell>
          <cell r="S201">
            <v>0.17</v>
          </cell>
        </row>
        <row r="202">
          <cell r="C202">
            <v>42826</v>
          </cell>
          <cell r="D202">
            <v>5.8610952211499298E-2</v>
          </cell>
          <cell r="E202">
            <v>4.9145000000000003</v>
          </cell>
          <cell r="F202">
            <v>0.17</v>
          </cell>
          <cell r="G202">
            <v>2.1000000000000001E-2</v>
          </cell>
          <cell r="H202">
            <v>0.01</v>
          </cell>
          <cell r="I202">
            <v>6.0000000000000001E-3</v>
          </cell>
          <cell r="J202">
            <v>7.4999999999999997E-3</v>
          </cell>
          <cell r="K202">
            <v>0.6</v>
          </cell>
          <cell r="M202">
            <v>0.55000000000000004</v>
          </cell>
          <cell r="N202">
            <v>0</v>
          </cell>
          <cell r="R202">
            <v>0.17</v>
          </cell>
          <cell r="S202">
            <v>0.17</v>
          </cell>
        </row>
        <row r="203">
          <cell r="C203">
            <v>42856</v>
          </cell>
          <cell r="D203">
            <v>5.8667287151246604E-2</v>
          </cell>
          <cell r="E203">
            <v>4.9195000000000002</v>
          </cell>
          <cell r="F203">
            <v>0.17</v>
          </cell>
          <cell r="G203">
            <v>2.35E-2</v>
          </cell>
          <cell r="H203">
            <v>0.01</v>
          </cell>
          <cell r="I203">
            <v>8.5000000000000006E-3</v>
          </cell>
          <cell r="J203">
            <v>7.4999999999999997E-3</v>
          </cell>
          <cell r="K203">
            <v>0.75</v>
          </cell>
          <cell r="M203">
            <v>0.7</v>
          </cell>
          <cell r="N203">
            <v>0</v>
          </cell>
          <cell r="R203">
            <v>0.34</v>
          </cell>
          <cell r="S203">
            <v>0.255</v>
          </cell>
        </row>
        <row r="204">
          <cell r="C204">
            <v>42887</v>
          </cell>
          <cell r="D204">
            <v>5.8725499923427904E-2</v>
          </cell>
          <cell r="E204">
            <v>4.9574999999999996</v>
          </cell>
          <cell r="F204">
            <v>0.17</v>
          </cell>
          <cell r="G204">
            <v>2.1000000000000001E-2</v>
          </cell>
          <cell r="H204">
            <v>0.01</v>
          </cell>
          <cell r="I204">
            <v>6.0000000000000001E-3</v>
          </cell>
          <cell r="J204">
            <v>7.4999999999999997E-3</v>
          </cell>
          <cell r="K204">
            <v>0.85</v>
          </cell>
          <cell r="M204">
            <v>0.8</v>
          </cell>
          <cell r="N204">
            <v>0</v>
          </cell>
          <cell r="R204">
            <v>0.34</v>
          </cell>
          <cell r="S204">
            <v>0.255</v>
          </cell>
        </row>
        <row r="205">
          <cell r="C205">
            <v>42917</v>
          </cell>
          <cell r="D205">
            <v>5.87818348653215E-2</v>
          </cell>
          <cell r="E205">
            <v>5.0025000000000004</v>
          </cell>
          <cell r="F205">
            <v>0.17</v>
          </cell>
          <cell r="G205">
            <v>1.8500000000000003E-2</v>
          </cell>
          <cell r="H205">
            <v>0.01</v>
          </cell>
          <cell r="I205">
            <v>3.5000000000000001E-3</v>
          </cell>
          <cell r="J205">
            <v>7.4999999999999997E-3</v>
          </cell>
          <cell r="K205">
            <v>1.05</v>
          </cell>
          <cell r="M205">
            <v>1</v>
          </cell>
          <cell r="N205">
            <v>0</v>
          </cell>
          <cell r="R205">
            <v>0.34</v>
          </cell>
          <cell r="S205">
            <v>0.255</v>
          </cell>
        </row>
        <row r="206">
          <cell r="C206">
            <v>42948</v>
          </cell>
          <cell r="D206">
            <v>5.88400476397197E-2</v>
          </cell>
          <cell r="E206">
            <v>5.0405000000000006</v>
          </cell>
          <cell r="F206">
            <v>0.17</v>
          </cell>
          <cell r="G206">
            <v>1.8500000000000003E-2</v>
          </cell>
          <cell r="H206">
            <v>0.01</v>
          </cell>
          <cell r="I206">
            <v>3.5000000000000001E-3</v>
          </cell>
          <cell r="J206">
            <v>7.4999999999999997E-3</v>
          </cell>
          <cell r="K206">
            <v>1.05</v>
          </cell>
          <cell r="M206">
            <v>1</v>
          </cell>
          <cell r="N206">
            <v>0</v>
          </cell>
          <cell r="R206">
            <v>0.34</v>
          </cell>
          <cell r="S206">
            <v>0.255</v>
          </cell>
        </row>
        <row r="207">
          <cell r="C207">
            <v>42979</v>
          </cell>
          <cell r="D207">
            <v>5.8898260415244201E-2</v>
          </cell>
          <cell r="E207">
            <v>5.0345000000000004</v>
          </cell>
          <cell r="F207">
            <v>0.17</v>
          </cell>
          <cell r="G207">
            <v>1.8500000000000003E-2</v>
          </cell>
          <cell r="H207">
            <v>0.01</v>
          </cell>
          <cell r="I207">
            <v>3.5000000000000001E-3</v>
          </cell>
          <cell r="J207">
            <v>7.4999999999999997E-3</v>
          </cell>
          <cell r="K207">
            <v>0.75</v>
          </cell>
          <cell r="M207">
            <v>0.6</v>
          </cell>
          <cell r="N207">
            <v>0</v>
          </cell>
          <cell r="R207">
            <v>0.34</v>
          </cell>
          <cell r="S207">
            <v>0.255</v>
          </cell>
        </row>
        <row r="208">
          <cell r="C208">
            <v>43009</v>
          </cell>
          <cell r="D208">
            <v>5.8954595360373403E-2</v>
          </cell>
          <cell r="E208">
            <v>5.0345000000000004</v>
          </cell>
          <cell r="F208">
            <v>0.17</v>
          </cell>
          <cell r="G208">
            <v>1.7000000000000001E-2</v>
          </cell>
          <cell r="H208">
            <v>0.01</v>
          </cell>
          <cell r="I208">
            <v>2E-3</v>
          </cell>
          <cell r="J208">
            <v>7.4999999999999997E-3</v>
          </cell>
          <cell r="K208">
            <v>0.45</v>
          </cell>
          <cell r="M208">
            <v>0.3</v>
          </cell>
          <cell r="N208">
            <v>0</v>
          </cell>
          <cell r="R208">
            <v>0.17</v>
          </cell>
          <cell r="S208">
            <v>0.17</v>
          </cell>
        </row>
        <row r="209">
          <cell r="C209">
            <v>43040</v>
          </cell>
          <cell r="D209">
            <v>5.90128081381147E-2</v>
          </cell>
          <cell r="E209">
            <v>5.1825000000000001</v>
          </cell>
          <cell r="F209">
            <v>0.17</v>
          </cell>
          <cell r="G209">
            <v>1.8000000000000002E-2</v>
          </cell>
          <cell r="H209">
            <v>7.4999999999999997E-3</v>
          </cell>
          <cell r="I209">
            <v>3.0000000000000001E-3</v>
          </cell>
          <cell r="J209">
            <v>2.5000000000000001E-3</v>
          </cell>
          <cell r="K209">
            <v>0.45</v>
          </cell>
          <cell r="M209">
            <v>0.23</v>
          </cell>
          <cell r="N209">
            <v>0</v>
          </cell>
          <cell r="R209">
            <v>0.17</v>
          </cell>
          <cell r="S209">
            <v>0.17</v>
          </cell>
        </row>
        <row r="210">
          <cell r="C210">
            <v>43070</v>
          </cell>
          <cell r="D210">
            <v>5.9069143085388902E-2</v>
          </cell>
          <cell r="E210">
            <v>5.3345000000000002</v>
          </cell>
          <cell r="F210">
            <v>0.17</v>
          </cell>
          <cell r="G210">
            <v>1.8000000000000002E-2</v>
          </cell>
          <cell r="H210">
            <v>7.4999999999999997E-3</v>
          </cell>
          <cell r="I210">
            <v>3.0000000000000001E-3</v>
          </cell>
          <cell r="J210">
            <v>2.5000000000000001E-3</v>
          </cell>
          <cell r="K210">
            <v>0.4</v>
          </cell>
          <cell r="M210">
            <v>0.26</v>
          </cell>
          <cell r="N210">
            <v>0</v>
          </cell>
          <cell r="R210">
            <v>0.17</v>
          </cell>
          <cell r="S210">
            <v>0.17</v>
          </cell>
        </row>
        <row r="211">
          <cell r="C211">
            <v>43101</v>
          </cell>
          <cell r="D211">
            <v>5.9127355865347099E-2</v>
          </cell>
          <cell r="E211">
            <v>5.4119999999999999</v>
          </cell>
          <cell r="F211">
            <v>0.17</v>
          </cell>
          <cell r="G211">
            <v>1.8000000000000002E-2</v>
          </cell>
          <cell r="H211">
            <v>7.4999999999999997E-3</v>
          </cell>
          <cell r="I211">
            <v>3.0000000000000001E-3</v>
          </cell>
          <cell r="J211">
            <v>2.5000000000000001E-3</v>
          </cell>
          <cell r="K211">
            <v>0.35</v>
          </cell>
          <cell r="M211">
            <v>8.5000000000000006E-2</v>
          </cell>
          <cell r="N211">
            <v>0</v>
          </cell>
          <cell r="R211">
            <v>0.17</v>
          </cell>
          <cell r="S211">
            <v>0.17</v>
          </cell>
        </row>
        <row r="212">
          <cell r="C212">
            <v>43132</v>
          </cell>
          <cell r="D212">
            <v>5.91855686464315E-2</v>
          </cell>
          <cell r="E212">
            <v>5.3250000000000002</v>
          </cell>
          <cell r="F212">
            <v>0.17</v>
          </cell>
          <cell r="G212">
            <v>1.8000000000000002E-2</v>
          </cell>
          <cell r="H212">
            <v>7.4999999999999997E-3</v>
          </cell>
          <cell r="I212">
            <v>3.0000000000000001E-3</v>
          </cell>
          <cell r="J212">
            <v>2.5000000000000001E-3</v>
          </cell>
          <cell r="K212">
            <v>0.35</v>
          </cell>
          <cell r="M212">
            <v>7.4999999999999997E-2</v>
          </cell>
          <cell r="N212">
            <v>0</v>
          </cell>
          <cell r="R212">
            <v>0.17</v>
          </cell>
          <cell r="S212">
            <v>0.17</v>
          </cell>
        </row>
        <row r="213">
          <cell r="C213">
            <v>43160</v>
          </cell>
          <cell r="D213">
            <v>5.9238147933540604E-2</v>
          </cell>
          <cell r="E213">
            <v>5.1859999999999999</v>
          </cell>
          <cell r="F213">
            <v>0.17</v>
          </cell>
          <cell r="G213">
            <v>2.2000000000000002E-2</v>
          </cell>
          <cell r="H213">
            <v>7.4999999999999997E-3</v>
          </cell>
          <cell r="I213">
            <v>7.0000000000000001E-3</v>
          </cell>
          <cell r="J213">
            <v>2.5000000000000001E-3</v>
          </cell>
          <cell r="K213">
            <v>0.4</v>
          </cell>
          <cell r="M213">
            <v>0.115</v>
          </cell>
          <cell r="N213">
            <v>0</v>
          </cell>
          <cell r="R213">
            <v>0.17</v>
          </cell>
          <cell r="S213">
            <v>0.17</v>
          </cell>
        </row>
        <row r="214">
          <cell r="C214">
            <v>43191</v>
          </cell>
          <cell r="D214">
            <v>5.9296360716769102E-2</v>
          </cell>
          <cell r="E214">
            <v>5.032</v>
          </cell>
          <cell r="F214">
            <v>0.17</v>
          </cell>
          <cell r="G214">
            <v>2.2000000000000002E-2</v>
          </cell>
          <cell r="H214">
            <v>0.01</v>
          </cell>
          <cell r="I214">
            <v>7.0000000000000001E-3</v>
          </cell>
          <cell r="J214">
            <v>7.4999999999999997E-3</v>
          </cell>
          <cell r="K214">
            <v>0.6</v>
          </cell>
          <cell r="M214">
            <v>0.55000000000000004</v>
          </cell>
          <cell r="N214">
            <v>0</v>
          </cell>
          <cell r="R214">
            <v>0.17</v>
          </cell>
          <cell r="S214">
            <v>0.17</v>
          </cell>
        </row>
        <row r="215">
          <cell r="C215">
            <v>43221</v>
          </cell>
          <cell r="D215">
            <v>5.9352695669352404E-2</v>
          </cell>
          <cell r="E215">
            <v>5.0369999999999999</v>
          </cell>
          <cell r="F215">
            <v>0.17</v>
          </cell>
          <cell r="G215">
            <v>2.4500000000000001E-2</v>
          </cell>
          <cell r="H215">
            <v>0.01</v>
          </cell>
          <cell r="I215">
            <v>9.4999999999999998E-3</v>
          </cell>
          <cell r="J215">
            <v>7.4999999999999997E-3</v>
          </cell>
          <cell r="K215">
            <v>0.75</v>
          </cell>
          <cell r="M215">
            <v>0.7</v>
          </cell>
          <cell r="N215">
            <v>0</v>
          </cell>
          <cell r="R215">
            <v>0.34</v>
          </cell>
          <cell r="S215">
            <v>0.255</v>
          </cell>
        </row>
        <row r="216">
          <cell r="C216">
            <v>43252</v>
          </cell>
          <cell r="D216">
            <v>5.94109084547969E-2</v>
          </cell>
          <cell r="E216">
            <v>5.0750000000000002</v>
          </cell>
          <cell r="F216">
            <v>0.17</v>
          </cell>
          <cell r="G216">
            <v>2.2000000000000002E-2</v>
          </cell>
          <cell r="H216">
            <v>0.01</v>
          </cell>
          <cell r="I216">
            <v>7.0000000000000001E-3</v>
          </cell>
          <cell r="J216">
            <v>7.4999999999999997E-3</v>
          </cell>
          <cell r="K216">
            <v>0.85</v>
          </cell>
          <cell r="M216">
            <v>0.8</v>
          </cell>
          <cell r="N216">
            <v>0</v>
          </cell>
          <cell r="R216">
            <v>0.34</v>
          </cell>
          <cell r="S216">
            <v>0.255</v>
          </cell>
        </row>
        <row r="217">
          <cell r="C217">
            <v>43282</v>
          </cell>
          <cell r="D217">
            <v>5.9467243409525604E-2</v>
          </cell>
          <cell r="E217">
            <v>5.12</v>
          </cell>
          <cell r="F217">
            <v>0.17</v>
          </cell>
          <cell r="G217">
            <v>1.95E-2</v>
          </cell>
          <cell r="H217">
            <v>0.01</v>
          </cell>
          <cell r="I217">
            <v>4.5000000000000005E-3</v>
          </cell>
          <cell r="J217">
            <v>7.4999999999999997E-3</v>
          </cell>
          <cell r="K217">
            <v>1.05</v>
          </cell>
          <cell r="M217">
            <v>1</v>
          </cell>
          <cell r="N217">
            <v>0</v>
          </cell>
          <cell r="R217">
            <v>0.34</v>
          </cell>
          <cell r="S217">
            <v>0.255</v>
          </cell>
        </row>
        <row r="218">
          <cell r="C218">
            <v>43313</v>
          </cell>
          <cell r="D218">
            <v>5.9525456197186501E-2</v>
          </cell>
          <cell r="E218">
            <v>5.1580000000000004</v>
          </cell>
          <cell r="F218">
            <v>0.17</v>
          </cell>
          <cell r="G218">
            <v>1.95E-2</v>
          </cell>
          <cell r="H218">
            <v>0.01</v>
          </cell>
          <cell r="I218">
            <v>4.5000000000000005E-3</v>
          </cell>
          <cell r="J218">
            <v>7.4999999999999997E-3</v>
          </cell>
          <cell r="K218">
            <v>1.05</v>
          </cell>
          <cell r="M218">
            <v>1</v>
          </cell>
          <cell r="N218">
            <v>0</v>
          </cell>
          <cell r="R218">
            <v>0.34</v>
          </cell>
          <cell r="S218">
            <v>0.255</v>
          </cell>
        </row>
        <row r="219">
          <cell r="C219">
            <v>43344</v>
          </cell>
          <cell r="D219">
            <v>5.9583668985973198E-2</v>
          </cell>
          <cell r="E219">
            <v>5.1520000000000001</v>
          </cell>
          <cell r="F219">
            <v>0.17</v>
          </cell>
          <cell r="G219">
            <v>1.95E-2</v>
          </cell>
          <cell r="H219">
            <v>0.01</v>
          </cell>
          <cell r="I219">
            <v>4.5000000000000005E-3</v>
          </cell>
          <cell r="J219">
            <v>7.4999999999999997E-3</v>
          </cell>
          <cell r="K219">
            <v>0.75</v>
          </cell>
          <cell r="M219">
            <v>0.6</v>
          </cell>
          <cell r="N219">
            <v>0</v>
          </cell>
          <cell r="R219">
            <v>0.34</v>
          </cell>
          <cell r="S219">
            <v>0.255</v>
          </cell>
        </row>
        <row r="220">
          <cell r="C220">
            <v>43374</v>
          </cell>
          <cell r="D220">
            <v>5.9640003943936204E-2</v>
          </cell>
          <cell r="E220">
            <v>5.1520000000000001</v>
          </cell>
          <cell r="F220">
            <v>0.17</v>
          </cell>
          <cell r="G220">
            <v>1.8000000000000002E-2</v>
          </cell>
          <cell r="H220">
            <v>0.01</v>
          </cell>
          <cell r="I220">
            <v>3.0000000000000001E-3</v>
          </cell>
          <cell r="J220">
            <v>7.4999999999999997E-3</v>
          </cell>
          <cell r="K220">
            <v>0.45</v>
          </cell>
          <cell r="M220">
            <v>0.3</v>
          </cell>
          <cell r="N220">
            <v>0</v>
          </cell>
          <cell r="R220">
            <v>0.17</v>
          </cell>
          <cell r="S220">
            <v>0.17</v>
          </cell>
        </row>
        <row r="221">
          <cell r="C221">
            <v>43405</v>
          </cell>
          <cell r="D221">
            <v>5.9698216734939399E-2</v>
          </cell>
          <cell r="E221">
            <v>5.3</v>
          </cell>
          <cell r="F221">
            <v>0.17</v>
          </cell>
          <cell r="G221">
            <v>1.9E-2</v>
          </cell>
          <cell r="H221">
            <v>7.4999999999999997E-3</v>
          </cell>
          <cell r="I221">
            <v>4.0000000000000001E-3</v>
          </cell>
          <cell r="J221">
            <v>2.5000000000000001E-3</v>
          </cell>
          <cell r="K221">
            <v>0.45</v>
          </cell>
          <cell r="M221">
            <v>0.23</v>
          </cell>
          <cell r="N221">
            <v>0</v>
          </cell>
          <cell r="R221">
            <v>0.17</v>
          </cell>
          <cell r="S221">
            <v>0.17</v>
          </cell>
        </row>
        <row r="222">
          <cell r="C222">
            <v>43435</v>
          </cell>
          <cell r="D222">
            <v>5.9754551695046801E-2</v>
          </cell>
          <cell r="E222">
            <v>5.452</v>
          </cell>
          <cell r="F222">
            <v>0.17</v>
          </cell>
          <cell r="G222">
            <v>1.9E-2</v>
          </cell>
          <cell r="H222">
            <v>7.4999999999999997E-3</v>
          </cell>
          <cell r="I222">
            <v>4.0000000000000001E-3</v>
          </cell>
          <cell r="J222">
            <v>2.5000000000000001E-3</v>
          </cell>
          <cell r="K222">
            <v>0.4</v>
          </cell>
          <cell r="M222">
            <v>0.26</v>
          </cell>
          <cell r="N222">
            <v>0</v>
          </cell>
          <cell r="R222">
            <v>0.17</v>
          </cell>
          <cell r="S222">
            <v>0.17</v>
          </cell>
        </row>
        <row r="223">
          <cell r="C223">
            <v>43466</v>
          </cell>
          <cell r="D223">
            <v>5.9812764488265599E-2</v>
          </cell>
          <cell r="E223">
            <v>5.5295000000000005</v>
          </cell>
          <cell r="F223">
            <v>0.17</v>
          </cell>
          <cell r="G223">
            <v>1.9E-2</v>
          </cell>
          <cell r="H223">
            <v>7.4999999999999997E-3</v>
          </cell>
          <cell r="I223">
            <v>4.0000000000000001E-3</v>
          </cell>
          <cell r="J223">
            <v>2.5000000000000001E-3</v>
          </cell>
          <cell r="K223">
            <v>0.35</v>
          </cell>
          <cell r="M223">
            <v>8.5000000000000006E-2</v>
          </cell>
          <cell r="N223">
            <v>0</v>
          </cell>
          <cell r="R223">
            <v>0.17</v>
          </cell>
          <cell r="S223">
            <v>0.17</v>
          </cell>
        </row>
        <row r="224">
          <cell r="C224">
            <v>43497</v>
          </cell>
          <cell r="D224">
            <v>5.9870977282610899E-2</v>
          </cell>
          <cell r="E224">
            <v>5.4424999999999999</v>
          </cell>
          <cell r="F224">
            <v>0.17</v>
          </cell>
          <cell r="G224">
            <v>1.9E-2</v>
          </cell>
          <cell r="H224">
            <v>7.4999999999999997E-3</v>
          </cell>
          <cell r="I224">
            <v>4.0000000000000001E-3</v>
          </cell>
          <cell r="J224">
            <v>2.5000000000000001E-3</v>
          </cell>
          <cell r="K224">
            <v>0.35</v>
          </cell>
          <cell r="M224">
            <v>7.4999999999999997E-2</v>
          </cell>
          <cell r="N224">
            <v>0</v>
          </cell>
          <cell r="R224">
            <v>0.17</v>
          </cell>
          <cell r="S224">
            <v>0.17</v>
          </cell>
        </row>
        <row r="225">
          <cell r="C225">
            <v>43525</v>
          </cell>
          <cell r="D225">
            <v>5.9923556581696701E-2</v>
          </cell>
          <cell r="E225">
            <v>5.3035000000000005</v>
          </cell>
          <cell r="F225">
            <v>0.17</v>
          </cell>
          <cell r="G225">
            <v>2.3E-2</v>
          </cell>
          <cell r="H225">
            <v>7.4999999999999997E-3</v>
          </cell>
          <cell r="I225">
            <v>8.0000000000000002E-3</v>
          </cell>
          <cell r="J225">
            <v>2.5000000000000001E-3</v>
          </cell>
          <cell r="K225">
            <v>0.4</v>
          </cell>
          <cell r="M225">
            <v>0.115</v>
          </cell>
          <cell r="N225">
            <v>0</v>
          </cell>
          <cell r="R225">
            <v>0.17</v>
          </cell>
          <cell r="S225">
            <v>0.17</v>
          </cell>
        </row>
        <row r="226">
          <cell r="C226">
            <v>43556</v>
          </cell>
          <cell r="D226">
            <v>5.99817693781848E-2</v>
          </cell>
          <cell r="E226">
            <v>5.1495000000000006</v>
          </cell>
          <cell r="F226">
            <v>0.17</v>
          </cell>
          <cell r="G226">
            <v>2.3E-2</v>
          </cell>
          <cell r="H226">
            <v>0.01</v>
          </cell>
          <cell r="I226">
            <v>8.0000000000000002E-3</v>
          </cell>
          <cell r="J226">
            <v>7.4999999999999997E-3</v>
          </cell>
          <cell r="K226">
            <v>0.6</v>
          </cell>
          <cell r="M226">
            <v>0.55000000000000004</v>
          </cell>
          <cell r="N226">
            <v>0</v>
          </cell>
          <cell r="R226">
            <v>0.17</v>
          </cell>
          <cell r="S226">
            <v>0.17</v>
          </cell>
        </row>
        <row r="227">
          <cell r="C227">
            <v>43586</v>
          </cell>
          <cell r="D227">
            <v>6.0038104343599998E-2</v>
          </cell>
          <cell r="E227">
            <v>5.1545000000000005</v>
          </cell>
          <cell r="F227">
            <v>0.17</v>
          </cell>
          <cell r="G227">
            <v>2.5500000000000002E-2</v>
          </cell>
          <cell r="H227">
            <v>0.01</v>
          </cell>
          <cell r="I227">
            <v>1.0500000000000001E-2</v>
          </cell>
          <cell r="J227">
            <v>7.4999999999999997E-3</v>
          </cell>
          <cell r="K227">
            <v>0.75</v>
          </cell>
          <cell r="M227">
            <v>0.7</v>
          </cell>
          <cell r="N227">
            <v>0</v>
          </cell>
          <cell r="R227">
            <v>0.34</v>
          </cell>
          <cell r="S227">
            <v>0.255</v>
          </cell>
        </row>
        <row r="228">
          <cell r="C228">
            <v>43617</v>
          </cell>
          <cell r="D228">
            <v>6.00963171423037E-2</v>
          </cell>
          <cell r="E228">
            <v>5.1924999999999999</v>
          </cell>
          <cell r="F228">
            <v>0.17</v>
          </cell>
          <cell r="G228">
            <v>2.3E-2</v>
          </cell>
          <cell r="H228">
            <v>0.01</v>
          </cell>
          <cell r="I228">
            <v>8.0000000000000002E-3</v>
          </cell>
          <cell r="J228">
            <v>7.4999999999999997E-3</v>
          </cell>
          <cell r="K228">
            <v>0.85</v>
          </cell>
          <cell r="M228">
            <v>0.8</v>
          </cell>
          <cell r="N228">
            <v>0</v>
          </cell>
          <cell r="R228">
            <v>0.34</v>
          </cell>
          <cell r="S228">
            <v>0.255</v>
          </cell>
        </row>
        <row r="229">
          <cell r="C229">
            <v>43647</v>
          </cell>
          <cell r="D229">
            <v>6.0152652109862502E-2</v>
          </cell>
          <cell r="E229">
            <v>5.2374999999999998</v>
          </cell>
          <cell r="F229">
            <v>0.17</v>
          </cell>
          <cell r="G229">
            <v>2.0500000000000001E-2</v>
          </cell>
          <cell r="H229">
            <v>0.01</v>
          </cell>
          <cell r="I229">
            <v>5.5000000000000005E-3</v>
          </cell>
          <cell r="J229">
            <v>7.4999999999999997E-3</v>
          </cell>
          <cell r="K229">
            <v>1.05</v>
          </cell>
          <cell r="M229">
            <v>1</v>
          </cell>
          <cell r="N229">
            <v>0</v>
          </cell>
          <cell r="R229">
            <v>0.34</v>
          </cell>
          <cell r="S229">
            <v>0.255</v>
          </cell>
        </row>
        <row r="230">
          <cell r="C230">
            <v>43678</v>
          </cell>
          <cell r="D230">
            <v>6.02108649107818E-2</v>
          </cell>
          <cell r="E230">
            <v>5.2755000000000001</v>
          </cell>
          <cell r="F230">
            <v>0.17</v>
          </cell>
          <cell r="G230">
            <v>2.0500000000000001E-2</v>
          </cell>
          <cell r="H230">
            <v>0.01</v>
          </cell>
          <cell r="I230">
            <v>5.5000000000000005E-3</v>
          </cell>
          <cell r="J230">
            <v>7.4999999999999997E-3</v>
          </cell>
          <cell r="K230">
            <v>1.05</v>
          </cell>
          <cell r="M230">
            <v>1</v>
          </cell>
          <cell r="N230">
            <v>0</v>
          </cell>
          <cell r="R230">
            <v>0.34</v>
          </cell>
          <cell r="S230">
            <v>0.255</v>
          </cell>
        </row>
        <row r="231">
          <cell r="C231">
            <v>43709</v>
          </cell>
          <cell r="D231">
            <v>6.0269077712826302E-2</v>
          </cell>
          <cell r="E231">
            <v>5.2694999999999999</v>
          </cell>
          <cell r="F231">
            <v>0.17</v>
          </cell>
          <cell r="G231">
            <v>2.0500000000000001E-2</v>
          </cell>
          <cell r="H231">
            <v>0.01</v>
          </cell>
          <cell r="I231">
            <v>5.5000000000000005E-3</v>
          </cell>
          <cell r="J231">
            <v>7.4999999999999997E-3</v>
          </cell>
          <cell r="K231">
            <v>0.75</v>
          </cell>
          <cell r="M231">
            <v>0.6</v>
          </cell>
          <cell r="N231">
            <v>0</v>
          </cell>
          <cell r="R231">
            <v>0.34</v>
          </cell>
          <cell r="S231">
            <v>0.255</v>
          </cell>
        </row>
        <row r="232">
          <cell r="C232">
            <v>43739</v>
          </cell>
          <cell r="D232">
            <v>6.0325412683619004E-2</v>
          </cell>
          <cell r="E232">
            <v>5.2694999999999999</v>
          </cell>
          <cell r="F232">
            <v>0.17</v>
          </cell>
          <cell r="G232">
            <v>1.9E-2</v>
          </cell>
          <cell r="H232">
            <v>0.01</v>
          </cell>
          <cell r="I232">
            <v>4.0000000000000001E-3</v>
          </cell>
          <cell r="J232">
            <v>7.4999999999999997E-3</v>
          </cell>
          <cell r="K232">
            <v>0.45</v>
          </cell>
          <cell r="M232">
            <v>0.3</v>
          </cell>
          <cell r="N232">
            <v>0</v>
          </cell>
          <cell r="R232">
            <v>0.17</v>
          </cell>
          <cell r="S232">
            <v>0.17</v>
          </cell>
        </row>
        <row r="233">
          <cell r="C233">
            <v>43770</v>
          </cell>
          <cell r="D233">
            <v>6.0383625487879102E-2</v>
          </cell>
          <cell r="E233">
            <v>5.4175000000000004</v>
          </cell>
          <cell r="F233">
            <v>0.17</v>
          </cell>
          <cell r="G233">
            <v>0.02</v>
          </cell>
          <cell r="H233">
            <v>7.4999999999999997E-3</v>
          </cell>
          <cell r="I233">
            <v>5.0000000000000001E-3</v>
          </cell>
          <cell r="J233">
            <v>2.5000000000000001E-3</v>
          </cell>
          <cell r="K233">
            <v>0.45</v>
          </cell>
          <cell r="M233">
            <v>0.23</v>
          </cell>
          <cell r="N233">
            <v>0</v>
          </cell>
          <cell r="R233">
            <v>0.17</v>
          </cell>
          <cell r="S233">
            <v>0.17</v>
          </cell>
        </row>
        <row r="234">
          <cell r="C234">
            <v>43800</v>
          </cell>
          <cell r="D234">
            <v>6.04399604608159E-2</v>
          </cell>
          <cell r="E234">
            <v>5.5695000000000006</v>
          </cell>
          <cell r="F234">
            <v>0.17</v>
          </cell>
          <cell r="G234">
            <v>0.02</v>
          </cell>
          <cell r="H234">
            <v>7.4999999999999997E-3</v>
          </cell>
          <cell r="I234">
            <v>5.0000000000000001E-3</v>
          </cell>
          <cell r="J234">
            <v>2.5000000000000001E-3</v>
          </cell>
          <cell r="K234">
            <v>0.4</v>
          </cell>
          <cell r="M234">
            <v>0.26</v>
          </cell>
          <cell r="N234">
            <v>0</v>
          </cell>
          <cell r="R234">
            <v>0.17</v>
          </cell>
          <cell r="S234">
            <v>0.17</v>
          </cell>
        </row>
        <row r="235">
          <cell r="C235">
            <v>43831</v>
          </cell>
          <cell r="D235">
            <v>6.0498173267291101E-2</v>
          </cell>
          <cell r="E235">
            <v>5.6470000000000002</v>
          </cell>
          <cell r="F235">
            <v>0.17</v>
          </cell>
          <cell r="G235">
            <v>0.02</v>
          </cell>
          <cell r="H235">
            <v>7.4999999999999997E-3</v>
          </cell>
          <cell r="I235">
            <v>5.0000000000000001E-3</v>
          </cell>
          <cell r="J235">
            <v>2.5000000000000001E-3</v>
          </cell>
          <cell r="K235">
            <v>0.35</v>
          </cell>
          <cell r="M235">
            <v>8.5000000000000006E-2</v>
          </cell>
          <cell r="N235">
            <v>0</v>
          </cell>
          <cell r="R235">
            <v>0.17</v>
          </cell>
          <cell r="S235">
            <v>0.17</v>
          </cell>
        </row>
        <row r="236">
          <cell r="C236">
            <v>43862</v>
          </cell>
          <cell r="D236">
            <v>6.0556386074892103E-2</v>
          </cell>
          <cell r="E236">
            <v>5.56</v>
          </cell>
          <cell r="F236">
            <v>0.17</v>
          </cell>
          <cell r="G236">
            <v>0.02</v>
          </cell>
          <cell r="H236">
            <v>7.4999999999999997E-3</v>
          </cell>
          <cell r="I236">
            <v>5.0000000000000001E-3</v>
          </cell>
          <cell r="J236">
            <v>2.5000000000000001E-3</v>
          </cell>
          <cell r="K236">
            <v>0.35</v>
          </cell>
          <cell r="M236">
            <v>7.4999999999999997E-2</v>
          </cell>
          <cell r="N236">
            <v>0</v>
          </cell>
          <cell r="R236">
            <v>0.17</v>
          </cell>
          <cell r="S236">
            <v>0.17</v>
          </cell>
        </row>
        <row r="237">
          <cell r="C237">
            <v>43891</v>
          </cell>
          <cell r="D237">
            <v>6.0610843218505704E-2</v>
          </cell>
          <cell r="E237">
            <v>5.4210000000000003</v>
          </cell>
          <cell r="F237">
            <v>0.17</v>
          </cell>
          <cell r="G237">
            <v>2.4E-2</v>
          </cell>
          <cell r="H237">
            <v>7.4999999999999997E-3</v>
          </cell>
          <cell r="I237">
            <v>9.0000000000000011E-3</v>
          </cell>
          <cell r="J237">
            <v>2.5000000000000001E-3</v>
          </cell>
          <cell r="K237">
            <v>0.4</v>
          </cell>
          <cell r="M237">
            <v>0.115</v>
          </cell>
          <cell r="N237">
            <v>0</v>
          </cell>
          <cell r="R237">
            <v>0.17</v>
          </cell>
          <cell r="S237">
            <v>0.17</v>
          </cell>
        </row>
        <row r="238">
          <cell r="C238">
            <v>43922</v>
          </cell>
          <cell r="D238">
            <v>6.0669056028284998E-2</v>
          </cell>
          <cell r="E238">
            <v>5.2670000000000003</v>
          </cell>
          <cell r="F238">
            <v>0.17</v>
          </cell>
          <cell r="G238">
            <v>2.4E-2</v>
          </cell>
          <cell r="H238">
            <v>0.01</v>
          </cell>
          <cell r="I238">
            <v>9.0000000000000011E-3</v>
          </cell>
          <cell r="J238">
            <v>7.4999999999999997E-3</v>
          </cell>
          <cell r="K238">
            <v>0.6</v>
          </cell>
          <cell r="M238">
            <v>0.55000000000000004</v>
          </cell>
          <cell r="N238">
            <v>0</v>
          </cell>
          <cell r="R238">
            <v>0.17</v>
          </cell>
          <cell r="S238">
            <v>0.17</v>
          </cell>
        </row>
        <row r="239">
          <cell r="C239">
            <v>43952</v>
          </cell>
          <cell r="D239">
            <v>6.0725391006562802E-2</v>
          </cell>
          <cell r="E239">
            <v>5.2720000000000002</v>
          </cell>
          <cell r="F239">
            <v>0.17</v>
          </cell>
          <cell r="G239">
            <v>2.6500000000000003E-2</v>
          </cell>
          <cell r="H239">
            <v>0.01</v>
          </cell>
          <cell r="I239">
            <v>1.15E-2</v>
          </cell>
          <cell r="J239">
            <v>7.4999999999999997E-3</v>
          </cell>
          <cell r="K239">
            <v>0.75</v>
          </cell>
          <cell r="M239">
            <v>0.7</v>
          </cell>
          <cell r="N239">
            <v>0</v>
          </cell>
          <cell r="R239">
            <v>0.34</v>
          </cell>
          <cell r="S239">
            <v>0.255</v>
          </cell>
        </row>
        <row r="240">
          <cell r="C240">
            <v>43983</v>
          </cell>
          <cell r="D240">
            <v>6.07836038185572E-2</v>
          </cell>
          <cell r="E240">
            <v>5.31</v>
          </cell>
          <cell r="F240">
            <v>0.17</v>
          </cell>
          <cell r="G240">
            <v>2.4E-2</v>
          </cell>
          <cell r="H240">
            <v>0.01</v>
          </cell>
          <cell r="I240">
            <v>9.0000000000000011E-3</v>
          </cell>
          <cell r="J240">
            <v>7.4999999999999997E-3</v>
          </cell>
          <cell r="K240">
            <v>0.85</v>
          </cell>
          <cell r="M240">
            <v>0.8</v>
          </cell>
          <cell r="N240">
            <v>0</v>
          </cell>
          <cell r="R240">
            <v>0.34</v>
          </cell>
          <cell r="S240">
            <v>0.255</v>
          </cell>
        </row>
        <row r="241">
          <cell r="C241">
            <v>44013</v>
          </cell>
          <cell r="D241">
            <v>6.0839938798978602E-2</v>
          </cell>
          <cell r="E241">
            <v>5.3550000000000004</v>
          </cell>
          <cell r="F241">
            <v>0.17</v>
          </cell>
          <cell r="G241">
            <v>2.1500000000000002E-2</v>
          </cell>
          <cell r="H241">
            <v>0.01</v>
          </cell>
          <cell r="I241">
            <v>6.5000000000000006E-3</v>
          </cell>
          <cell r="J241">
            <v>7.4999999999999997E-3</v>
          </cell>
          <cell r="K241">
            <v>1.05</v>
          </cell>
          <cell r="M241">
            <v>1</v>
          </cell>
          <cell r="N241">
            <v>0</v>
          </cell>
          <cell r="R241">
            <v>0.34</v>
          </cell>
          <cell r="S241">
            <v>0.255</v>
          </cell>
        </row>
        <row r="242">
          <cell r="C242">
            <v>44044</v>
          </cell>
          <cell r="D242">
            <v>6.08981516131877E-2</v>
          </cell>
          <cell r="E242">
            <v>5.3930000000000007</v>
          </cell>
          <cell r="F242">
            <v>0.17</v>
          </cell>
          <cell r="G242">
            <v>2.1500000000000002E-2</v>
          </cell>
          <cell r="H242">
            <v>0.01</v>
          </cell>
          <cell r="I242">
            <v>6.5000000000000006E-3</v>
          </cell>
          <cell r="J242">
            <v>7.4999999999999997E-3</v>
          </cell>
          <cell r="K242">
            <v>1.05</v>
          </cell>
          <cell r="M242">
            <v>1</v>
          </cell>
          <cell r="N242">
            <v>0</v>
          </cell>
          <cell r="R242">
            <v>0.34</v>
          </cell>
          <cell r="S242">
            <v>0.255</v>
          </cell>
        </row>
        <row r="243">
          <cell r="C243">
            <v>44075</v>
          </cell>
          <cell r="D243">
            <v>6.0956364428521599E-2</v>
          </cell>
          <cell r="E243">
            <v>5.3870000000000005</v>
          </cell>
          <cell r="F243">
            <v>0.17</v>
          </cell>
          <cell r="G243">
            <v>2.1500000000000002E-2</v>
          </cell>
          <cell r="H243">
            <v>0.01</v>
          </cell>
          <cell r="I243">
            <v>6.5000000000000006E-3</v>
          </cell>
          <cell r="J243">
            <v>7.4999999999999997E-3</v>
          </cell>
          <cell r="K243">
            <v>0.75</v>
          </cell>
          <cell r="M243">
            <v>0.6</v>
          </cell>
          <cell r="N243">
            <v>0</v>
          </cell>
          <cell r="R243">
            <v>0.34</v>
          </cell>
          <cell r="S243">
            <v>0.255</v>
          </cell>
        </row>
        <row r="244">
          <cell r="C244">
            <v>44105</v>
          </cell>
          <cell r="D244">
            <v>6.1012699412175103E-2</v>
          </cell>
          <cell r="E244">
            <v>5.3870000000000005</v>
          </cell>
          <cell r="F244">
            <v>0.17</v>
          </cell>
          <cell r="G244">
            <v>0.02</v>
          </cell>
          <cell r="H244">
            <v>0.01</v>
          </cell>
          <cell r="I244">
            <v>5.0000000000000001E-3</v>
          </cell>
          <cell r="J244">
            <v>7.4999999999999997E-3</v>
          </cell>
          <cell r="K244">
            <v>0.45</v>
          </cell>
          <cell r="M244">
            <v>0.3</v>
          </cell>
          <cell r="N244">
            <v>0</v>
          </cell>
          <cell r="R244">
            <v>0.17</v>
          </cell>
          <cell r="S244">
            <v>0.17</v>
          </cell>
        </row>
        <row r="245">
          <cell r="C245">
            <v>44136</v>
          </cell>
          <cell r="D245">
            <v>6.1070912229724203E-2</v>
          </cell>
          <cell r="E245">
            <v>5.5350000000000001</v>
          </cell>
          <cell r="F245">
            <v>0.17</v>
          </cell>
          <cell r="G245">
            <v>2.1000000000000001E-2</v>
          </cell>
          <cell r="H245">
            <v>7.4999999999999997E-3</v>
          </cell>
          <cell r="I245">
            <v>6.0000000000000001E-3</v>
          </cell>
          <cell r="J245">
            <v>2.5000000000000001E-3</v>
          </cell>
          <cell r="K245">
            <v>0.45</v>
          </cell>
          <cell r="M245">
            <v>0.23</v>
          </cell>
          <cell r="N245">
            <v>0</v>
          </cell>
          <cell r="R245">
            <v>0.17</v>
          </cell>
          <cell r="S245">
            <v>0.17</v>
          </cell>
        </row>
        <row r="246">
          <cell r="C246">
            <v>44166</v>
          </cell>
          <cell r="D246">
            <v>6.1127247215520902E-2</v>
          </cell>
          <cell r="E246">
            <v>5.6870000000000003</v>
          </cell>
          <cell r="F246">
            <v>0.17</v>
          </cell>
          <cell r="G246">
            <v>2.1000000000000001E-2</v>
          </cell>
          <cell r="H246">
            <v>7.4999999999999997E-3</v>
          </cell>
          <cell r="I246">
            <v>6.0000000000000001E-3</v>
          </cell>
          <cell r="J246">
            <v>2.5000000000000001E-3</v>
          </cell>
          <cell r="K246">
            <v>0.4</v>
          </cell>
          <cell r="M246">
            <v>0.26</v>
          </cell>
          <cell r="N246">
            <v>0</v>
          </cell>
          <cell r="R246">
            <v>0.17</v>
          </cell>
          <cell r="S246">
            <v>0.17</v>
          </cell>
        </row>
        <row r="247">
          <cell r="C247">
            <v>44197</v>
          </cell>
          <cell r="D247">
            <v>6.1185460035284099E-2</v>
          </cell>
          <cell r="E247">
            <v>5.7645</v>
          </cell>
          <cell r="F247">
            <v>0.17</v>
          </cell>
          <cell r="G247">
            <v>2.1000000000000001E-2</v>
          </cell>
          <cell r="H247">
            <v>7.4999999999999997E-3</v>
          </cell>
          <cell r="I247">
            <v>6.0000000000000001E-3</v>
          </cell>
          <cell r="J247">
            <v>2.5000000000000001E-3</v>
          </cell>
          <cell r="K247">
            <v>0.35</v>
          </cell>
          <cell r="M247">
            <v>8.5000000000000006E-2</v>
          </cell>
          <cell r="N247">
            <v>0</v>
          </cell>
          <cell r="R247">
            <v>0.17</v>
          </cell>
          <cell r="S247">
            <v>0.17</v>
          </cell>
        </row>
        <row r="248">
          <cell r="C248">
            <v>44228</v>
          </cell>
          <cell r="D248">
            <v>6.1243672856173201E-2</v>
          </cell>
          <cell r="E248">
            <v>5.6775000000000002</v>
          </cell>
          <cell r="F248">
            <v>0.17</v>
          </cell>
          <cell r="G248">
            <v>2.1000000000000001E-2</v>
          </cell>
          <cell r="H248">
            <v>7.4999999999999997E-3</v>
          </cell>
          <cell r="I248">
            <v>6.0000000000000001E-3</v>
          </cell>
          <cell r="J248">
            <v>2.5000000000000001E-3</v>
          </cell>
          <cell r="K248">
            <v>0.35</v>
          </cell>
          <cell r="M248">
            <v>7.4999999999999997E-2</v>
          </cell>
          <cell r="N248">
            <v>0</v>
          </cell>
          <cell r="R248">
            <v>0.17</v>
          </cell>
          <cell r="S248">
            <v>0.17</v>
          </cell>
        </row>
        <row r="249">
          <cell r="C249">
            <v>44256</v>
          </cell>
          <cell r="D249">
            <v>6.1296252179233499E-2</v>
          </cell>
          <cell r="E249">
            <v>5.5385</v>
          </cell>
          <cell r="F249">
            <v>0.17</v>
          </cell>
          <cell r="G249">
            <v>2.5000000000000001E-2</v>
          </cell>
          <cell r="H249">
            <v>7.4999999999999997E-3</v>
          </cell>
          <cell r="I249">
            <v>0.01</v>
          </cell>
          <cell r="J249">
            <v>2.5000000000000001E-3</v>
          </cell>
          <cell r="K249">
            <v>0.4</v>
          </cell>
          <cell r="M249">
            <v>0.115</v>
          </cell>
          <cell r="N249">
            <v>0</v>
          </cell>
          <cell r="R249">
            <v>0.17</v>
          </cell>
          <cell r="S249">
            <v>0.17</v>
          </cell>
        </row>
        <row r="250">
          <cell r="C250">
            <v>44287</v>
          </cell>
          <cell r="D250">
            <v>6.1354465002263901E-2</v>
          </cell>
          <cell r="E250">
            <v>5.3845000000000001</v>
          </cell>
          <cell r="F250">
            <v>0.17</v>
          </cell>
          <cell r="G250">
            <v>2.5000000000000001E-2</v>
          </cell>
          <cell r="H250">
            <v>0.01</v>
          </cell>
          <cell r="I250">
            <v>0.01</v>
          </cell>
          <cell r="J250">
            <v>7.4999999999999997E-3</v>
          </cell>
          <cell r="K250">
            <v>0.6</v>
          </cell>
          <cell r="M250">
            <v>0.55000000000000004</v>
          </cell>
          <cell r="N250">
            <v>0</v>
          </cell>
          <cell r="R250">
            <v>0.17</v>
          </cell>
          <cell r="S250">
            <v>0.17</v>
          </cell>
        </row>
        <row r="251">
          <cell r="C251">
            <v>44317</v>
          </cell>
          <cell r="D251">
            <v>6.1410799993364802E-2</v>
          </cell>
          <cell r="E251">
            <v>5.3895</v>
          </cell>
          <cell r="F251">
            <v>0.17</v>
          </cell>
          <cell r="G251">
            <v>2.75E-2</v>
          </cell>
          <cell r="H251">
            <v>0.01</v>
          </cell>
          <cell r="I251">
            <v>1.2500000000000001E-2</v>
          </cell>
          <cell r="J251">
            <v>7.4999999999999997E-3</v>
          </cell>
          <cell r="K251">
            <v>0.75</v>
          </cell>
          <cell r="M251">
            <v>0.7</v>
          </cell>
          <cell r="N251">
            <v>0</v>
          </cell>
          <cell r="R251">
            <v>0.34</v>
          </cell>
          <cell r="S251">
            <v>0.255</v>
          </cell>
        </row>
        <row r="252">
          <cell r="C252">
            <v>44348</v>
          </cell>
          <cell r="D252">
            <v>6.1469012818609503E-2</v>
          </cell>
          <cell r="E252">
            <v>5.4275000000000002</v>
          </cell>
          <cell r="F252">
            <v>0.17</v>
          </cell>
          <cell r="G252">
            <v>2.5000000000000001E-2</v>
          </cell>
          <cell r="H252">
            <v>0.01</v>
          </cell>
          <cell r="I252">
            <v>0.01</v>
          </cell>
          <cell r="J252">
            <v>7.4999999999999997E-3</v>
          </cell>
          <cell r="K252">
            <v>0.85</v>
          </cell>
          <cell r="M252">
            <v>0.8</v>
          </cell>
          <cell r="N252">
            <v>0</v>
          </cell>
          <cell r="R252">
            <v>0.34</v>
          </cell>
          <cell r="S252">
            <v>0.255</v>
          </cell>
        </row>
        <row r="253">
          <cell r="C253">
            <v>44378</v>
          </cell>
          <cell r="D253">
            <v>6.1525347811852704E-2</v>
          </cell>
          <cell r="E253">
            <v>5.4725000000000001</v>
          </cell>
          <cell r="F253">
            <v>0.17</v>
          </cell>
          <cell r="G253">
            <v>2.2499999999999999E-2</v>
          </cell>
          <cell r="H253">
            <v>0.01</v>
          </cell>
          <cell r="I253">
            <v>7.4999999999999997E-3</v>
          </cell>
          <cell r="J253">
            <v>7.4999999999999997E-3</v>
          </cell>
          <cell r="K253">
            <v>1.05</v>
          </cell>
          <cell r="M253">
            <v>1</v>
          </cell>
          <cell r="N253">
            <v>0</v>
          </cell>
          <cell r="R253">
            <v>0.34</v>
          </cell>
          <cell r="S253">
            <v>0.255</v>
          </cell>
        </row>
        <row r="254">
          <cell r="C254">
            <v>44409</v>
          </cell>
          <cell r="D254">
            <v>6.15835606393111E-2</v>
          </cell>
          <cell r="E254">
            <v>5.5105000000000004</v>
          </cell>
          <cell r="F254">
            <v>0.17</v>
          </cell>
          <cell r="G254">
            <v>2.2499999999999999E-2</v>
          </cell>
          <cell r="H254">
            <v>0.01</v>
          </cell>
          <cell r="I254">
            <v>7.4999999999999997E-3</v>
          </cell>
          <cell r="J254">
            <v>7.4999999999999997E-3</v>
          </cell>
          <cell r="K254">
            <v>1.05</v>
          </cell>
          <cell r="M254">
            <v>1</v>
          </cell>
          <cell r="N254">
            <v>0</v>
          </cell>
          <cell r="R254">
            <v>0.34</v>
          </cell>
          <cell r="S254">
            <v>0.255</v>
          </cell>
        </row>
        <row r="255">
          <cell r="C255">
            <v>44440</v>
          </cell>
          <cell r="D255">
            <v>6.16417734678949E-2</v>
          </cell>
          <cell r="E255">
            <v>5.5045000000000002</v>
          </cell>
          <cell r="F255">
            <v>0.17</v>
          </cell>
          <cell r="G255">
            <v>2.2499999999999999E-2</v>
          </cell>
          <cell r="H255">
            <v>0.01</v>
          </cell>
          <cell r="I255">
            <v>7.4999999999999997E-3</v>
          </cell>
          <cell r="J255">
            <v>7.4999999999999997E-3</v>
          </cell>
          <cell r="K255">
            <v>0.75</v>
          </cell>
          <cell r="M255">
            <v>0.6</v>
          </cell>
          <cell r="N255">
            <v>0</v>
          </cell>
          <cell r="R255">
            <v>0.34</v>
          </cell>
          <cell r="S255">
            <v>0.255</v>
          </cell>
        </row>
        <row r="256">
          <cell r="C256">
            <v>44470</v>
          </cell>
          <cell r="D256">
            <v>6.1698108464369301E-2</v>
          </cell>
          <cell r="E256">
            <v>5.5045000000000002</v>
          </cell>
          <cell r="F256">
            <v>0.17</v>
          </cell>
          <cell r="G256">
            <v>2.1000000000000001E-2</v>
          </cell>
          <cell r="H256">
            <v>0.01</v>
          </cell>
          <cell r="I256">
            <v>6.0000000000000001E-3</v>
          </cell>
          <cell r="J256">
            <v>7.4999999999999997E-3</v>
          </cell>
          <cell r="K256">
            <v>0.45</v>
          </cell>
          <cell r="M256">
            <v>0.3</v>
          </cell>
          <cell r="N256">
            <v>0</v>
          </cell>
          <cell r="R256">
            <v>0.17</v>
          </cell>
          <cell r="S256">
            <v>0.17</v>
          </cell>
        </row>
        <row r="257">
          <cell r="C257">
            <v>44501</v>
          </cell>
          <cell r="D257">
            <v>6.1743933775458198E-2</v>
          </cell>
          <cell r="E257">
            <v>5.6524999999999999</v>
          </cell>
          <cell r="F257">
            <v>0.17</v>
          </cell>
          <cell r="G257">
            <v>2.2000000000000002E-2</v>
          </cell>
          <cell r="H257">
            <v>7.4999999999999997E-3</v>
          </cell>
          <cell r="I257">
            <v>7.0000000000000001E-3</v>
          </cell>
          <cell r="J257">
            <v>2.5000000000000001E-3</v>
          </cell>
          <cell r="K257">
            <v>0.45</v>
          </cell>
          <cell r="M257">
            <v>0.23</v>
          </cell>
          <cell r="N257">
            <v>0</v>
          </cell>
          <cell r="R257">
            <v>0.17</v>
          </cell>
          <cell r="S257">
            <v>0.17</v>
          </cell>
        </row>
        <row r="258">
          <cell r="C258">
            <v>44531</v>
          </cell>
          <cell r="D258">
            <v>6.1747179403248705E-2</v>
          </cell>
          <cell r="E258">
            <v>5.8045</v>
          </cell>
          <cell r="F258">
            <v>0.17</v>
          </cell>
          <cell r="G258">
            <v>2.2000000000000002E-2</v>
          </cell>
          <cell r="H258">
            <v>7.4999999999999997E-3</v>
          </cell>
          <cell r="I258">
            <v>7.0000000000000001E-3</v>
          </cell>
          <cell r="J258">
            <v>2.5000000000000001E-3</v>
          </cell>
          <cell r="K258">
            <v>0.4</v>
          </cell>
          <cell r="M258">
            <v>0.26</v>
          </cell>
          <cell r="N258">
            <v>0</v>
          </cell>
          <cell r="R258">
            <v>0.17</v>
          </cell>
          <cell r="S258">
            <v>0.17</v>
          </cell>
        </row>
        <row r="259">
          <cell r="C259">
            <v>44562</v>
          </cell>
          <cell r="D259">
            <v>6.1750533218635405E-2</v>
          </cell>
          <cell r="E259">
            <v>5.8820000000000006</v>
          </cell>
          <cell r="F259">
            <v>0.17</v>
          </cell>
          <cell r="G259">
            <v>2.2000000000000002E-2</v>
          </cell>
          <cell r="H259">
            <v>7.4999999999999997E-3</v>
          </cell>
          <cell r="I259">
            <v>7.0000000000000001E-3</v>
          </cell>
          <cell r="J259">
            <v>2.5000000000000001E-3</v>
          </cell>
          <cell r="K259">
            <v>0.35</v>
          </cell>
          <cell r="M259">
            <v>8.5000000000000006E-2</v>
          </cell>
          <cell r="N259">
            <v>0</v>
          </cell>
          <cell r="R259">
            <v>0.17</v>
          </cell>
          <cell r="S259">
            <v>0.17</v>
          </cell>
        </row>
        <row r="260">
          <cell r="C260">
            <v>44593</v>
          </cell>
          <cell r="D260">
            <v>6.1753887034025699E-2</v>
          </cell>
          <cell r="E260">
            <v>5.7949999999999999</v>
          </cell>
          <cell r="F260">
            <v>0.17</v>
          </cell>
          <cell r="G260">
            <v>2.2000000000000002E-2</v>
          </cell>
          <cell r="H260">
            <v>7.4999999999999997E-3</v>
          </cell>
          <cell r="I260">
            <v>7.0000000000000001E-3</v>
          </cell>
          <cell r="J260">
            <v>2.5000000000000001E-3</v>
          </cell>
          <cell r="K260">
            <v>0.35</v>
          </cell>
          <cell r="M260">
            <v>7.4999999999999997E-2</v>
          </cell>
          <cell r="N260">
            <v>0</v>
          </cell>
          <cell r="R260">
            <v>0.17</v>
          </cell>
          <cell r="S260">
            <v>0.17</v>
          </cell>
        </row>
        <row r="261">
          <cell r="C261">
            <v>44621</v>
          </cell>
          <cell r="D261">
            <v>6.1756916286639804E-2</v>
          </cell>
          <cell r="E261">
            <v>5.6560000000000006</v>
          </cell>
          <cell r="F261">
            <v>0.17</v>
          </cell>
          <cell r="G261">
            <v>2.6000000000000002E-2</v>
          </cell>
          <cell r="H261">
            <v>7.4999999999999997E-3</v>
          </cell>
          <cell r="I261">
            <v>1.1000000000000001E-2</v>
          </cell>
          <cell r="J261">
            <v>2.5000000000000001E-3</v>
          </cell>
          <cell r="K261">
            <v>0.4</v>
          </cell>
          <cell r="M261">
            <v>0.115</v>
          </cell>
          <cell r="N261">
            <v>0</v>
          </cell>
          <cell r="R261">
            <v>0.17</v>
          </cell>
          <cell r="S261">
            <v>0.17</v>
          </cell>
        </row>
        <row r="262">
          <cell r="C262">
            <v>44652</v>
          </cell>
          <cell r="D262">
            <v>6.1760270102037204E-2</v>
          </cell>
          <cell r="E262">
            <v>5.5020000000000007</v>
          </cell>
          <cell r="F262">
            <v>0.17</v>
          </cell>
          <cell r="G262">
            <v>2.6000000000000002E-2</v>
          </cell>
          <cell r="H262">
            <v>0.01</v>
          </cell>
          <cell r="I262">
            <v>1.1000000000000001E-2</v>
          </cell>
          <cell r="J262">
            <v>7.4999999999999997E-3</v>
          </cell>
          <cell r="K262">
            <v>0.6</v>
          </cell>
          <cell r="M262">
            <v>0.55000000000000004</v>
          </cell>
          <cell r="N262">
            <v>0</v>
          </cell>
          <cell r="R262">
            <v>0.17</v>
          </cell>
          <cell r="S262">
            <v>0.17</v>
          </cell>
        </row>
        <row r="263">
          <cell r="C263">
            <v>44682</v>
          </cell>
          <cell r="D263">
            <v>6.1763515729845099E-2</v>
          </cell>
          <cell r="E263">
            <v>5.5070000000000006</v>
          </cell>
          <cell r="F263">
            <v>0.17</v>
          </cell>
          <cell r="G263">
            <v>2.8500000000000001E-2</v>
          </cell>
          <cell r="H263">
            <v>0.01</v>
          </cell>
          <cell r="I263">
            <v>1.35E-2</v>
          </cell>
          <cell r="J263">
            <v>7.4999999999999997E-3</v>
          </cell>
          <cell r="K263">
            <v>0.75</v>
          </cell>
          <cell r="M263">
            <v>0.7</v>
          </cell>
          <cell r="N263">
            <v>0</v>
          </cell>
          <cell r="R263">
            <v>0.34</v>
          </cell>
          <cell r="S263">
            <v>0.255</v>
          </cell>
        </row>
        <row r="264">
          <cell r="C264">
            <v>44713</v>
          </cell>
          <cell r="D264">
            <v>6.17668695452505E-2</v>
          </cell>
          <cell r="E264">
            <v>5.5449999999999999</v>
          </cell>
          <cell r="F264">
            <v>0.17</v>
          </cell>
          <cell r="G264">
            <v>2.6000000000000002E-2</v>
          </cell>
          <cell r="H264">
            <v>0.01</v>
          </cell>
          <cell r="I264">
            <v>1.1000000000000001E-2</v>
          </cell>
          <cell r="J264">
            <v>7.4999999999999997E-3</v>
          </cell>
          <cell r="K264">
            <v>0.85</v>
          </cell>
          <cell r="M264">
            <v>0.8</v>
          </cell>
          <cell r="N264">
            <v>0</v>
          </cell>
          <cell r="R264">
            <v>0.34</v>
          </cell>
          <cell r="S264">
            <v>0.255</v>
          </cell>
        </row>
        <row r="265">
          <cell r="C265">
            <v>44743</v>
          </cell>
          <cell r="D265">
            <v>6.1770115173065E-2</v>
          </cell>
          <cell r="E265">
            <v>5.59</v>
          </cell>
          <cell r="F265">
            <v>0.17</v>
          </cell>
          <cell r="G265">
            <v>2.35E-2</v>
          </cell>
          <cell r="H265">
            <v>0.01</v>
          </cell>
          <cell r="I265">
            <v>8.5000000000000006E-3</v>
          </cell>
          <cell r="J265">
            <v>7.4999999999999997E-3</v>
          </cell>
          <cell r="K265">
            <v>1.05</v>
          </cell>
          <cell r="M265">
            <v>1</v>
          </cell>
          <cell r="N265">
            <v>0</v>
          </cell>
          <cell r="R265">
            <v>0.34</v>
          </cell>
          <cell r="S265">
            <v>0.255</v>
          </cell>
        </row>
        <row r="266">
          <cell r="C266">
            <v>44774</v>
          </cell>
          <cell r="D266">
            <v>6.1773468988477E-2</v>
          </cell>
          <cell r="E266">
            <v>5.6280000000000001</v>
          </cell>
          <cell r="F266">
            <v>0.17</v>
          </cell>
          <cell r="G266">
            <v>2.35E-2</v>
          </cell>
          <cell r="H266">
            <v>0.01</v>
          </cell>
          <cell r="I266">
            <v>8.5000000000000006E-3</v>
          </cell>
          <cell r="J266">
            <v>7.4999999999999997E-3</v>
          </cell>
          <cell r="K266">
            <v>1.05</v>
          </cell>
          <cell r="M266">
            <v>1</v>
          </cell>
          <cell r="N266">
            <v>0</v>
          </cell>
          <cell r="R266">
            <v>0.34</v>
          </cell>
          <cell r="S266">
            <v>0.255</v>
          </cell>
        </row>
        <row r="267">
          <cell r="C267">
            <v>44805</v>
          </cell>
          <cell r="D267">
            <v>6.17768228038931E-2</v>
          </cell>
          <cell r="E267">
            <v>5.6219999999999999</v>
          </cell>
          <cell r="F267">
            <v>0.17</v>
          </cell>
          <cell r="G267">
            <v>2.35E-2</v>
          </cell>
          <cell r="H267">
            <v>0.01</v>
          </cell>
          <cell r="I267">
            <v>8.5000000000000006E-3</v>
          </cell>
          <cell r="J267">
            <v>7.4999999999999997E-3</v>
          </cell>
          <cell r="K267">
            <v>0.75</v>
          </cell>
          <cell r="M267">
            <v>0.6</v>
          </cell>
          <cell r="N267">
            <v>0</v>
          </cell>
          <cell r="R267">
            <v>0.34</v>
          </cell>
          <cell r="S267">
            <v>0.255</v>
          </cell>
        </row>
        <row r="268">
          <cell r="C268">
            <v>44835</v>
          </cell>
          <cell r="D268">
            <v>6.1780068431719098E-2</v>
          </cell>
          <cell r="E268">
            <v>5.6219999999999999</v>
          </cell>
          <cell r="F268">
            <v>0.17</v>
          </cell>
          <cell r="G268">
            <v>2.2000000000000002E-2</v>
          </cell>
          <cell r="H268">
            <v>0.01</v>
          </cell>
          <cell r="I268">
            <v>7.0000000000000001E-3</v>
          </cell>
          <cell r="J268">
            <v>7.4999999999999997E-3</v>
          </cell>
          <cell r="K268">
            <v>0.45</v>
          </cell>
          <cell r="M268">
            <v>0.3</v>
          </cell>
          <cell r="N268">
            <v>0</v>
          </cell>
          <cell r="R268">
            <v>0.17</v>
          </cell>
          <cell r="S268">
            <v>0.17</v>
          </cell>
        </row>
        <row r="269">
          <cell r="C269">
            <v>44866</v>
          </cell>
          <cell r="D269">
            <v>6.1783422247142304E-2</v>
          </cell>
          <cell r="E269">
            <v>5.77</v>
          </cell>
          <cell r="F269">
            <v>0.17</v>
          </cell>
          <cell r="G269">
            <v>2.3E-2</v>
          </cell>
          <cell r="H269">
            <v>7.4999999999999997E-3</v>
          </cell>
          <cell r="I269">
            <v>8.0000000000000002E-3</v>
          </cell>
          <cell r="J269">
            <v>2.5000000000000001E-3</v>
          </cell>
          <cell r="K269">
            <v>0.45</v>
          </cell>
          <cell r="M269">
            <v>0.23</v>
          </cell>
          <cell r="N269">
            <v>0</v>
          </cell>
          <cell r="R269">
            <v>0.17</v>
          </cell>
          <cell r="S269">
            <v>0.17</v>
          </cell>
        </row>
        <row r="270">
          <cell r="C270">
            <v>44896</v>
          </cell>
          <cell r="D270">
            <v>6.1786667874974999E-2</v>
          </cell>
          <cell r="E270">
            <v>5.9220000000000006</v>
          </cell>
          <cell r="F270">
            <v>0.17</v>
          </cell>
          <cell r="G270">
            <v>2.3E-2</v>
          </cell>
          <cell r="H270">
            <v>7.4999999999999997E-3</v>
          </cell>
          <cell r="I270">
            <v>8.0000000000000002E-3</v>
          </cell>
          <cell r="J270">
            <v>2.5000000000000001E-3</v>
          </cell>
          <cell r="K270">
            <v>0.4</v>
          </cell>
          <cell r="M270">
            <v>0.26</v>
          </cell>
          <cell r="N270">
            <v>0</v>
          </cell>
          <cell r="R270">
            <v>0.17</v>
          </cell>
          <cell r="S270">
            <v>0.17</v>
          </cell>
        </row>
        <row r="271">
          <cell r="C271">
            <v>44927</v>
          </cell>
          <cell r="D271">
            <v>6.1790021690405698E-2</v>
          </cell>
          <cell r="E271">
            <v>5.9995000000000003</v>
          </cell>
          <cell r="F271">
            <v>0.17</v>
          </cell>
          <cell r="K271">
            <v>0.35</v>
          </cell>
          <cell r="M271">
            <v>8.5000000000000006E-2</v>
          </cell>
          <cell r="N271">
            <v>0</v>
          </cell>
          <cell r="R271">
            <v>0.17</v>
          </cell>
          <cell r="S271">
            <v>0.17</v>
          </cell>
        </row>
        <row r="272">
          <cell r="C272">
            <v>44958</v>
          </cell>
          <cell r="D272">
            <v>6.1793375505839999E-2</v>
          </cell>
          <cell r="E272">
            <v>5.9124999999999996</v>
          </cell>
          <cell r="F272">
            <v>0.17</v>
          </cell>
          <cell r="K272">
            <v>0.35</v>
          </cell>
          <cell r="M272">
            <v>7.4999999999999997E-2</v>
          </cell>
          <cell r="N272">
            <v>0</v>
          </cell>
          <cell r="R272">
            <v>0.17</v>
          </cell>
          <cell r="S272">
            <v>0.17</v>
          </cell>
        </row>
        <row r="273">
          <cell r="C273">
            <v>44986</v>
          </cell>
          <cell r="D273">
            <v>6.17964047584936E-2</v>
          </cell>
          <cell r="E273">
            <v>5.7735000000000003</v>
          </cell>
          <cell r="F273">
            <v>0.17</v>
          </cell>
          <cell r="K273">
            <v>0.4</v>
          </cell>
          <cell r="M273">
            <v>0.115</v>
          </cell>
          <cell r="N273">
            <v>0</v>
          </cell>
          <cell r="R273">
            <v>0.17</v>
          </cell>
          <cell r="S273">
            <v>0.17</v>
          </cell>
        </row>
        <row r="274">
          <cell r="C274">
            <v>45017</v>
          </cell>
          <cell r="D274">
            <v>6.1799758573935402E-2</v>
          </cell>
          <cell r="E274">
            <v>5.6195000000000004</v>
          </cell>
          <cell r="F274">
            <v>0.17</v>
          </cell>
          <cell r="K274">
            <v>0.6</v>
          </cell>
          <cell r="M274">
            <v>0</v>
          </cell>
          <cell r="N274">
            <v>0</v>
          </cell>
          <cell r="R274">
            <v>0.17</v>
          </cell>
          <cell r="S274">
            <v>0.17</v>
          </cell>
        </row>
        <row r="275">
          <cell r="C275">
            <v>45047</v>
          </cell>
          <cell r="D275">
            <v>6.1803004201785902E-2</v>
          </cell>
          <cell r="E275">
            <v>5.6245000000000003</v>
          </cell>
          <cell r="F275">
            <v>0.17</v>
          </cell>
          <cell r="K275">
            <v>0.75</v>
          </cell>
          <cell r="M275">
            <v>0</v>
          </cell>
          <cell r="N275">
            <v>0</v>
          </cell>
          <cell r="R275">
            <v>0.34</v>
          </cell>
          <cell r="S275">
            <v>0.255</v>
          </cell>
        </row>
        <row r="276">
          <cell r="C276">
            <v>45078</v>
          </cell>
          <cell r="D276">
            <v>6.1806358017234803E-2</v>
          </cell>
          <cell r="E276">
            <v>5.6624999999999996</v>
          </cell>
          <cell r="F276">
            <v>0.17</v>
          </cell>
          <cell r="K276">
            <v>0.85</v>
          </cell>
          <cell r="M276">
            <v>0</v>
          </cell>
          <cell r="N276">
            <v>0</v>
          </cell>
          <cell r="R276">
            <v>0.34</v>
          </cell>
          <cell r="S276">
            <v>0.255</v>
          </cell>
        </row>
        <row r="277">
          <cell r="C277">
            <v>45108</v>
          </cell>
          <cell r="D277">
            <v>6.1809603645091901E-2</v>
          </cell>
          <cell r="E277">
            <v>5.7074999999999996</v>
          </cell>
          <cell r="F277">
            <v>0.17</v>
          </cell>
          <cell r="K277">
            <v>1.05</v>
          </cell>
          <cell r="M277">
            <v>0</v>
          </cell>
          <cell r="N277">
            <v>0</v>
          </cell>
          <cell r="R277">
            <v>0.34</v>
          </cell>
          <cell r="S277">
            <v>0.255</v>
          </cell>
        </row>
        <row r="278">
          <cell r="C278">
            <v>45139</v>
          </cell>
          <cell r="D278">
            <v>6.18129574605484E-2</v>
          </cell>
          <cell r="E278">
            <v>5.7455000000000007</v>
          </cell>
          <cell r="F278">
            <v>0.17</v>
          </cell>
          <cell r="K278">
            <v>1.05</v>
          </cell>
          <cell r="M278">
            <v>0</v>
          </cell>
          <cell r="N278">
            <v>0</v>
          </cell>
          <cell r="R278">
            <v>0.34</v>
          </cell>
          <cell r="S278">
            <v>0.255</v>
          </cell>
        </row>
        <row r="279">
          <cell r="C279">
            <v>45170</v>
          </cell>
          <cell r="D279">
            <v>6.1816311276008402E-2</v>
          </cell>
          <cell r="E279">
            <v>5.7395000000000005</v>
          </cell>
          <cell r="F279">
            <v>0.17</v>
          </cell>
          <cell r="K279">
            <v>0.75</v>
          </cell>
          <cell r="M279">
            <v>0</v>
          </cell>
          <cell r="N279">
            <v>0</v>
          </cell>
          <cell r="R279">
            <v>0.34</v>
          </cell>
          <cell r="S279">
            <v>0.255</v>
          </cell>
        </row>
        <row r="280">
          <cell r="C280">
            <v>45200</v>
          </cell>
          <cell r="D280">
            <v>6.1819556903876603E-2</v>
          </cell>
          <cell r="E280">
            <v>5.7395000000000005</v>
          </cell>
          <cell r="F280">
            <v>0.17</v>
          </cell>
          <cell r="K280">
            <v>0.45</v>
          </cell>
          <cell r="M280">
            <v>0</v>
          </cell>
          <cell r="N280">
            <v>0</v>
          </cell>
          <cell r="R280">
            <v>0.17</v>
          </cell>
          <cell r="S280">
            <v>0.17</v>
          </cell>
        </row>
        <row r="281">
          <cell r="C281">
            <v>45231</v>
          </cell>
          <cell r="D281">
            <v>6.1822910719343802E-2</v>
          </cell>
          <cell r="E281">
            <v>5.8875000000000002</v>
          </cell>
          <cell r="F281">
            <v>0.17</v>
          </cell>
          <cell r="K281">
            <v>0.45</v>
          </cell>
          <cell r="M281">
            <v>0</v>
          </cell>
          <cell r="N281">
            <v>0</v>
          </cell>
          <cell r="R281">
            <v>0.17</v>
          </cell>
          <cell r="S281">
            <v>0.17</v>
          </cell>
        </row>
        <row r="282">
          <cell r="C282">
            <v>45261</v>
          </cell>
          <cell r="D282">
            <v>6.1826156347219101E-2</v>
          </cell>
          <cell r="E282">
            <v>6.0395000000000003</v>
          </cell>
          <cell r="F282">
            <v>0.17</v>
          </cell>
          <cell r="K282">
            <v>0.4</v>
          </cell>
          <cell r="M282">
            <v>0</v>
          </cell>
          <cell r="N282">
            <v>0</v>
          </cell>
          <cell r="R282">
            <v>0.17</v>
          </cell>
          <cell r="S282">
            <v>0.17</v>
          </cell>
        </row>
        <row r="283">
          <cell r="C283">
            <v>45292</v>
          </cell>
          <cell r="D283">
            <v>6.18295101626938E-2</v>
          </cell>
          <cell r="E283">
            <v>6.117</v>
          </cell>
          <cell r="F283">
            <v>0.17</v>
          </cell>
          <cell r="K283">
            <v>0</v>
          </cell>
          <cell r="M283">
            <v>0</v>
          </cell>
          <cell r="N283">
            <v>0</v>
          </cell>
          <cell r="R283">
            <v>0.17</v>
          </cell>
          <cell r="S283">
            <v>0.17</v>
          </cell>
        </row>
        <row r="284">
          <cell r="C284">
            <v>45323</v>
          </cell>
          <cell r="D284">
            <v>6.1832863978172004E-2</v>
          </cell>
          <cell r="E284">
            <v>6.03</v>
          </cell>
          <cell r="F284">
            <v>0.17</v>
          </cell>
          <cell r="K284">
            <v>0</v>
          </cell>
          <cell r="M284">
            <v>0</v>
          </cell>
          <cell r="N284">
            <v>0</v>
          </cell>
          <cell r="R284">
            <v>0.17</v>
          </cell>
          <cell r="S284">
            <v>0.17</v>
          </cell>
        </row>
        <row r="285">
          <cell r="C285">
            <v>45352</v>
          </cell>
          <cell r="D285">
            <v>6.1836001418461801E-2</v>
          </cell>
          <cell r="E285">
            <v>5.891</v>
          </cell>
          <cell r="F285">
            <v>0.17</v>
          </cell>
          <cell r="K285">
            <v>0</v>
          </cell>
          <cell r="M285">
            <v>0</v>
          </cell>
          <cell r="N285">
            <v>0</v>
          </cell>
          <cell r="R285">
            <v>0.17</v>
          </cell>
          <cell r="S285">
            <v>0.17</v>
          </cell>
        </row>
        <row r="286">
          <cell r="C286">
            <v>45383</v>
          </cell>
          <cell r="D286">
            <v>6.1839355233947603E-2</v>
          </cell>
          <cell r="E286">
            <v>5.7370000000000001</v>
          </cell>
          <cell r="F286">
            <v>0.17</v>
          </cell>
          <cell r="K286">
            <v>0</v>
          </cell>
          <cell r="M286">
            <v>0</v>
          </cell>
          <cell r="N286">
            <v>0</v>
          </cell>
          <cell r="R286">
            <v>0.17</v>
          </cell>
          <cell r="S286">
            <v>0.17</v>
          </cell>
        </row>
        <row r="287">
          <cell r="C287">
            <v>45413</v>
          </cell>
          <cell r="D287">
            <v>6.1842600861840701E-2</v>
          </cell>
          <cell r="E287">
            <v>5.742</v>
          </cell>
          <cell r="F287">
            <v>0.17</v>
          </cell>
          <cell r="K287">
            <v>0</v>
          </cell>
          <cell r="M287">
            <v>0</v>
          </cell>
          <cell r="N287">
            <v>0</v>
          </cell>
          <cell r="R287">
            <v>0.34</v>
          </cell>
          <cell r="S287">
            <v>0.255</v>
          </cell>
        </row>
        <row r="288">
          <cell r="C288">
            <v>45444</v>
          </cell>
          <cell r="D288">
            <v>6.1845954677333601E-2</v>
          </cell>
          <cell r="E288">
            <v>5.78</v>
          </cell>
          <cell r="F288">
            <v>0.17</v>
          </cell>
          <cell r="K288">
            <v>0</v>
          </cell>
          <cell r="M288">
            <v>0</v>
          </cell>
          <cell r="N288">
            <v>0</v>
          </cell>
          <cell r="R288">
            <v>0.34</v>
          </cell>
          <cell r="S288">
            <v>0.255</v>
          </cell>
        </row>
        <row r="289">
          <cell r="C289">
            <v>45474</v>
          </cell>
          <cell r="D289">
            <v>6.1849200305233304E-2</v>
          </cell>
          <cell r="E289">
            <v>5.8250000000000002</v>
          </cell>
          <cell r="F289">
            <v>0.17</v>
          </cell>
          <cell r="K289">
            <v>0</v>
          </cell>
          <cell r="M289">
            <v>0</v>
          </cell>
          <cell r="N289">
            <v>0</v>
          </cell>
          <cell r="R289">
            <v>0.34</v>
          </cell>
          <cell r="S289">
            <v>0.255</v>
          </cell>
        </row>
        <row r="290">
          <cell r="C290">
            <v>45505</v>
          </cell>
          <cell r="D290">
            <v>6.1852554120733802E-2</v>
          </cell>
          <cell r="E290">
            <v>5.8630000000000004</v>
          </cell>
          <cell r="F290">
            <v>0.17</v>
          </cell>
          <cell r="K290">
            <v>0</v>
          </cell>
          <cell r="M290">
            <v>0</v>
          </cell>
          <cell r="N290">
            <v>0</v>
          </cell>
          <cell r="R290">
            <v>0.34</v>
          </cell>
          <cell r="S290">
            <v>0.255</v>
          </cell>
        </row>
        <row r="291">
          <cell r="C291">
            <v>45536</v>
          </cell>
          <cell r="D291">
            <v>6.18559079362377E-2</v>
          </cell>
          <cell r="E291">
            <v>5.8570000000000002</v>
          </cell>
          <cell r="F291">
            <v>0.17</v>
          </cell>
          <cell r="K291">
            <v>0</v>
          </cell>
          <cell r="R291">
            <v>0.34</v>
          </cell>
          <cell r="S291">
            <v>0.255</v>
          </cell>
        </row>
        <row r="292">
          <cell r="C292">
            <v>45566</v>
          </cell>
          <cell r="D292">
            <v>6.1859153564149102E-2</v>
          </cell>
          <cell r="E292">
            <v>5.8570000000000002</v>
          </cell>
          <cell r="F292">
            <v>0.17</v>
          </cell>
          <cell r="K292">
            <v>0</v>
          </cell>
          <cell r="R292">
            <v>0.17</v>
          </cell>
          <cell r="S292">
            <v>0.17</v>
          </cell>
        </row>
        <row r="293">
          <cell r="C293">
            <v>45597</v>
          </cell>
          <cell r="D293">
            <v>6.1862507379660599E-2</v>
          </cell>
          <cell r="E293">
            <v>6.0049999999999999</v>
          </cell>
          <cell r="F293">
            <v>0.17</v>
          </cell>
          <cell r="K293">
            <v>0</v>
          </cell>
          <cell r="R293">
            <v>0.17</v>
          </cell>
          <cell r="S293">
            <v>0.17</v>
          </cell>
        </row>
        <row r="294">
          <cell r="C294">
            <v>45627</v>
          </cell>
          <cell r="D294">
            <v>6.18657530075781E-2</v>
          </cell>
          <cell r="E294">
            <v>6.157</v>
          </cell>
          <cell r="F294">
            <v>0.17</v>
          </cell>
          <cell r="K294">
            <v>0</v>
          </cell>
          <cell r="R294">
            <v>0.17</v>
          </cell>
          <cell r="S294">
            <v>0.17</v>
          </cell>
        </row>
        <row r="295">
          <cell r="C295">
            <v>45658</v>
          </cell>
          <cell r="D295">
            <v>6.1869106823096799E-2</v>
          </cell>
          <cell r="K295">
            <v>0</v>
          </cell>
          <cell r="R295">
            <v>0</v>
          </cell>
          <cell r="S295">
            <v>0</v>
          </cell>
        </row>
        <row r="296">
          <cell r="C296">
            <v>45689</v>
          </cell>
          <cell r="D296">
            <v>6.1872460638619405E-2</v>
          </cell>
          <cell r="K296">
            <v>0</v>
          </cell>
          <cell r="R296">
            <v>0</v>
          </cell>
          <cell r="S296">
            <v>0</v>
          </cell>
        </row>
        <row r="297">
          <cell r="C297">
            <v>45717</v>
          </cell>
          <cell r="D297">
            <v>6.1875489891352504E-2</v>
          </cell>
          <cell r="K297">
            <v>0</v>
          </cell>
          <cell r="R297">
            <v>0</v>
          </cell>
          <cell r="S297">
            <v>0</v>
          </cell>
        </row>
        <row r="298">
          <cell r="C298">
            <v>45748</v>
          </cell>
          <cell r="D298">
            <v>6.1878843706882201E-2</v>
          </cell>
          <cell r="K298">
            <v>0</v>
          </cell>
          <cell r="R298">
            <v>0</v>
          </cell>
          <cell r="S298">
            <v>0</v>
          </cell>
        </row>
        <row r="299">
          <cell r="C299">
            <v>45778</v>
          </cell>
          <cell r="D299">
            <v>6.1882089334818001E-2</v>
          </cell>
          <cell r="K299">
            <v>0</v>
          </cell>
        </row>
        <row r="300">
          <cell r="C300">
            <v>45809</v>
          </cell>
          <cell r="D300">
            <v>6.1885443150354803E-2</v>
          </cell>
          <cell r="K300">
            <v>0</v>
          </cell>
        </row>
        <row r="301">
          <cell r="C301">
            <v>45839</v>
          </cell>
          <cell r="D301">
            <v>6.1888688778297202E-2</v>
          </cell>
          <cell r="K301">
            <v>0</v>
          </cell>
        </row>
        <row r="302">
          <cell r="C302">
            <v>45870</v>
          </cell>
          <cell r="D302">
            <v>6.1892042593841602E-2</v>
          </cell>
          <cell r="K302">
            <v>0</v>
          </cell>
        </row>
        <row r="303">
          <cell r="C303">
            <v>45901</v>
          </cell>
          <cell r="D303">
            <v>6.1895396409389604E-2</v>
          </cell>
          <cell r="K303">
            <v>0</v>
          </cell>
        </row>
        <row r="304">
          <cell r="C304">
            <v>45931</v>
          </cell>
          <cell r="D304">
            <v>6.1898642037343105E-2</v>
          </cell>
          <cell r="K304">
            <v>0</v>
          </cell>
        </row>
        <row r="305">
          <cell r="C305">
            <v>45962</v>
          </cell>
          <cell r="D305">
            <v>6.19019958528986E-2</v>
          </cell>
          <cell r="K305">
            <v>0</v>
          </cell>
        </row>
        <row r="306">
          <cell r="C306">
            <v>45992</v>
          </cell>
          <cell r="D306">
            <v>6.19052414808587E-2</v>
          </cell>
          <cell r="K306">
            <v>0</v>
          </cell>
        </row>
        <row r="307">
          <cell r="C307">
            <v>46023</v>
          </cell>
          <cell r="D307">
            <v>6.1908595296421301E-2</v>
          </cell>
          <cell r="K307">
            <v>0</v>
          </cell>
        </row>
        <row r="308">
          <cell r="C308">
            <v>46054</v>
          </cell>
          <cell r="D308">
            <v>6.1911949111987899E-2</v>
          </cell>
          <cell r="K308">
            <v>0</v>
          </cell>
        </row>
        <row r="309">
          <cell r="C309">
            <v>46082</v>
          </cell>
          <cell r="D309">
            <v>6.1914978364761404E-2</v>
          </cell>
          <cell r="K309">
            <v>0</v>
          </cell>
        </row>
        <row r="310">
          <cell r="C310">
            <v>46113</v>
          </cell>
          <cell r="D310">
            <v>6.1918332180334698E-2</v>
          </cell>
          <cell r="K310">
            <v>0</v>
          </cell>
        </row>
        <row r="311">
          <cell r="C311">
            <v>46143</v>
          </cell>
          <cell r="D311">
            <v>6.1921577808312603E-2</v>
          </cell>
          <cell r="K311">
            <v>0</v>
          </cell>
        </row>
        <row r="312">
          <cell r="C312">
            <v>46174</v>
          </cell>
          <cell r="D312">
            <v>6.1924931623893904E-2</v>
          </cell>
          <cell r="K312">
            <v>0</v>
          </cell>
        </row>
        <row r="313">
          <cell r="C313">
            <v>46204</v>
          </cell>
          <cell r="D313">
            <v>6.1928177251878901E-2</v>
          </cell>
          <cell r="K313">
            <v>0</v>
          </cell>
        </row>
        <row r="314">
          <cell r="C314">
            <v>46235</v>
          </cell>
          <cell r="D314">
            <v>6.1931531067467301E-2</v>
          </cell>
          <cell r="K314">
            <v>0</v>
          </cell>
        </row>
        <row r="315">
          <cell r="C315">
            <v>46266</v>
          </cell>
          <cell r="D315">
            <v>6.1934884883059205E-2</v>
          </cell>
          <cell r="K315">
            <v>0</v>
          </cell>
        </row>
        <row r="316">
          <cell r="C316">
            <v>46296</v>
          </cell>
          <cell r="D316">
            <v>6.1938130511054901E-2</v>
          </cell>
          <cell r="K316">
            <v>0</v>
          </cell>
        </row>
        <row r="317">
          <cell r="C317">
            <v>46327</v>
          </cell>
          <cell r="D317">
            <v>6.1941484326654403E-2</v>
          </cell>
          <cell r="K317">
            <v>0</v>
          </cell>
        </row>
        <row r="318">
          <cell r="C318">
            <v>46357</v>
          </cell>
          <cell r="D318">
            <v>6.19447299546576E-2</v>
          </cell>
          <cell r="K318">
            <v>0</v>
          </cell>
        </row>
        <row r="319">
          <cell r="C319">
            <v>46388</v>
          </cell>
          <cell r="D319">
            <v>6.1948083770264201E-2</v>
          </cell>
          <cell r="K319">
            <v>0</v>
          </cell>
        </row>
        <row r="320">
          <cell r="C320">
            <v>46419</v>
          </cell>
          <cell r="D320">
            <v>6.1951437585874701E-2</v>
          </cell>
          <cell r="K320">
            <v>0</v>
          </cell>
        </row>
        <row r="321">
          <cell r="C321">
            <v>46447</v>
          </cell>
          <cell r="D321">
            <v>6.19544668386873E-2</v>
          </cell>
          <cell r="K321">
            <v>0</v>
          </cell>
        </row>
        <row r="322">
          <cell r="C322">
            <v>46478</v>
          </cell>
          <cell r="D322">
            <v>6.1957820654305003E-2</v>
          </cell>
          <cell r="K322">
            <v>0</v>
          </cell>
        </row>
        <row r="323">
          <cell r="C323">
            <v>46508</v>
          </cell>
          <cell r="D323">
            <v>6.1961066282325103E-2</v>
          </cell>
          <cell r="K323">
            <v>0</v>
          </cell>
        </row>
        <row r="324">
          <cell r="C324">
            <v>46539</v>
          </cell>
          <cell r="D324">
            <v>6.19644200979503E-2</v>
          </cell>
          <cell r="K324">
            <v>0</v>
          </cell>
        </row>
        <row r="325">
          <cell r="C325">
            <v>46569</v>
          </cell>
          <cell r="D325">
            <v>6.1967665725977998E-2</v>
          </cell>
          <cell r="K325">
            <v>0</v>
          </cell>
        </row>
        <row r="326">
          <cell r="C326">
            <v>46600</v>
          </cell>
          <cell r="D326">
            <v>6.19710195416103E-2</v>
          </cell>
          <cell r="K326">
            <v>0</v>
          </cell>
        </row>
        <row r="327">
          <cell r="C327">
            <v>46631</v>
          </cell>
          <cell r="D327">
            <v>6.1974373357246204E-2</v>
          </cell>
          <cell r="K327">
            <v>0</v>
          </cell>
        </row>
        <row r="328">
          <cell r="C328">
            <v>46661</v>
          </cell>
          <cell r="D328">
            <v>6.1977618985284498E-2</v>
          </cell>
          <cell r="K328">
            <v>0</v>
          </cell>
        </row>
        <row r="329">
          <cell r="C329">
            <v>46692</v>
          </cell>
          <cell r="D329">
            <v>6.1980972800928E-2</v>
          </cell>
          <cell r="K329">
            <v>0</v>
          </cell>
        </row>
        <row r="330">
          <cell r="C330">
            <v>46722</v>
          </cell>
          <cell r="D330">
            <v>6.1984218428973399E-2</v>
          </cell>
          <cell r="K330">
            <v>0</v>
          </cell>
        </row>
        <row r="331">
          <cell r="C331">
            <v>46753</v>
          </cell>
          <cell r="D331">
            <v>6.1987572244624402E-2</v>
          </cell>
          <cell r="K331">
            <v>0</v>
          </cell>
        </row>
        <row r="332">
          <cell r="C332">
            <v>46784</v>
          </cell>
          <cell r="D332">
            <v>6.1990926060278902E-2</v>
          </cell>
          <cell r="K332">
            <v>0</v>
          </cell>
        </row>
        <row r="333">
          <cell r="C333">
            <v>46813</v>
          </cell>
          <cell r="D333">
            <v>6.1994063500732999E-2</v>
          </cell>
          <cell r="K333">
            <v>0</v>
          </cell>
        </row>
        <row r="334">
          <cell r="C334">
            <v>46844</v>
          </cell>
          <cell r="D334">
            <v>6.1997417316394604E-2</v>
          </cell>
          <cell r="K334">
            <v>0</v>
          </cell>
        </row>
        <row r="335">
          <cell r="C335">
            <v>46874</v>
          </cell>
          <cell r="D335">
            <v>6.2000662944457802E-2</v>
          </cell>
          <cell r="K335">
            <v>0</v>
          </cell>
        </row>
        <row r="336">
          <cell r="C336">
            <v>46905</v>
          </cell>
          <cell r="D336">
            <v>6.2004016760126603E-2</v>
          </cell>
          <cell r="K336">
            <v>0</v>
          </cell>
        </row>
        <row r="337">
          <cell r="C337">
            <v>46935</v>
          </cell>
          <cell r="D337">
            <v>6.2007262388197301E-2</v>
          </cell>
          <cell r="K337">
            <v>0</v>
          </cell>
        </row>
        <row r="338">
          <cell r="C338">
            <v>46966</v>
          </cell>
          <cell r="D338">
            <v>6.2010616203873603E-2</v>
          </cell>
          <cell r="K338">
            <v>0</v>
          </cell>
        </row>
        <row r="339">
          <cell r="C339">
            <v>46997</v>
          </cell>
          <cell r="D339">
            <v>6.2013970019553902E-2</v>
          </cell>
          <cell r="K339">
            <v>0</v>
          </cell>
        </row>
        <row r="340">
          <cell r="C340">
            <v>47027</v>
          </cell>
          <cell r="D340">
            <v>6.2017215647634398E-2</v>
          </cell>
          <cell r="K340">
            <v>0</v>
          </cell>
        </row>
        <row r="341">
          <cell r="C341">
            <v>47058</v>
          </cell>
          <cell r="D341">
            <v>6.2020569463321802E-2</v>
          </cell>
          <cell r="K341">
            <v>0</v>
          </cell>
        </row>
        <row r="342">
          <cell r="C342">
            <v>47088</v>
          </cell>
          <cell r="D342">
            <v>6.2023815091410299E-2</v>
          </cell>
          <cell r="K342">
            <v>0</v>
          </cell>
        </row>
        <row r="343">
          <cell r="C343">
            <v>47119</v>
          </cell>
          <cell r="D343">
            <v>6.2027168907105204E-2</v>
          </cell>
          <cell r="K343">
            <v>0</v>
          </cell>
        </row>
        <row r="344">
          <cell r="C344">
            <v>47150</v>
          </cell>
          <cell r="D344">
            <v>6.2030522722803703E-2</v>
          </cell>
          <cell r="K344">
            <v>0</v>
          </cell>
        </row>
        <row r="345">
          <cell r="C345">
            <v>47178</v>
          </cell>
          <cell r="D345">
            <v>6.2033551975695801E-2</v>
          </cell>
          <cell r="K345">
            <v>0</v>
          </cell>
        </row>
        <row r="346">
          <cell r="C346">
            <v>47209</v>
          </cell>
          <cell r="D346">
            <v>6.2036905791401399E-2</v>
          </cell>
          <cell r="K346">
            <v>0</v>
          </cell>
        </row>
        <row r="347">
          <cell r="C347">
            <v>47239</v>
          </cell>
          <cell r="D347">
            <v>6.2040151419507202E-2</v>
          </cell>
          <cell r="K347">
            <v>0</v>
          </cell>
        </row>
        <row r="348">
          <cell r="C348">
            <v>47270</v>
          </cell>
          <cell r="D348">
            <v>6.2043505235220404E-2</v>
          </cell>
          <cell r="K348">
            <v>0</v>
          </cell>
        </row>
        <row r="349">
          <cell r="C349">
            <v>47300</v>
          </cell>
          <cell r="D349">
            <v>6.2046750863332903E-2</v>
          </cell>
          <cell r="K349">
            <v>0</v>
          </cell>
        </row>
        <row r="350">
          <cell r="C350">
            <v>47331</v>
          </cell>
          <cell r="D350">
            <v>6.20501046790531E-2</v>
          </cell>
          <cell r="K350">
            <v>0</v>
          </cell>
        </row>
        <row r="351">
          <cell r="C351">
            <v>47362</v>
          </cell>
          <cell r="D351">
            <v>6.2053458494777398E-2</v>
          </cell>
          <cell r="K351">
            <v>0</v>
          </cell>
        </row>
        <row r="352">
          <cell r="C352">
            <v>47392</v>
          </cell>
          <cell r="D352">
            <v>6.2056704122900999E-2</v>
          </cell>
          <cell r="K352">
            <v>0</v>
          </cell>
        </row>
        <row r="353">
          <cell r="C353">
            <v>47423</v>
          </cell>
          <cell r="D353">
            <v>6.2060057938632299E-2</v>
          </cell>
          <cell r="K353">
            <v>0</v>
          </cell>
        </row>
        <row r="354">
          <cell r="C354">
            <v>47453</v>
          </cell>
          <cell r="D354">
            <v>6.2063303566762998E-2</v>
          </cell>
          <cell r="K354">
            <v>0</v>
          </cell>
        </row>
        <row r="355">
          <cell r="C355">
            <v>47484</v>
          </cell>
          <cell r="D355">
            <v>6.20666573825015E-2</v>
          </cell>
        </row>
        <row r="356">
          <cell r="C356">
            <v>47515</v>
          </cell>
          <cell r="D356">
            <v>6.2070011198243999E-2</v>
          </cell>
        </row>
        <row r="357">
          <cell r="C357">
            <v>47543</v>
          </cell>
          <cell r="D357">
            <v>6.2073040451176002E-2</v>
          </cell>
        </row>
        <row r="358">
          <cell r="C358">
            <v>47574</v>
          </cell>
          <cell r="D358">
            <v>6.20763942669256E-2</v>
          </cell>
        </row>
        <row r="359">
          <cell r="C359">
            <v>47604</v>
          </cell>
          <cell r="D359">
            <v>6.2079639895074E-2</v>
          </cell>
        </row>
        <row r="360">
          <cell r="C360">
            <v>47635</v>
          </cell>
          <cell r="D360">
            <v>6.2082993710831202E-2</v>
          </cell>
        </row>
        <row r="361">
          <cell r="C361">
            <v>47665</v>
          </cell>
          <cell r="D361">
            <v>6.2086239338986299E-2</v>
          </cell>
        </row>
        <row r="362">
          <cell r="C362">
            <v>47696</v>
          </cell>
          <cell r="D362">
            <v>6.2089593154750503E-2</v>
          </cell>
        </row>
        <row r="363">
          <cell r="C363">
            <v>47727</v>
          </cell>
          <cell r="D363">
            <v>6.2092946970518301E-2</v>
          </cell>
        </row>
        <row r="364">
          <cell r="C364">
            <v>47757</v>
          </cell>
          <cell r="D364">
            <v>6.2096192598684902E-2</v>
          </cell>
        </row>
        <row r="365">
          <cell r="C365">
            <v>47788</v>
          </cell>
          <cell r="D365">
            <v>6.2099546414460201E-2</v>
          </cell>
        </row>
        <row r="366">
          <cell r="C366">
            <v>47818</v>
          </cell>
          <cell r="D366">
            <v>6.2102792042633102E-2</v>
          </cell>
        </row>
        <row r="367">
          <cell r="C367">
            <v>47849</v>
          </cell>
          <cell r="D367">
            <v>6.2106145858415999E-2</v>
          </cell>
        </row>
        <row r="368">
          <cell r="C368">
            <v>47880</v>
          </cell>
          <cell r="D368">
            <v>6.2109499674202401E-2</v>
          </cell>
        </row>
        <row r="369">
          <cell r="C369">
            <v>47908</v>
          </cell>
          <cell r="D369">
            <v>6.21125289271744E-2</v>
          </cell>
        </row>
        <row r="370">
          <cell r="C370">
            <v>47939</v>
          </cell>
          <cell r="D370">
            <v>6.2115882742967504E-2</v>
          </cell>
        </row>
        <row r="371">
          <cell r="C371">
            <v>47969</v>
          </cell>
          <cell r="D371">
            <v>6.21191283711586E-2</v>
          </cell>
        </row>
        <row r="372">
          <cell r="C372">
            <v>48000</v>
          </cell>
          <cell r="D372">
            <v>6.2122482186959302E-2</v>
          </cell>
        </row>
        <row r="373">
          <cell r="C373">
            <v>48030</v>
          </cell>
          <cell r="D373">
            <v>6.2125727815157003E-2</v>
          </cell>
        </row>
        <row r="374">
          <cell r="C374">
            <v>48061</v>
          </cell>
          <cell r="D374">
            <v>6.2129081630965602E-2</v>
          </cell>
        </row>
        <row r="375">
          <cell r="C375">
            <v>48092</v>
          </cell>
          <cell r="D375">
            <v>6.2132435446777802E-2</v>
          </cell>
        </row>
        <row r="376">
          <cell r="C376">
            <v>48122</v>
          </cell>
          <cell r="D376">
            <v>6.2135681074986203E-2</v>
          </cell>
        </row>
        <row r="377">
          <cell r="C377">
            <v>48153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honeticPr fontId="1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/>
  </sheetViews>
  <sheetFormatPr defaultRowHeight="12.75"/>
  <cols>
    <col min="1" max="1" width="9.42578125" customWidth="1"/>
    <col min="2" max="2" width="9.5703125" customWidth="1"/>
    <col min="3" max="3" width="10.7109375" customWidth="1"/>
    <col min="4" max="4" width="10" customWidth="1"/>
    <col min="5" max="5" width="32.5703125" customWidth="1"/>
    <col min="6" max="6" width="19.7109375" customWidth="1"/>
    <col min="7" max="7" width="26.140625" bestFit="1" customWidth="1"/>
    <col min="8" max="8" width="14.85546875" bestFit="1" customWidth="1"/>
  </cols>
  <sheetData>
    <row r="1" spans="1:8">
      <c r="A1" s="33" t="s">
        <v>77</v>
      </c>
      <c r="C1" s="33" t="s">
        <v>78</v>
      </c>
      <c r="E1" s="33" t="s">
        <v>79</v>
      </c>
      <c r="F1" s="33" t="s">
        <v>80</v>
      </c>
    </row>
    <row r="2" spans="1:8">
      <c r="A2" t="s">
        <v>89</v>
      </c>
      <c r="C2" t="s">
        <v>81</v>
      </c>
      <c r="E2" t="s">
        <v>90</v>
      </c>
      <c r="F2" t="s">
        <v>91</v>
      </c>
    </row>
    <row r="4" spans="1:8">
      <c r="A4" t="s">
        <v>82</v>
      </c>
    </row>
    <row r="5" spans="1:8">
      <c r="A5" t="s">
        <v>87</v>
      </c>
    </row>
    <row r="8" spans="1:8" s="24" customFormat="1">
      <c r="A8" s="87" t="s">
        <v>83</v>
      </c>
      <c r="B8" s="87" t="s">
        <v>84</v>
      </c>
      <c r="C8" s="87"/>
      <c r="D8" s="87" t="s">
        <v>36</v>
      </c>
      <c r="E8" s="87"/>
      <c r="F8" s="87"/>
      <c r="G8" s="87"/>
      <c r="H8" s="87"/>
    </row>
    <row r="9" spans="1:8" s="24" customFormat="1">
      <c r="A9" s="173" t="s">
        <v>9</v>
      </c>
      <c r="B9" s="173" t="s">
        <v>9</v>
      </c>
      <c r="C9" s="173" t="s">
        <v>11</v>
      </c>
      <c r="D9" s="173" t="s">
        <v>12</v>
      </c>
      <c r="E9" s="173" t="s">
        <v>85</v>
      </c>
      <c r="F9" s="173" t="s">
        <v>86</v>
      </c>
      <c r="G9" s="173" t="s">
        <v>43</v>
      </c>
      <c r="H9" s="173" t="s">
        <v>93</v>
      </c>
    </row>
    <row r="10" spans="1:8" ht="25.5">
      <c r="A10" s="175">
        <v>37196</v>
      </c>
      <c r="B10" s="175">
        <v>37346</v>
      </c>
      <c r="C10" s="76" t="s">
        <v>94</v>
      </c>
      <c r="D10" s="174">
        <v>10000</v>
      </c>
      <c r="E10" s="172" t="s">
        <v>92</v>
      </c>
      <c r="F10" s="172" t="s">
        <v>88</v>
      </c>
      <c r="G10" s="176">
        <v>0.8</v>
      </c>
      <c r="H10" s="178">
        <v>0.45</v>
      </c>
    </row>
    <row r="11" spans="1:8">
      <c r="A11" s="171"/>
      <c r="B11" s="171"/>
    </row>
  </sheetData>
  <phoneticPr fontId="11" type="noConversion"/>
  <pageMargins left="0.21" right="0.37" top="1" bottom="1" header="0.5" footer="0.5"/>
  <pageSetup orientation="landscape" r:id="rId1"/>
  <headerFooter alignWithMargins="0">
    <oddFooter>&amp;L&amp;D,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35"/>
  <sheetViews>
    <sheetView showGridLines="0" tabSelected="1" zoomScale="90" workbookViewId="0">
      <selection activeCell="F21" sqref="F21"/>
    </sheetView>
  </sheetViews>
  <sheetFormatPr defaultRowHeight="12.75"/>
  <cols>
    <col min="1" max="1" width="21.85546875" customWidth="1"/>
    <col min="2" max="2" width="18.5703125" bestFit="1" customWidth="1"/>
    <col min="3" max="3" width="14.7109375" customWidth="1"/>
    <col min="4" max="4" width="16.42578125" bestFit="1" customWidth="1"/>
    <col min="5" max="5" width="18" customWidth="1"/>
    <col min="6" max="6" width="12" customWidth="1"/>
    <col min="7" max="7" width="8.28515625" bestFit="1" customWidth="1"/>
    <col min="8" max="8" width="14.5703125" bestFit="1" customWidth="1"/>
    <col min="9" max="9" width="14.5703125" customWidth="1"/>
    <col min="10" max="10" width="17.42578125" bestFit="1" customWidth="1"/>
  </cols>
  <sheetData>
    <row r="1" spans="1:5" s="82" customFormat="1" ht="15.75">
      <c r="A1" s="81" t="s">
        <v>64</v>
      </c>
    </row>
    <row r="3" spans="1:5">
      <c r="A3" s="80" t="s">
        <v>13</v>
      </c>
      <c r="B3" s="36">
        <v>38139</v>
      </c>
    </row>
    <row r="4" spans="1:5">
      <c r="A4" s="80" t="s">
        <v>14</v>
      </c>
      <c r="B4" s="36">
        <v>41760</v>
      </c>
    </row>
    <row r="5" spans="1:5">
      <c r="A5" s="80" t="s">
        <v>11</v>
      </c>
      <c r="B5" s="76" t="str">
        <f>'Spread Option'!E3</f>
        <v>10 Y - 0 M</v>
      </c>
    </row>
    <row r="6" spans="1:5">
      <c r="A6" s="80" t="s">
        <v>16</v>
      </c>
      <c r="B6" s="79">
        <f>[1]!today</f>
        <v>37187</v>
      </c>
    </row>
    <row r="7" spans="1:5">
      <c r="A7" s="80"/>
    </row>
    <row r="8" spans="1:5">
      <c r="A8" s="80" t="s">
        <v>61</v>
      </c>
      <c r="B8" s="78">
        <v>50000</v>
      </c>
    </row>
    <row r="9" spans="1:5">
      <c r="A9" s="80" t="s">
        <v>62</v>
      </c>
      <c r="B9" s="77">
        <v>1</v>
      </c>
    </row>
    <row r="10" spans="1:5">
      <c r="A10" s="80" t="s">
        <v>66</v>
      </c>
      <c r="B10" s="77">
        <v>1</v>
      </c>
    </row>
    <row r="11" spans="1:5">
      <c r="A11" s="84" t="s">
        <v>68</v>
      </c>
      <c r="B11" s="77"/>
    </row>
    <row r="12" spans="1:5">
      <c r="A12" s="84" t="s">
        <v>67</v>
      </c>
      <c r="B12" s="77"/>
    </row>
    <row r="13" spans="1:5">
      <c r="A13" s="80" t="s">
        <v>63</v>
      </c>
      <c r="B13" s="77">
        <v>2</v>
      </c>
    </row>
    <row r="14" spans="1:5">
      <c r="A14" s="80" t="s">
        <v>75</v>
      </c>
      <c r="B14" s="77">
        <v>0</v>
      </c>
    </row>
    <row r="15" spans="1:5">
      <c r="A15" s="83" t="s">
        <v>65</v>
      </c>
      <c r="B15" s="179">
        <v>0.06</v>
      </c>
      <c r="C15" s="36"/>
      <c r="E15" s="77"/>
    </row>
    <row r="16" spans="1:5">
      <c r="A16" s="83" t="s">
        <v>74</v>
      </c>
      <c r="B16" s="179">
        <v>-5.5E-2</v>
      </c>
      <c r="C16" s="36"/>
      <c r="E16" s="77"/>
    </row>
    <row r="17" spans="1:9">
      <c r="A17" s="36"/>
      <c r="B17" s="36"/>
      <c r="C17" s="36"/>
    </row>
    <row r="18" spans="1:9">
      <c r="A18" s="33" t="s">
        <v>48</v>
      </c>
      <c r="B18" s="51"/>
      <c r="C18" s="36"/>
      <c r="D18" s="33" t="s">
        <v>49</v>
      </c>
      <c r="F18" s="34" t="s">
        <v>42</v>
      </c>
    </row>
    <row r="19" spans="1:9">
      <c r="A19" t="s">
        <v>52</v>
      </c>
      <c r="B19" s="77" t="s">
        <v>99</v>
      </c>
      <c r="C19" s="36"/>
      <c r="D19" t="s">
        <v>52</v>
      </c>
      <c r="E19" s="77" t="s">
        <v>100</v>
      </c>
      <c r="F19" s="55">
        <v>0.75</v>
      </c>
      <c r="G19" s="24" t="s">
        <v>50</v>
      </c>
    </row>
    <row r="20" spans="1:9">
      <c r="A20" t="s">
        <v>53</v>
      </c>
      <c r="B20" s="77" t="s">
        <v>98</v>
      </c>
      <c r="C20" s="36"/>
      <c r="D20" t="s">
        <v>53</v>
      </c>
      <c r="E20" s="77" t="s">
        <v>97</v>
      </c>
      <c r="F20" s="55">
        <v>0.75</v>
      </c>
      <c r="G20" s="24" t="s">
        <v>51</v>
      </c>
    </row>
    <row r="21" spans="1:9">
      <c r="A21" t="s">
        <v>54</v>
      </c>
      <c r="B21" s="77"/>
      <c r="C21" s="36"/>
      <c r="D21" t="s">
        <v>54</v>
      </c>
      <c r="E21" s="77"/>
    </row>
    <row r="22" spans="1:9">
      <c r="A22" s="85" t="s">
        <v>72</v>
      </c>
      <c r="B22" s="77">
        <v>0</v>
      </c>
      <c r="C22" s="36"/>
      <c r="D22" s="86" t="s">
        <v>72</v>
      </c>
      <c r="E22" s="77">
        <v>0</v>
      </c>
    </row>
    <row r="23" spans="1:9">
      <c r="A23" s="85" t="s">
        <v>73</v>
      </c>
      <c r="B23" s="77">
        <v>0</v>
      </c>
      <c r="C23" s="36"/>
      <c r="D23" s="85" t="s">
        <v>73</v>
      </c>
      <c r="E23" s="77">
        <v>0</v>
      </c>
    </row>
    <row r="24" spans="1:9">
      <c r="A24" s="85"/>
      <c r="B24" s="77"/>
      <c r="C24" s="36"/>
      <c r="D24" s="85"/>
    </row>
    <row r="25" spans="1:9" ht="13.5" thickBot="1"/>
    <row r="26" spans="1:9" ht="16.5" thickBot="1">
      <c r="A26" s="180" t="s">
        <v>34</v>
      </c>
      <c r="B26" s="181"/>
      <c r="C26" s="182"/>
      <c r="D26" s="170"/>
    </row>
    <row r="27" spans="1:9">
      <c r="A27" s="87" t="s">
        <v>55</v>
      </c>
      <c r="B27" s="87" t="s">
        <v>40</v>
      </c>
      <c r="C27" s="88" t="s">
        <v>32</v>
      </c>
    </row>
    <row r="28" spans="1:9">
      <c r="A28" s="87" t="s">
        <v>56</v>
      </c>
      <c r="B28" s="87" t="s">
        <v>57</v>
      </c>
      <c r="C28" s="88" t="s">
        <v>40</v>
      </c>
      <c r="E28" s="24"/>
    </row>
    <row r="29" spans="1:9">
      <c r="A29" s="89" t="s">
        <v>58</v>
      </c>
      <c r="B29" s="89" t="s">
        <v>5</v>
      </c>
      <c r="C29" s="90" t="s">
        <v>5</v>
      </c>
      <c r="E29" s="34"/>
      <c r="G29" s="57"/>
      <c r="H29" s="57"/>
      <c r="I29" s="57"/>
    </row>
    <row r="30" spans="1:9">
      <c r="A30" s="91">
        <f ca="1">'Spread Option'!AK8*'Spread Option'!D8</f>
        <v>53633275.374437623</v>
      </c>
      <c r="B30" s="91">
        <f ca="1">C30-A30</f>
        <v>96863617.771025956</v>
      </c>
      <c r="C30" s="92">
        <f ca="1">'Spread Option'!AR8</f>
        <v>150496893.14546359</v>
      </c>
      <c r="E30" s="58"/>
      <c r="G30" s="57"/>
      <c r="H30" s="57"/>
      <c r="I30" s="57"/>
    </row>
    <row r="31" spans="1:9">
      <c r="A31" s="93"/>
      <c r="B31" s="57"/>
      <c r="C31" s="94"/>
      <c r="E31" s="35"/>
      <c r="G31" s="57"/>
      <c r="H31" s="57"/>
      <c r="I31" s="57"/>
    </row>
    <row r="32" spans="1:9" ht="13.5" thickBot="1">
      <c r="A32" s="95">
        <f ca="1">A30/'Spread Option'!C8</f>
        <v>0.29372001847994317</v>
      </c>
      <c r="B32" s="95">
        <f ca="1">B30/'Spread Option'!C8</f>
        <v>0.53046888154997784</v>
      </c>
      <c r="C32" s="96">
        <f ca="1">C30/'Spread Option'!C8</f>
        <v>0.82418890002992107</v>
      </c>
      <c r="E32" s="56"/>
      <c r="G32" s="57"/>
      <c r="H32" s="57"/>
      <c r="I32" s="57"/>
    </row>
    <row r="33" spans="3:3">
      <c r="C33" s="51"/>
    </row>
    <row r="34" spans="3:3">
      <c r="C34" s="51"/>
    </row>
    <row r="35" spans="3:3">
      <c r="C35" s="51"/>
    </row>
  </sheetData>
  <mergeCells count="1">
    <mergeCell ref="A26:C26"/>
  </mergeCells>
  <phoneticPr fontId="11" type="noConversion"/>
  <pageMargins left="0.75" right="0.75" top="1" bottom="1" header="0.5" footer="0.5"/>
  <pageSetup orientation="landscape" r:id="rId1"/>
  <headerFooter alignWithMargins="0">
    <oddFooter xml:space="preserve">&amp;RExisting Deal in Transport Model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W632"/>
  <sheetViews>
    <sheetView showGridLines="0" zoomScale="85" workbookViewId="0">
      <pane xSplit="2" ySplit="6" topLeftCell="C7" activePane="bottomRight" state="frozenSplit"/>
      <selection pane="topRight" activeCell="C1" sqref="C1"/>
      <selection pane="bottomLeft" activeCell="P6" sqref="P6"/>
      <selection pane="bottomRight" activeCell="AQ8" sqref="AQ8"/>
    </sheetView>
  </sheetViews>
  <sheetFormatPr defaultRowHeight="12.75"/>
  <cols>
    <col min="1" max="1" width="13" style="1" bestFit="1" customWidth="1"/>
    <col min="2" max="2" width="12.7109375" style="1" customWidth="1"/>
    <col min="3" max="3" width="14" style="1" customWidth="1"/>
    <col min="4" max="4" width="12" style="1" bestFit="1" customWidth="1"/>
    <col min="5" max="5" width="10.7109375" style="1" customWidth="1"/>
    <col min="6" max="6" width="13.42578125" style="1" customWidth="1"/>
    <col min="7" max="7" width="15.85546875" style="1" customWidth="1"/>
    <col min="8" max="8" width="18.85546875" style="1" bestFit="1" customWidth="1"/>
    <col min="9" max="10" width="16.7109375" style="1" bestFit="1" customWidth="1"/>
    <col min="11" max="11" width="18" style="1" bestFit="1" customWidth="1"/>
    <col min="12" max="12" width="13.5703125" style="1" customWidth="1"/>
    <col min="13" max="13" width="12.85546875" style="1" customWidth="1"/>
    <col min="14" max="14" width="16.7109375" style="1" bestFit="1" customWidth="1"/>
    <col min="15" max="15" width="14.5703125" style="1" customWidth="1"/>
    <col min="16" max="16" width="15.42578125" style="1" customWidth="1"/>
    <col min="17" max="17" width="15.7109375" style="1" bestFit="1" customWidth="1"/>
    <col min="18" max="18" width="12.140625" style="1" bestFit="1" customWidth="1"/>
    <col min="19" max="19" width="13.28515625" style="1" customWidth="1"/>
    <col min="20" max="20" width="2.85546875" style="3" customWidth="1"/>
    <col min="21" max="21" width="15.5703125" style="3" customWidth="1"/>
    <col min="22" max="22" width="2.85546875" style="3" customWidth="1"/>
    <col min="23" max="23" width="21.140625" style="3" bestFit="1" customWidth="1"/>
    <col min="24" max="24" width="23.140625" style="3" customWidth="1"/>
    <col min="25" max="25" width="16.5703125" style="3" bestFit="1" customWidth="1"/>
    <col min="26" max="26" width="2.85546875" style="3" customWidth="1"/>
    <col min="27" max="27" width="13.7109375" style="3" bestFit="1" customWidth="1"/>
    <col min="28" max="28" width="2.85546875" style="3" customWidth="1"/>
    <col min="29" max="29" width="17.5703125" style="3" customWidth="1"/>
    <col min="30" max="30" width="17.85546875" style="3" bestFit="1" customWidth="1"/>
    <col min="31" max="31" width="13.85546875" style="3" customWidth="1"/>
    <col min="32" max="32" width="2.85546875" style="3" customWidth="1"/>
    <col min="33" max="33" width="14.28515625" style="3" customWidth="1"/>
    <col min="34" max="34" width="2.85546875" style="3" customWidth="1"/>
    <col min="35" max="35" width="10.7109375" style="3" customWidth="1"/>
    <col min="36" max="36" width="3.42578125" style="37" customWidth="1"/>
    <col min="37" max="37" width="14" style="3" customWidth="1"/>
    <col min="38" max="38" width="3.42578125" style="37" customWidth="1"/>
    <col min="39" max="39" width="10.7109375" style="1" bestFit="1" customWidth="1"/>
    <col min="40" max="40" width="11.140625" style="1" bestFit="1" customWidth="1"/>
    <col min="41" max="41" width="6.5703125" style="1" customWidth="1"/>
    <col min="42" max="42" width="3.85546875" style="1" customWidth="1"/>
    <col min="43" max="43" width="9.28515625" style="1" bestFit="1" customWidth="1"/>
    <col min="44" max="45" width="15.85546875" style="3" customWidth="1"/>
    <col min="46" max="46" width="2.28515625" style="3" customWidth="1"/>
    <col min="47" max="47" width="8.28515625" style="3" customWidth="1"/>
    <col min="48" max="49" width="8.5703125" style="1" customWidth="1"/>
    <col min="50" max="50" width="11.7109375" style="1" customWidth="1"/>
    <col min="51" max="51" width="10.42578125" style="1" bestFit="1" customWidth="1"/>
    <col min="52" max="52" width="7.5703125" style="1" customWidth="1"/>
    <col min="53" max="53" width="6.42578125" style="1" customWidth="1"/>
    <col min="54" max="54" width="3.7109375" style="1" customWidth="1"/>
    <col min="55" max="57" width="11.7109375" style="1" bestFit="1" customWidth="1"/>
    <col min="58" max="58" width="16.140625" style="1" customWidth="1"/>
    <col min="59" max="59" width="16.7109375" style="1" bestFit="1" customWidth="1"/>
    <col min="60" max="60" width="12.7109375" style="1" customWidth="1"/>
    <col min="61" max="61" width="13.7109375" style="1" customWidth="1"/>
    <col min="62" max="63" width="16.7109375" style="1" bestFit="1" customWidth="1"/>
    <col min="64" max="64" width="15.42578125" style="1" bestFit="1" customWidth="1"/>
    <col min="65" max="66" width="13.140625" style="1" bestFit="1" customWidth="1"/>
    <col min="67" max="67" width="14.42578125" style="1" bestFit="1" customWidth="1"/>
    <col min="68" max="69" width="13.140625" style="1" bestFit="1" customWidth="1"/>
    <col min="70" max="71" width="14.85546875" style="1" bestFit="1" customWidth="1"/>
    <col min="72" max="72" width="10.140625" style="1" bestFit="1" customWidth="1"/>
    <col min="73" max="73" width="12" style="1" bestFit="1" customWidth="1"/>
    <col min="74" max="16384" width="9.140625" style="1"/>
  </cols>
  <sheetData>
    <row r="1" spans="1:75">
      <c r="A1" s="53"/>
      <c r="B1" s="54"/>
      <c r="C1" s="26"/>
      <c r="D1" s="26"/>
      <c r="E1" s="26"/>
      <c r="F1" s="26"/>
      <c r="G1" s="103"/>
      <c r="H1" s="41"/>
      <c r="I1" s="41"/>
      <c r="J1" s="41"/>
      <c r="K1" s="106"/>
      <c r="L1" s="107"/>
      <c r="N1" s="26"/>
      <c r="Q1" s="26"/>
      <c r="X1" s="50"/>
      <c r="AM1" s="26"/>
      <c r="AR1" s="1"/>
      <c r="AS1" s="1"/>
      <c r="AT1" s="1"/>
      <c r="AW1" s="2"/>
      <c r="AX1" s="27"/>
      <c r="AY1" s="2"/>
      <c r="AZ1" s="2"/>
      <c r="BA1" s="27"/>
      <c r="BB1" s="2"/>
    </row>
    <row r="2" spans="1:75" ht="13.5" thickBot="1">
      <c r="A2" s="101" t="s">
        <v>13</v>
      </c>
      <c r="B2" s="41" t="s">
        <v>14</v>
      </c>
      <c r="C2" s="101" t="s">
        <v>15</v>
      </c>
      <c r="D2" s="2" t="s">
        <v>16</v>
      </c>
      <c r="E2" s="41" t="s">
        <v>11</v>
      </c>
      <c r="F2" s="101" t="s">
        <v>17</v>
      </c>
      <c r="G2" s="41" t="s">
        <v>18</v>
      </c>
      <c r="H2" s="41" t="s">
        <v>62</v>
      </c>
      <c r="I2" s="28"/>
      <c r="J2" s="28"/>
      <c r="K2" s="104"/>
      <c r="L2" s="104"/>
      <c r="AQ2" s="2"/>
      <c r="AR2" s="2"/>
      <c r="AS2" s="2"/>
      <c r="AT2" s="1"/>
      <c r="AW2" s="2"/>
      <c r="AX2" s="2"/>
      <c r="AY2" s="2"/>
      <c r="AZ2" s="2"/>
      <c r="BA2" s="2"/>
      <c r="BB2" s="2"/>
      <c r="BR2" s="66" t="s">
        <v>48</v>
      </c>
      <c r="BS2" s="66" t="s">
        <v>49</v>
      </c>
    </row>
    <row r="3" spans="1:75" ht="13.5" thickBot="1">
      <c r="A3" s="97">
        <f>Inputs!B3</f>
        <v>38139</v>
      </c>
      <c r="B3" s="97">
        <f>Inputs!B4</f>
        <v>41760</v>
      </c>
      <c r="C3" s="108">
        <f ca="1">TODAY()</f>
        <v>37193</v>
      </c>
      <c r="D3" s="6">
        <f>Inputs!B6</f>
        <v>37187</v>
      </c>
      <c r="E3" s="7" t="str">
        <f>CONCATENATE(INT(AZ8/12)," Y - ",AZ8-INT(AZ8/12)*12," M")</f>
        <v>10 Y - 0 M</v>
      </c>
      <c r="F3" s="99">
        <f>Inputs!B13</f>
        <v>2</v>
      </c>
      <c r="G3" s="99">
        <f>Inputs!B10</f>
        <v>1</v>
      </c>
      <c r="H3" s="109">
        <f>Inputs!B9</f>
        <v>1</v>
      </c>
      <c r="I3" s="102"/>
      <c r="J3" s="102"/>
      <c r="K3" s="98"/>
      <c r="L3" s="105"/>
      <c r="U3" s="183" t="s">
        <v>48</v>
      </c>
      <c r="V3" s="184"/>
      <c r="W3" s="184"/>
      <c r="X3" s="184"/>
      <c r="Y3" s="185"/>
      <c r="AA3" s="183" t="s">
        <v>49</v>
      </c>
      <c r="AB3" s="184"/>
      <c r="AC3" s="184"/>
      <c r="AD3" s="184"/>
      <c r="AE3" s="185"/>
      <c r="AQ3" s="2"/>
      <c r="AR3" s="2"/>
      <c r="AS3" s="2"/>
      <c r="AT3" s="1"/>
      <c r="AW3" s="2"/>
      <c r="AZ3" s="2"/>
      <c r="BR3" s="3"/>
      <c r="BS3" s="3"/>
    </row>
    <row r="4" spans="1:75">
      <c r="A4" s="8"/>
      <c r="B4" s="8"/>
      <c r="C4" s="8" t="s">
        <v>10</v>
      </c>
      <c r="D4" s="8" t="s">
        <v>2</v>
      </c>
      <c r="E4" s="29" t="s">
        <v>31</v>
      </c>
      <c r="F4" s="9"/>
      <c r="G4" s="9"/>
      <c r="H4" s="29" t="str">
        <f>CONCATENATE(Inputs!B19,"-D")</f>
        <v>IF-FGT/MKTAREA-D</v>
      </c>
      <c r="I4" s="9" t="str">
        <f>Inputs!B19</f>
        <v>IF-FGT/MKTAREA</v>
      </c>
      <c r="J4" s="9" t="str">
        <f>$I$4</f>
        <v>IF-FGT/MKTAREA</v>
      </c>
      <c r="K4" s="29" t="str">
        <f>CONCATENATE(Inputs!B19,"-I")</f>
        <v>IF-FGT/MKTAREA-I</v>
      </c>
      <c r="L4" s="9" t="str">
        <f>J4</f>
        <v>IF-FGT/MKTAREA</v>
      </c>
      <c r="M4" s="9" t="str">
        <f>L4</f>
        <v>IF-FGT/MKTAREA</v>
      </c>
      <c r="N4" s="29" t="str">
        <f>CONCATENATE(Inputs!E19,"-D")</f>
        <v>IF-FGT/Z2-D</v>
      </c>
      <c r="O4" s="9" t="str">
        <f>Inputs!E19</f>
        <v>IF-FGT/Z2</v>
      </c>
      <c r="P4" s="9" t="str">
        <f>O4</f>
        <v>IF-FGT/Z2</v>
      </c>
      <c r="Q4" s="29" t="str">
        <f>CONCATENATE(Inputs!E19,"-I")</f>
        <v>IF-FGT/Z2-I</v>
      </c>
      <c r="R4" s="9" t="str">
        <f>P4</f>
        <v>IF-FGT/Z2</v>
      </c>
      <c r="S4" s="9" t="str">
        <f>R4</f>
        <v>IF-FGT/Z2</v>
      </c>
      <c r="T4" s="166"/>
      <c r="U4" s="69" t="str">
        <f>M4</f>
        <v>IF-FGT/MKTAREA</v>
      </c>
      <c r="V4" s="110"/>
      <c r="W4" s="29" t="str">
        <f>X4</f>
        <v>IF-FGT/MKT-P2X-P</v>
      </c>
      <c r="X4" s="29" t="str">
        <f>CONCATENATE(Inputs!B20,"-P")</f>
        <v>IF-FGT/MKT-P2X-P</v>
      </c>
      <c r="Y4" s="153" t="str">
        <f>U4</f>
        <v>IF-FGT/MKTAREA</v>
      </c>
      <c r="Z4" s="164"/>
      <c r="AA4" s="69" t="str">
        <f>S4</f>
        <v>IF-FGT/Z2</v>
      </c>
      <c r="AB4" s="110"/>
      <c r="AC4" s="29" t="s">
        <v>96</v>
      </c>
      <c r="AD4" s="29" t="str">
        <f>CONCATENATE(Inputs!E20,"-P")</f>
        <v>VO-P</v>
      </c>
      <c r="AE4" s="153" t="str">
        <f>AA4</f>
        <v>IF-FGT/Z2</v>
      </c>
      <c r="AF4" s="168"/>
      <c r="AG4" s="9" t="str">
        <f>U4</f>
        <v>IF-FGT/MKTAREA</v>
      </c>
      <c r="AH4" s="110"/>
      <c r="AI4" s="9" t="s">
        <v>35</v>
      </c>
      <c r="AJ4" s="9"/>
      <c r="AK4" s="9"/>
      <c r="AL4" s="9"/>
      <c r="AM4" s="9"/>
      <c r="AN4" s="9"/>
      <c r="AO4" s="9"/>
      <c r="AP4" s="103"/>
      <c r="AQ4" s="128" t="s">
        <v>40</v>
      </c>
      <c r="AR4" s="129" t="s">
        <v>32</v>
      </c>
      <c r="AS4" s="130"/>
      <c r="AT4" s="38"/>
      <c r="AU4" s="137"/>
      <c r="AV4" s="138"/>
      <c r="AW4" s="138" t="s">
        <v>19</v>
      </c>
      <c r="AX4" s="139" t="s">
        <v>33</v>
      </c>
      <c r="AY4" s="138"/>
      <c r="AZ4" s="138"/>
      <c r="BA4" s="140"/>
      <c r="BC4" s="59" t="str">
        <f>E4</f>
        <v>NG-P</v>
      </c>
      <c r="BD4" s="59"/>
      <c r="BE4" s="59"/>
      <c r="BF4" s="59" t="str">
        <f>H4</f>
        <v>IF-FGT/MKTAREA-D</v>
      </c>
      <c r="BG4" s="59" t="str">
        <f t="shared" ref="BG4:BH6" si="0">I4</f>
        <v>IF-FGT/MKTAREA</v>
      </c>
      <c r="BH4" s="59" t="str">
        <f t="shared" si="0"/>
        <v>IF-FGT/MKTAREA</v>
      </c>
      <c r="BI4" s="59" t="str">
        <f>K4</f>
        <v>IF-FGT/MKTAREA-I</v>
      </c>
      <c r="BJ4" s="59" t="str">
        <f t="shared" ref="BJ4:BK6" si="1">L4</f>
        <v>IF-FGT/MKTAREA</v>
      </c>
      <c r="BK4" s="59" t="str">
        <f t="shared" si="1"/>
        <v>IF-FGT/MKTAREA</v>
      </c>
      <c r="BL4" s="59" t="str">
        <f>N4</f>
        <v>IF-FGT/Z2-D</v>
      </c>
      <c r="BM4" s="59" t="str">
        <f t="shared" ref="BM4:BQ6" si="2">O4</f>
        <v>IF-FGT/Z2</v>
      </c>
      <c r="BN4" s="59" t="str">
        <f t="shared" si="2"/>
        <v>IF-FGT/Z2</v>
      </c>
      <c r="BO4" s="59" t="str">
        <f t="shared" si="2"/>
        <v>IF-FGT/Z2-I</v>
      </c>
      <c r="BP4" s="59" t="str">
        <f t="shared" si="2"/>
        <v>IF-FGT/Z2</v>
      </c>
      <c r="BQ4" s="59" t="str">
        <f t="shared" si="2"/>
        <v>IF-FGT/Z2</v>
      </c>
      <c r="BR4" s="59" t="str">
        <f>U4</f>
        <v>IF-FGT/MKTAREA</v>
      </c>
      <c r="BS4" s="59" t="str">
        <f>AA4</f>
        <v>IF-FGT/Z2</v>
      </c>
      <c r="BT4" s="59" t="str">
        <f>AI4</f>
        <v xml:space="preserve"> </v>
      </c>
      <c r="BU4" s="59">
        <f>AK4</f>
        <v>0</v>
      </c>
    </row>
    <row r="5" spans="1:75">
      <c r="A5" s="8" t="s">
        <v>20</v>
      </c>
      <c r="B5" s="8" t="s">
        <v>36</v>
      </c>
      <c r="C5" s="8" t="s">
        <v>1</v>
      </c>
      <c r="D5" s="8" t="s">
        <v>1</v>
      </c>
      <c r="E5" s="8" t="s">
        <v>6</v>
      </c>
      <c r="F5" s="8" t="s">
        <v>6</v>
      </c>
      <c r="G5" s="8" t="s">
        <v>6</v>
      </c>
      <c r="H5" s="8" t="s">
        <v>7</v>
      </c>
      <c r="I5" s="8" t="s">
        <v>7</v>
      </c>
      <c r="J5" s="8" t="s">
        <v>7</v>
      </c>
      <c r="K5" s="8" t="s">
        <v>8</v>
      </c>
      <c r="L5" s="8" t="s">
        <v>8</v>
      </c>
      <c r="M5" s="8" t="s">
        <v>8</v>
      </c>
      <c r="N5" s="8" t="s">
        <v>7</v>
      </c>
      <c r="O5" s="8" t="s">
        <v>7</v>
      </c>
      <c r="P5" s="8" t="s">
        <v>8</v>
      </c>
      <c r="Q5" s="8" t="s">
        <v>8</v>
      </c>
      <c r="R5" s="8" t="s">
        <v>8</v>
      </c>
      <c r="S5" s="8" t="s">
        <v>8</v>
      </c>
      <c r="T5" s="166"/>
      <c r="U5" s="70" t="s">
        <v>37</v>
      </c>
      <c r="V5" s="111"/>
      <c r="W5" s="8" t="s">
        <v>69</v>
      </c>
      <c r="X5" s="8" t="s">
        <v>70</v>
      </c>
      <c r="Y5" s="154" t="s">
        <v>39</v>
      </c>
      <c r="Z5" s="164"/>
      <c r="AA5" s="70" t="s">
        <v>37</v>
      </c>
      <c r="AB5" s="111"/>
      <c r="AC5" s="8" t="s">
        <v>69</v>
      </c>
      <c r="AD5" s="8" t="s">
        <v>71</v>
      </c>
      <c r="AE5" s="154" t="s">
        <v>39</v>
      </c>
      <c r="AF5" s="168"/>
      <c r="AG5" s="8" t="str">
        <f>AA4</f>
        <v>IF-FGT/Z2</v>
      </c>
      <c r="AH5" s="111"/>
      <c r="AI5" s="8" t="s">
        <v>32</v>
      </c>
      <c r="AJ5" s="8"/>
      <c r="AK5" s="8" t="s">
        <v>59</v>
      </c>
      <c r="AL5" s="8"/>
      <c r="AM5" s="8" t="s">
        <v>40</v>
      </c>
      <c r="AN5" s="8" t="s">
        <v>40</v>
      </c>
      <c r="AO5" s="8" t="s">
        <v>40</v>
      </c>
      <c r="AP5" s="103"/>
      <c r="AQ5" s="70" t="s">
        <v>47</v>
      </c>
      <c r="AR5" s="124" t="s">
        <v>40</v>
      </c>
      <c r="AS5" s="131" t="s">
        <v>57</v>
      </c>
      <c r="AT5" s="38"/>
      <c r="AU5" s="141" t="s">
        <v>21</v>
      </c>
      <c r="AV5" s="10" t="s">
        <v>3</v>
      </c>
      <c r="AW5" s="10" t="s">
        <v>3</v>
      </c>
      <c r="AX5" s="11" t="s">
        <v>22</v>
      </c>
      <c r="AY5" s="10" t="s">
        <v>3</v>
      </c>
      <c r="AZ5" s="10" t="s">
        <v>23</v>
      </c>
      <c r="BA5" s="142" t="s">
        <v>23</v>
      </c>
      <c r="BC5" s="60" t="str">
        <f>E5</f>
        <v>Nymex</v>
      </c>
      <c r="BD5" s="60" t="str">
        <f>F5</f>
        <v>Nymex</v>
      </c>
      <c r="BE5" s="60" t="str">
        <f>G5</f>
        <v>Nymex</v>
      </c>
      <c r="BF5" s="60" t="str">
        <f>H5</f>
        <v>Basis</v>
      </c>
      <c r="BG5" s="60" t="str">
        <f t="shared" si="0"/>
        <v>Basis</v>
      </c>
      <c r="BH5" s="60" t="str">
        <f t="shared" si="0"/>
        <v>Basis</v>
      </c>
      <c r="BI5" s="60" t="str">
        <f>K5</f>
        <v>Index</v>
      </c>
      <c r="BJ5" s="60" t="str">
        <f t="shared" si="1"/>
        <v>Index</v>
      </c>
      <c r="BK5" s="60" t="str">
        <f t="shared" si="1"/>
        <v>Index</v>
      </c>
      <c r="BL5" s="60" t="str">
        <f>N5</f>
        <v>Basis</v>
      </c>
      <c r="BM5" s="60" t="str">
        <f t="shared" si="2"/>
        <v>Basis</v>
      </c>
      <c r="BN5" s="60" t="str">
        <f t="shared" si="2"/>
        <v>Index</v>
      </c>
      <c r="BO5" s="60" t="str">
        <f t="shared" si="2"/>
        <v>Index</v>
      </c>
      <c r="BP5" s="60" t="str">
        <f t="shared" si="2"/>
        <v>Index</v>
      </c>
      <c r="BQ5" s="60" t="str">
        <f t="shared" si="2"/>
        <v>Index</v>
      </c>
      <c r="BR5" s="60" t="str">
        <f>U5</f>
        <v>Total Price</v>
      </c>
      <c r="BS5" s="60" t="str">
        <f>AA5</f>
        <v>Total Price</v>
      </c>
      <c r="BT5" s="60" t="str">
        <f>AI5</f>
        <v>Total</v>
      </c>
      <c r="BU5" s="60" t="str">
        <f>AK5</f>
        <v>Intrinsic</v>
      </c>
    </row>
    <row r="6" spans="1:75">
      <c r="A6" s="12" t="s">
        <v>24</v>
      </c>
      <c r="B6" s="13" t="s">
        <v>30</v>
      </c>
      <c r="C6" s="13" t="s">
        <v>12</v>
      </c>
      <c r="D6" s="13" t="s">
        <v>12</v>
      </c>
      <c r="E6" s="12" t="s">
        <v>0</v>
      </c>
      <c r="F6" s="12" t="s">
        <v>60</v>
      </c>
      <c r="G6" s="12" t="s">
        <v>25</v>
      </c>
      <c r="H6" s="12" t="s">
        <v>0</v>
      </c>
      <c r="I6" s="12" t="s">
        <v>41</v>
      </c>
      <c r="J6" s="12" t="s">
        <v>25</v>
      </c>
      <c r="K6" s="12" t="s">
        <v>0</v>
      </c>
      <c r="L6" s="12" t="s">
        <v>41</v>
      </c>
      <c r="M6" s="12" t="s">
        <v>25</v>
      </c>
      <c r="N6" s="12" t="s">
        <v>0</v>
      </c>
      <c r="O6" s="12" t="s">
        <v>95</v>
      </c>
      <c r="P6" s="12" t="s">
        <v>25</v>
      </c>
      <c r="Q6" s="12" t="s">
        <v>0</v>
      </c>
      <c r="R6" s="12" t="str">
        <f>O6</f>
        <v>Bid</v>
      </c>
      <c r="S6" s="12" t="s">
        <v>25</v>
      </c>
      <c r="T6" s="166"/>
      <c r="U6" s="71" t="s">
        <v>25</v>
      </c>
      <c r="V6" s="112"/>
      <c r="W6" s="12" t="s">
        <v>0</v>
      </c>
      <c r="X6" s="12" t="s">
        <v>0</v>
      </c>
      <c r="Y6" s="155" t="s">
        <v>38</v>
      </c>
      <c r="Z6" s="164"/>
      <c r="AA6" s="71" t="s">
        <v>25</v>
      </c>
      <c r="AB6" s="112"/>
      <c r="AC6" s="12" t="s">
        <v>0</v>
      </c>
      <c r="AD6" s="12" t="s">
        <v>0</v>
      </c>
      <c r="AE6" s="155" t="s">
        <v>38</v>
      </c>
      <c r="AF6" s="168"/>
      <c r="AG6" s="12" t="s">
        <v>42</v>
      </c>
      <c r="AH6" s="112"/>
      <c r="AI6" s="12" t="s">
        <v>43</v>
      </c>
      <c r="AJ6" s="12"/>
      <c r="AK6" s="12" t="s">
        <v>5</v>
      </c>
      <c r="AL6" s="12"/>
      <c r="AM6" s="12" t="s">
        <v>44</v>
      </c>
      <c r="AN6" s="12" t="s">
        <v>45</v>
      </c>
      <c r="AO6" s="12" t="s">
        <v>46</v>
      </c>
      <c r="AP6" s="103"/>
      <c r="AQ6" s="71" t="s">
        <v>76</v>
      </c>
      <c r="AR6" s="125" t="s">
        <v>47</v>
      </c>
      <c r="AS6" s="132" t="s">
        <v>5</v>
      </c>
      <c r="AT6" s="38"/>
      <c r="AU6" s="143" t="s">
        <v>26</v>
      </c>
      <c r="AV6" s="14" t="s">
        <v>9</v>
      </c>
      <c r="AW6" s="14" t="s">
        <v>26</v>
      </c>
      <c r="AX6" s="15" t="s">
        <v>27</v>
      </c>
      <c r="AY6" s="14" t="s">
        <v>4</v>
      </c>
      <c r="AZ6" s="14" t="s">
        <v>28</v>
      </c>
      <c r="BA6" s="144" t="s">
        <v>26</v>
      </c>
      <c r="BC6" s="61" t="str">
        <f>E6</f>
        <v>Mid</v>
      </c>
      <c r="BD6" s="61" t="str">
        <f>F6</f>
        <v>Bid/Offer</v>
      </c>
      <c r="BE6" s="61" t="str">
        <f>G6</f>
        <v>Contract</v>
      </c>
      <c r="BF6" s="61" t="str">
        <f>H6</f>
        <v>Mid</v>
      </c>
      <c r="BG6" s="61" t="str">
        <f t="shared" si="0"/>
        <v>Offer</v>
      </c>
      <c r="BH6" s="61" t="str">
        <f t="shared" si="0"/>
        <v>Contract</v>
      </c>
      <c r="BI6" s="61" t="str">
        <f>K6</f>
        <v>Mid</v>
      </c>
      <c r="BJ6" s="61" t="str">
        <f t="shared" si="1"/>
        <v>Offer</v>
      </c>
      <c r="BK6" s="61" t="str">
        <f t="shared" si="1"/>
        <v>Contract</v>
      </c>
      <c r="BL6" s="61" t="str">
        <f>N6</f>
        <v>Mid</v>
      </c>
      <c r="BM6" s="61" t="str">
        <f t="shared" si="2"/>
        <v>Bid</v>
      </c>
      <c r="BN6" s="61" t="str">
        <f t="shared" si="2"/>
        <v>Contract</v>
      </c>
      <c r="BO6" s="61" t="str">
        <f t="shared" si="2"/>
        <v>Mid</v>
      </c>
      <c r="BP6" s="61" t="str">
        <f t="shared" si="2"/>
        <v>Bid</v>
      </c>
      <c r="BQ6" s="61" t="str">
        <f t="shared" si="2"/>
        <v>Contract</v>
      </c>
      <c r="BR6" s="61" t="str">
        <f>U6</f>
        <v>Contract</v>
      </c>
      <c r="BS6" s="61" t="str">
        <f>AA6</f>
        <v>Contract</v>
      </c>
      <c r="BT6" s="61" t="str">
        <f>AI6</f>
        <v>Strike</v>
      </c>
      <c r="BU6" s="61" t="str">
        <f>AK6</f>
        <v>Value</v>
      </c>
    </row>
    <row r="7" spans="1:75">
      <c r="A7" s="16"/>
      <c r="B7" s="16"/>
      <c r="T7" s="166"/>
      <c r="U7" s="67"/>
      <c r="V7" s="2"/>
      <c r="W7" s="2"/>
      <c r="X7" s="2"/>
      <c r="Y7" s="68"/>
      <c r="Z7" s="164"/>
      <c r="AA7" s="67"/>
      <c r="AB7" s="2"/>
      <c r="AC7" s="2"/>
      <c r="AD7" s="2"/>
      <c r="AE7" s="68"/>
      <c r="AF7" s="168"/>
      <c r="AG7" s="1"/>
      <c r="AH7" s="1"/>
      <c r="AI7" s="1"/>
      <c r="AJ7" s="39"/>
      <c r="AK7" s="1"/>
      <c r="AL7" s="39"/>
      <c r="AP7" s="103"/>
      <c r="AQ7" s="67"/>
      <c r="AR7" s="41"/>
      <c r="AS7" s="72"/>
      <c r="AU7" s="5"/>
      <c r="AV7" s="41"/>
      <c r="AW7" s="145"/>
      <c r="AX7" s="41"/>
      <c r="AY7" s="41"/>
      <c r="AZ7" s="41"/>
      <c r="BA7" s="72"/>
    </row>
    <row r="8" spans="1:75">
      <c r="A8" s="113" t="s">
        <v>29</v>
      </c>
      <c r="B8" s="114"/>
      <c r="C8" s="114">
        <f>SUM(C10:C4910)</f>
        <v>182600000</v>
      </c>
      <c r="D8" s="114">
        <f ca="1">SUM(D10:D4910)</f>
        <v>125530392.22636978</v>
      </c>
      <c r="E8" s="115">
        <f t="shared" ref="E8:S8" ca="1" si="3">BC8/$D$8</f>
        <v>4.0936221255118586</v>
      </c>
      <c r="F8" s="115">
        <f t="shared" ca="1" si="3"/>
        <v>4.1486221255118592</v>
      </c>
      <c r="G8" s="115">
        <f t="shared" ca="1" si="3"/>
        <v>4.1486221255118592</v>
      </c>
      <c r="H8" s="115">
        <f t="shared" ca="1" si="3"/>
        <v>0.49798783201976299</v>
      </c>
      <c r="I8" s="115">
        <f t="shared" ca="1" si="3"/>
        <v>0.49798783201976299</v>
      </c>
      <c r="J8" s="115">
        <f t="shared" ca="1" si="3"/>
        <v>0.49798783201976299</v>
      </c>
      <c r="K8" s="115">
        <f t="shared" ca="1" si="3"/>
        <v>0</v>
      </c>
      <c r="L8" s="115">
        <f t="shared" ca="1" si="3"/>
        <v>0</v>
      </c>
      <c r="M8" s="115">
        <f t="shared" ca="1" si="3"/>
        <v>0</v>
      </c>
      <c r="N8" s="115">
        <f t="shared" ca="1" si="3"/>
        <v>1.0734523691685682E-2</v>
      </c>
      <c r="O8" s="115">
        <f t="shared" ca="1" si="3"/>
        <v>1.0734523691685682E-2</v>
      </c>
      <c r="P8" s="115">
        <f t="shared" ca="1" si="3"/>
        <v>1.0734523691685682E-2</v>
      </c>
      <c r="Q8" s="115">
        <f t="shared" ca="1" si="3"/>
        <v>8.5157339405311158E-3</v>
      </c>
      <c r="R8" s="115">
        <f t="shared" ca="1" si="3"/>
        <v>0</v>
      </c>
      <c r="S8" s="115">
        <f t="shared" ca="1" si="3"/>
        <v>0</v>
      </c>
      <c r="T8" s="167"/>
      <c r="U8" s="133">
        <f ca="1">BR8/D8</f>
        <v>4.6466099575316226</v>
      </c>
      <c r="V8" s="113"/>
      <c r="W8" s="116"/>
      <c r="X8" s="117"/>
      <c r="Y8" s="156"/>
      <c r="Z8" s="165"/>
      <c r="AA8" s="133">
        <f ca="1">BS8/D8</f>
        <v>4.1593566492035468</v>
      </c>
      <c r="AB8" s="113"/>
      <c r="AC8" s="116"/>
      <c r="AD8" s="117"/>
      <c r="AE8" s="156"/>
      <c r="AF8" s="169"/>
      <c r="AG8" s="115"/>
      <c r="AH8" s="113"/>
      <c r="AI8" s="115">
        <f ca="1">BT8/$D$8</f>
        <v>6.0000000000000019E-2</v>
      </c>
      <c r="AJ8" s="115"/>
      <c r="AK8" s="115">
        <f ca="1">BU8/D8</f>
        <v>0.42725330832807712</v>
      </c>
      <c r="AL8" s="115"/>
      <c r="AM8" s="115"/>
      <c r="AN8" s="115"/>
      <c r="AO8" s="115"/>
      <c r="AP8" s="126"/>
      <c r="AQ8" s="133">
        <f ca="1">AR8/C8</f>
        <v>0.82418890002992107</v>
      </c>
      <c r="AR8" s="118">
        <f ca="1">SUM(AR10:AR281)</f>
        <v>150496893.14546359</v>
      </c>
      <c r="AS8" s="134">
        <f ca="1">SUM(AS10:AS280)</f>
        <v>84.306218657170518</v>
      </c>
      <c r="AT8" s="127"/>
      <c r="AU8" s="146"/>
      <c r="AV8" s="120"/>
      <c r="AW8" s="120"/>
      <c r="AX8" s="121"/>
      <c r="AY8" s="122"/>
      <c r="AZ8" s="119">
        <f>SUM(AZ10:AZ4910)</f>
        <v>120</v>
      </c>
      <c r="BA8" s="147">
        <f>SUM(BA10:BA4910)</f>
        <v>3652</v>
      </c>
      <c r="BB8" s="113"/>
      <c r="BC8" s="123">
        <f ca="1">SUM(BC10:BC4910)</f>
        <v>513873991.04204917</v>
      </c>
      <c r="BD8" s="123">
        <f t="shared" ref="BD8:BU8" ca="1" si="4">SUM(BD10:BD4910)</f>
        <v>520778162.61449957</v>
      </c>
      <c r="BE8" s="123">
        <f t="shared" ca="1" si="4"/>
        <v>520778162.61449957</v>
      </c>
      <c r="BF8" s="123">
        <f t="shared" ca="1" si="4"/>
        <v>62512607.877400398</v>
      </c>
      <c r="BG8" s="123">
        <f t="shared" ca="1" si="4"/>
        <v>62512607.877400398</v>
      </c>
      <c r="BH8" s="123">
        <f t="shared" ca="1" si="4"/>
        <v>62512607.877400398</v>
      </c>
      <c r="BI8" s="123">
        <f t="shared" ca="1" si="4"/>
        <v>0</v>
      </c>
      <c r="BJ8" s="123">
        <f t="shared" ca="1" si="4"/>
        <v>0</v>
      </c>
      <c r="BK8" s="123">
        <f t="shared" ca="1" si="4"/>
        <v>0</v>
      </c>
      <c r="BL8" s="123">
        <f t="shared" ca="1" si="4"/>
        <v>1347508.9693805627</v>
      </c>
      <c r="BM8" s="123">
        <f t="shared" ca="1" si="4"/>
        <v>1347508.9693805627</v>
      </c>
      <c r="BN8" s="123">
        <f t="shared" ca="1" si="4"/>
        <v>1347508.9693805627</v>
      </c>
      <c r="BO8" s="123">
        <f t="shared" ca="1" si="4"/>
        <v>1068983.4216502805</v>
      </c>
      <c r="BP8" s="123">
        <f t="shared" ca="1" si="4"/>
        <v>0</v>
      </c>
      <c r="BQ8" s="123">
        <f t="shared" ca="1" si="4"/>
        <v>0</v>
      </c>
      <c r="BR8" s="123">
        <f t="shared" ca="1" si="4"/>
        <v>583290770.49190009</v>
      </c>
      <c r="BS8" s="123">
        <f t="shared" ca="1" si="4"/>
        <v>522125671.58388036</v>
      </c>
      <c r="BT8" s="123">
        <f t="shared" ca="1" si="4"/>
        <v>7531823.5335821891</v>
      </c>
      <c r="BU8" s="123">
        <f t="shared" ca="1" si="4"/>
        <v>53633275.374437623</v>
      </c>
    </row>
    <row r="9" spans="1:75">
      <c r="B9" s="20"/>
      <c r="C9" s="20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1"/>
      <c r="U9" s="73"/>
      <c r="V9" s="2"/>
      <c r="W9" s="157"/>
      <c r="X9" s="177">
        <v>5.0000000000000001E-3</v>
      </c>
      <c r="Y9" s="158"/>
      <c r="Z9" s="1"/>
      <c r="AA9" s="73"/>
      <c r="AB9" s="2"/>
      <c r="AC9" s="157"/>
      <c r="AD9" s="177">
        <v>5.0000000000000001E-3</v>
      </c>
      <c r="AE9" s="158"/>
      <c r="AF9" s="1"/>
      <c r="AG9" s="21"/>
      <c r="AH9" s="1"/>
      <c r="AI9" s="18"/>
      <c r="AJ9" s="40"/>
      <c r="AK9" s="18"/>
      <c r="AL9" s="40"/>
      <c r="AM9" s="21"/>
      <c r="AN9" s="21"/>
      <c r="AO9" s="21"/>
      <c r="AQ9" s="73"/>
      <c r="AR9" s="41"/>
      <c r="AS9" s="72"/>
      <c r="AU9" s="5"/>
      <c r="AV9" s="41"/>
      <c r="AW9" s="41"/>
      <c r="AX9" s="41"/>
      <c r="AY9" s="101"/>
      <c r="AZ9" s="41"/>
      <c r="BA9" s="72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W9" s="32"/>
    </row>
    <row r="10" spans="1:75">
      <c r="A10" s="42">
        <f>mthbeg</f>
        <v>38139</v>
      </c>
      <c r="B10" s="30">
        <f>Inputs!$B$8</f>
        <v>50000</v>
      </c>
      <c r="C10" s="17">
        <f t="shared" ref="C10:C73" si="5">IF(AZ10=0,0,IF(AND(AZ10=1,$H$3=1),B10*AU10,IF($H$3=2,B10,"N/A")))</f>
        <v>1500000</v>
      </c>
      <c r="D10" s="17">
        <f t="shared" ref="D10:D73" ca="1" si="6">C10*AY10</f>
        <v>1363957.3554280102</v>
      </c>
      <c r="E10" s="25">
        <f>VLOOKUP($A10,[1]!CurveTable,MATCH($E$4,[1]!CurveType,0))</f>
        <v>3.5</v>
      </c>
      <c r="F10" s="31">
        <f>E10-Inputs!$B$16</f>
        <v>3.5550000000000002</v>
      </c>
      <c r="G10" s="43">
        <f t="shared" ref="G10:G29" si="7">F10</f>
        <v>3.5550000000000002</v>
      </c>
      <c r="H10" s="25">
        <f>VLOOKUP($A10,[1]!CurveTable,MATCH($H$4,[1]!CurveType,0))</f>
        <v>0.8</v>
      </c>
      <c r="I10" s="31">
        <f>H10+Inputs!$B$22</f>
        <v>0.8</v>
      </c>
      <c r="J10" s="44">
        <f t="shared" ref="J10:J29" si="8">I10</f>
        <v>0.8</v>
      </c>
      <c r="K10" s="25">
        <f>VLOOKUP($A10,[1]!CurveTable,MATCH($K$4,[1]!CurveType,0))</f>
        <v>0</v>
      </c>
      <c r="L10" s="31">
        <v>0</v>
      </c>
      <c r="M10" s="45">
        <f t="shared" ref="M10:M29" si="9">L10</f>
        <v>0</v>
      </c>
      <c r="N10" s="25">
        <f>VLOOKUP($A10,[1]!CurveTable,MATCH($N$4,[1]!CurveType,0))</f>
        <v>1.15E-2</v>
      </c>
      <c r="O10" s="31">
        <f>N10+Inputs!$E$22</f>
        <v>1.15E-2</v>
      </c>
      <c r="P10" s="45">
        <f t="shared" ref="P10:P29" si="10">O10</f>
        <v>1.15E-2</v>
      </c>
      <c r="Q10" s="25">
        <f>VLOOKUP($A10,[1]!CurveTable,MATCH($Q$4,[1]!CurveType,0))</f>
        <v>5.0000000000000001E-3</v>
      </c>
      <c r="R10" s="31">
        <v>0</v>
      </c>
      <c r="S10" s="45">
        <f t="shared" ref="S10:S29" si="11">R10</f>
        <v>0</v>
      </c>
      <c r="T10" s="4"/>
      <c r="U10" s="159">
        <f>G10+J10</f>
        <v>4.3550000000000004</v>
      </c>
      <c r="V10" s="160"/>
      <c r="W10" s="100">
        <f>VLOOKUP($A10,[1]!CurveTable,MATCH($W$4,[1]!CurveType,0))+$W$9</f>
        <v>0.60499999999999998</v>
      </c>
      <c r="X10" s="100">
        <f>VLOOKUP($A10,[1]!CurveTable,MATCH($X$4,[1]!CurveType,0))+$X$9</f>
        <v>0.61</v>
      </c>
      <c r="Y10" s="158">
        <f t="shared" ref="Y10:Y73" ca="1" si="12">SQRT((X10^2*($A10-$C$3)+W10^2*(DAY(EOMONTH(A10,0))/2))/$AN10)</f>
        <v>0.62540750391393607</v>
      </c>
      <c r="Z10" s="4"/>
      <c r="AA10" s="159">
        <f>G10+P10+S10</f>
        <v>3.5665</v>
      </c>
      <c r="AB10" s="160"/>
      <c r="AC10" s="100">
        <f>VLOOKUP($A10,[1]!CurveTable,MATCH($AC$4,[1]!CurveType,0))+$AC$9</f>
        <v>0.30249999999999999</v>
      </c>
      <c r="AD10" s="100">
        <f>VLOOKUP($A10,[1]!CurveTable,MATCH($AD$4,[1]!CurveType,0))+$AD$9</f>
        <v>0.3075</v>
      </c>
      <c r="AE10" s="158">
        <f t="shared" ref="AE10:AE73" ca="1" si="13">SQRT((AD10^2*($A10-$C$3)+AC10^2*(DAY(EOMONTH(A10,0))/2))/$AN10)</f>
        <v>0.31522769071140821</v>
      </c>
      <c r="AF10" s="4"/>
      <c r="AG10" s="52">
        <f ca="1">((Inputs!$F$20*(X10*AD10)*(A10-$C$3))+(Inputs!$F$19*W10*AC10*(DAY(EOMONTH(A10,0))/2)))/(AN10*Y10*AE10)</f>
        <v>0.74999962508117224</v>
      </c>
      <c r="AH10" s="4"/>
      <c r="AI10" s="18">
        <f>Inputs!$B$15</f>
        <v>0.06</v>
      </c>
      <c r="AJ10" s="46"/>
      <c r="AK10" s="18">
        <f t="shared" ref="AK10:AK73" si="14">IF((U10-AA10-AI10)&lt;0,0,(U10-AA10-AI10))</f>
        <v>0.72850000000000037</v>
      </c>
      <c r="AL10" s="46"/>
      <c r="AM10" s="62">
        <f t="shared" ref="AM10:AM73" si="15">WORKDAY(EOMONTH(A10-1,-1),0)</f>
        <v>38107</v>
      </c>
      <c r="AN10" s="63">
        <f t="shared" ref="AN10:AN73" ca="1" si="16">AM10-$C$3</f>
        <v>914</v>
      </c>
      <c r="AO10" s="63">
        <v>1</v>
      </c>
      <c r="AP10" s="19"/>
      <c r="AQ10" s="74">
        <f ca="1">_xll.SPRDOPT(U10,AA10,AI10,AX10,X10,AD10,AG10,AN10,AO10,0)</f>
        <v>1.3402701041634442</v>
      </c>
      <c r="AR10" s="47">
        <f ca="1">AQ10*C10</f>
        <v>2010405.1562451662</v>
      </c>
      <c r="AS10" s="135">
        <f ca="1">AQ10-AK10</f>
        <v>0.6117701041634438</v>
      </c>
      <c r="AU10" s="5">
        <f t="shared" ref="AU10:AU15" si="17">A11-A10</f>
        <v>30</v>
      </c>
      <c r="AV10" s="148">
        <f t="shared" ref="AV10:AV73" si="18">CHOOSE(F$3,A11+24,A10+14)</f>
        <v>38153</v>
      </c>
      <c r="AW10" s="41">
        <f t="shared" ref="AW10:AW73" ca="1" si="19">AV10-C$3</f>
        <v>960</v>
      </c>
      <c r="AX10" s="100">
        <f>VLOOKUP($A10,[1]!CurveTable,MATCH(AX$4,[1]!CurveType,0))</f>
        <v>3.6502097968167398E-2</v>
      </c>
      <c r="AY10" s="149">
        <f ca="1">1/(1+CHOOSE(F$3,(AX11+(Inputs!$B$14/10000))/2,(AX10+(Inputs!$B$14/10000))/2))^(2*AW10/365.25)</f>
        <v>0.90930490361867355</v>
      </c>
      <c r="AZ10" s="41">
        <f t="shared" ref="AZ10:AZ15" si="20">IF(AND(mthbeg&lt;=A10,mthend&gt;=A10),1,0)</f>
        <v>1</v>
      </c>
      <c r="BA10" s="72">
        <f t="shared" ref="BA10:BA15" si="21">AU10*AZ10</f>
        <v>30</v>
      </c>
      <c r="BC10" s="65">
        <f t="shared" ref="BC10:BQ10" ca="1" si="22">E10*$D10</f>
        <v>4773850.7439980358</v>
      </c>
      <c r="BD10" s="65">
        <f t="shared" ca="1" si="22"/>
        <v>4848868.3985465765</v>
      </c>
      <c r="BE10" s="65">
        <f t="shared" ca="1" si="22"/>
        <v>4848868.3985465765</v>
      </c>
      <c r="BF10" s="65">
        <f t="shared" ca="1" si="22"/>
        <v>1091165.8843424083</v>
      </c>
      <c r="BG10" s="65">
        <f t="shared" ca="1" si="22"/>
        <v>1091165.8843424083</v>
      </c>
      <c r="BH10" s="65">
        <f t="shared" ca="1" si="22"/>
        <v>1091165.8843424083</v>
      </c>
      <c r="BI10" s="65">
        <f t="shared" ca="1" si="22"/>
        <v>0</v>
      </c>
      <c r="BJ10" s="65">
        <f t="shared" ca="1" si="22"/>
        <v>0</v>
      </c>
      <c r="BK10" s="65">
        <f t="shared" ca="1" si="22"/>
        <v>0</v>
      </c>
      <c r="BL10" s="65">
        <f t="shared" ca="1" si="22"/>
        <v>15685.509587422117</v>
      </c>
      <c r="BM10" s="65">
        <f t="shared" ca="1" si="22"/>
        <v>15685.509587422117</v>
      </c>
      <c r="BN10" s="65">
        <f t="shared" ca="1" si="22"/>
        <v>15685.509587422117</v>
      </c>
      <c r="BO10" s="65">
        <f t="shared" ca="1" si="22"/>
        <v>6819.7867771400515</v>
      </c>
      <c r="BP10" s="65">
        <f t="shared" ca="1" si="22"/>
        <v>0</v>
      </c>
      <c r="BQ10" s="65">
        <f t="shared" ca="1" si="22"/>
        <v>0</v>
      </c>
      <c r="BR10" s="65">
        <f ca="1">U10*$D10</f>
        <v>5940034.2828889852</v>
      </c>
      <c r="BS10" s="65">
        <f ca="1">AA10*$D10</f>
        <v>4864553.9081339985</v>
      </c>
      <c r="BT10" s="65">
        <f ca="1">AI10*$D10</f>
        <v>81837.441325680615</v>
      </c>
      <c r="BU10" s="65">
        <f t="shared" ref="BU10:BU73" ca="1" si="23">AK10*D10</f>
        <v>993642.93342930591</v>
      </c>
    </row>
    <row r="11" spans="1:75">
      <c r="A11" s="42">
        <f t="shared" ref="A11:A74" si="24">EDATE(A10,1)</f>
        <v>38169</v>
      </c>
      <c r="B11" s="30">
        <f>Inputs!$B$8</f>
        <v>50000</v>
      </c>
      <c r="C11" s="17">
        <f t="shared" si="5"/>
        <v>1550000</v>
      </c>
      <c r="D11" s="17">
        <f t="shared" ca="1" si="6"/>
        <v>1403408.3785110172</v>
      </c>
      <c r="E11" s="25">
        <f>VLOOKUP($A11,[1]!CurveTable,MATCH($E$4,[1]!CurveType,0))</f>
        <v>3.5449999999999999</v>
      </c>
      <c r="F11" s="31">
        <f>E11-Inputs!$B$16</f>
        <v>3.6</v>
      </c>
      <c r="G11" s="43">
        <f t="shared" si="7"/>
        <v>3.6</v>
      </c>
      <c r="H11" s="25">
        <f>VLOOKUP($A11,[1]!CurveTable,MATCH($H$4,[1]!CurveType,0))</f>
        <v>1</v>
      </c>
      <c r="I11" s="31">
        <f>H11+Inputs!$B$22</f>
        <v>1</v>
      </c>
      <c r="J11" s="44">
        <f t="shared" si="8"/>
        <v>1</v>
      </c>
      <c r="K11" s="25">
        <f>VLOOKUP($A11,[1]!CurveTable,MATCH($K$4,[1]!CurveType,0))</f>
        <v>0</v>
      </c>
      <c r="L11" s="31">
        <v>0</v>
      </c>
      <c r="M11" s="45">
        <f t="shared" si="9"/>
        <v>0</v>
      </c>
      <c r="N11" s="25">
        <f>VLOOKUP($A11,[1]!CurveTable,MATCH($N$4,[1]!CurveType,0))</f>
        <v>9.0000000000000011E-3</v>
      </c>
      <c r="O11" s="31">
        <f>N11+Inputs!$E$22</f>
        <v>9.0000000000000011E-3</v>
      </c>
      <c r="P11" s="45">
        <f t="shared" si="10"/>
        <v>9.0000000000000011E-3</v>
      </c>
      <c r="Q11" s="25">
        <f>VLOOKUP($A11,[1]!CurveTable,MATCH($Q$4,[1]!CurveType,0))</f>
        <v>5.0000000000000001E-3</v>
      </c>
      <c r="R11" s="31">
        <v>0</v>
      </c>
      <c r="S11" s="45">
        <f t="shared" si="11"/>
        <v>0</v>
      </c>
      <c r="T11" s="4"/>
      <c r="U11" s="159">
        <f t="shared" ref="U11:U74" si="25">G11+J11</f>
        <v>4.5999999999999996</v>
      </c>
      <c r="V11" s="160"/>
      <c r="W11" s="100">
        <f>VLOOKUP($A11,[1]!CurveTable,MATCH($W$4,[1]!CurveType,0))+$W$9</f>
        <v>0.60499999999999998</v>
      </c>
      <c r="X11" s="100">
        <f>VLOOKUP($A11,[1]!CurveTable,MATCH($X$4,[1]!CurveType,0))+$X$9</f>
        <v>0.61</v>
      </c>
      <c r="Y11" s="158">
        <f t="shared" ca="1" si="12"/>
        <v>0.6247479809351445</v>
      </c>
      <c r="Z11" s="4"/>
      <c r="AA11" s="159">
        <f t="shared" ref="AA11:AA74" si="26">G11+P11+S11</f>
        <v>3.609</v>
      </c>
      <c r="AB11" s="160"/>
      <c r="AC11" s="100">
        <f>VLOOKUP($A11,[1]!CurveTable,MATCH($AC$4,[1]!CurveType,0))+$AC$9</f>
        <v>0.30249999999999999</v>
      </c>
      <c r="AD11" s="100">
        <f>VLOOKUP($A11,[1]!CurveTable,MATCH($AD$4,[1]!CurveType,0))+$AD$9</f>
        <v>0.3075</v>
      </c>
      <c r="AE11" s="158">
        <f t="shared" ca="1" si="13"/>
        <v>0.31489520701674134</v>
      </c>
      <c r="AF11" s="4"/>
      <c r="AG11" s="52">
        <f ca="1">((Inputs!$F$20*(X11*AD11)*(A11-$C$3))+(Inputs!$F$19*W11*AC11*(DAY(EOMONTH(A11,0))/2)))/(AN11*Y11*AE11)</f>
        <v>0.74999962451013535</v>
      </c>
      <c r="AH11" s="4"/>
      <c r="AI11" s="18">
        <f>Inputs!$B$15</f>
        <v>0.06</v>
      </c>
      <c r="AJ11" s="46"/>
      <c r="AK11" s="18">
        <f t="shared" si="14"/>
        <v>0.93099999999999961</v>
      </c>
      <c r="AL11" s="46"/>
      <c r="AM11" s="62">
        <f t="shared" si="15"/>
        <v>38138</v>
      </c>
      <c r="AN11" s="63">
        <f t="shared" ca="1" si="16"/>
        <v>945</v>
      </c>
      <c r="AO11" s="63">
        <f>AO10</f>
        <v>1</v>
      </c>
      <c r="AP11" s="19"/>
      <c r="AQ11" s="74">
        <f ca="1">_xll.SPRDOPT(U11,AA11,AI11,AX11,X11,AD11,AG11,AN11,AO11,0)</f>
        <v>1.4956432608566088</v>
      </c>
      <c r="AR11" s="47">
        <f t="shared" ref="AR11:AR74" ca="1" si="27">AQ11*C11</f>
        <v>2318247.0543277436</v>
      </c>
      <c r="AS11" s="135">
        <f t="shared" ref="AS11:AS74" ca="1" si="28">AQ11-AK11</f>
        <v>0.56464326085660921</v>
      </c>
      <c r="AU11" s="5">
        <f t="shared" si="17"/>
        <v>31</v>
      </c>
      <c r="AV11" s="148">
        <f t="shared" si="18"/>
        <v>38183</v>
      </c>
      <c r="AW11" s="41">
        <f t="shared" ca="1" si="19"/>
        <v>990</v>
      </c>
      <c r="AX11" s="100">
        <f>VLOOKUP($A11,[1]!CurveTable,MATCH(AX$4,[1]!CurveType,0))</f>
        <v>3.69924836168933E-2</v>
      </c>
      <c r="AY11" s="149">
        <f ca="1">1/(1+CHOOSE(F$3,(AX12+(Inputs!$B$14/10000))/2,(AX11+(Inputs!$B$14/10000))/2))^(2*AW11/365.25)</f>
        <v>0.90542476032968844</v>
      </c>
      <c r="AZ11" s="41">
        <f t="shared" si="20"/>
        <v>1</v>
      </c>
      <c r="BA11" s="72">
        <f t="shared" si="21"/>
        <v>31</v>
      </c>
      <c r="BC11" s="65">
        <f t="shared" ref="BC11:BC74" ca="1" si="29">E11*$D11</f>
        <v>4975082.7018215554</v>
      </c>
      <c r="BD11" s="65">
        <f t="shared" ref="BD11:BD74" ca="1" si="30">F11*$D11</f>
        <v>5052270.1626396617</v>
      </c>
      <c r="BE11" s="65">
        <f t="shared" ref="BE11:BE74" ca="1" si="31">G11*$D11</f>
        <v>5052270.1626396617</v>
      </c>
      <c r="BF11" s="65">
        <f t="shared" ref="BF11:BF74" ca="1" si="32">H11*$D11</f>
        <v>1403408.3785110172</v>
      </c>
      <c r="BG11" s="65">
        <f t="shared" ref="BG11:BG74" ca="1" si="33">I11*$D11</f>
        <v>1403408.3785110172</v>
      </c>
      <c r="BH11" s="65">
        <f t="shared" ref="BH11:BH74" ca="1" si="34">J11*$D11</f>
        <v>1403408.3785110172</v>
      </c>
      <c r="BI11" s="65">
        <f t="shared" ref="BI11:BI74" ca="1" si="35">K11*$D11</f>
        <v>0</v>
      </c>
      <c r="BJ11" s="65">
        <f t="shared" ref="BJ11:BJ74" ca="1" si="36">L11*$D11</f>
        <v>0</v>
      </c>
      <c r="BK11" s="65">
        <f t="shared" ref="BK11:BK74" ca="1" si="37">M11*$D11</f>
        <v>0</v>
      </c>
      <c r="BL11" s="65">
        <f t="shared" ref="BL11:BL74" ca="1" si="38">N11*$D11</f>
        <v>12630.675406599155</v>
      </c>
      <c r="BM11" s="65">
        <f t="shared" ref="BM11:BM74" ca="1" si="39">O11*$D11</f>
        <v>12630.675406599155</v>
      </c>
      <c r="BN11" s="65">
        <f t="shared" ref="BN11:BN74" ca="1" si="40">P11*$D11</f>
        <v>12630.675406599155</v>
      </c>
      <c r="BO11" s="65">
        <f t="shared" ref="BO11:BO74" ca="1" si="41">Q11*$D11</f>
        <v>7017.0418925550857</v>
      </c>
      <c r="BP11" s="65">
        <f t="shared" ref="BP11:BP74" ca="1" si="42">R11*$D11</f>
        <v>0</v>
      </c>
      <c r="BQ11" s="65">
        <f t="shared" ref="BQ11:BQ74" ca="1" si="43">S11*$D11</f>
        <v>0</v>
      </c>
      <c r="BR11" s="65">
        <f t="shared" ref="BR11:BR74" ca="1" si="44">U11*$D11</f>
        <v>6455678.5411506789</v>
      </c>
      <c r="BS11" s="65">
        <f t="shared" ref="BS11:BS74" ca="1" si="45">AA11*$D11</f>
        <v>5064900.8380462611</v>
      </c>
      <c r="BT11" s="65">
        <f t="shared" ref="BT11:BT74" ca="1" si="46">AI11*$D11</f>
        <v>84204.502710661021</v>
      </c>
      <c r="BU11" s="65">
        <f t="shared" ca="1" si="23"/>
        <v>1306573.2003937564</v>
      </c>
    </row>
    <row r="12" spans="1:75">
      <c r="A12" s="42">
        <f t="shared" si="24"/>
        <v>38200</v>
      </c>
      <c r="B12" s="30">
        <f>Inputs!$B$8</f>
        <v>50000</v>
      </c>
      <c r="C12" s="17">
        <f t="shared" si="5"/>
        <v>1550000</v>
      </c>
      <c r="D12" s="17">
        <f t="shared" ca="1" si="6"/>
        <v>1397184.2587727506</v>
      </c>
      <c r="E12" s="25">
        <f>VLOOKUP($A12,[1]!CurveTable,MATCH($E$4,[1]!CurveType,0))</f>
        <v>3.5830000000000002</v>
      </c>
      <c r="F12" s="31">
        <f>E12-Inputs!$B$16</f>
        <v>3.6380000000000003</v>
      </c>
      <c r="G12" s="43">
        <f t="shared" si="7"/>
        <v>3.6380000000000003</v>
      </c>
      <c r="H12" s="25">
        <f>VLOOKUP($A12,[1]!CurveTable,MATCH($H$4,[1]!CurveType,0))</f>
        <v>1</v>
      </c>
      <c r="I12" s="31">
        <f>H12+Inputs!$B$22</f>
        <v>1</v>
      </c>
      <c r="J12" s="44">
        <f t="shared" si="8"/>
        <v>1</v>
      </c>
      <c r="K12" s="25">
        <f>VLOOKUP($A12,[1]!CurveTable,MATCH($K$4,[1]!CurveType,0))</f>
        <v>0</v>
      </c>
      <c r="L12" s="31">
        <v>0</v>
      </c>
      <c r="M12" s="45">
        <f t="shared" si="9"/>
        <v>0</v>
      </c>
      <c r="N12" s="25">
        <f>VLOOKUP($A12,[1]!CurveTable,MATCH($N$4,[1]!CurveType,0))</f>
        <v>6.5000000000000006E-3</v>
      </c>
      <c r="O12" s="31">
        <f>N12+Inputs!$E$22</f>
        <v>6.5000000000000006E-3</v>
      </c>
      <c r="P12" s="45">
        <f t="shared" si="10"/>
        <v>6.5000000000000006E-3</v>
      </c>
      <c r="Q12" s="25">
        <f>VLOOKUP($A12,[1]!CurveTable,MATCH($Q$4,[1]!CurveType,0))</f>
        <v>5.0000000000000001E-3</v>
      </c>
      <c r="R12" s="31">
        <v>0</v>
      </c>
      <c r="S12" s="45">
        <f t="shared" si="11"/>
        <v>0</v>
      </c>
      <c r="T12" s="4"/>
      <c r="U12" s="159">
        <f t="shared" si="25"/>
        <v>4.6379999999999999</v>
      </c>
      <c r="V12" s="160"/>
      <c r="W12" s="100">
        <f>VLOOKUP($A12,[1]!CurveTable,MATCH($W$4,[1]!CurveType,0))+$W$9</f>
        <v>0.60499999999999998</v>
      </c>
      <c r="X12" s="100">
        <f>VLOOKUP($A12,[1]!CurveTable,MATCH($X$4,[1]!CurveType,0))+$X$9</f>
        <v>0.61</v>
      </c>
      <c r="Y12" s="158">
        <f t="shared" ca="1" si="12"/>
        <v>0.62460497259857917</v>
      </c>
      <c r="Z12" s="4"/>
      <c r="AA12" s="159">
        <f t="shared" si="26"/>
        <v>3.6445000000000003</v>
      </c>
      <c r="AB12" s="160"/>
      <c r="AC12" s="100">
        <f>VLOOKUP($A12,[1]!CurveTable,MATCH($AC$4,[1]!CurveType,0))+$AC$9</f>
        <v>0.30249999999999999</v>
      </c>
      <c r="AD12" s="100">
        <f>VLOOKUP($A12,[1]!CurveTable,MATCH($AD$4,[1]!CurveType,0))+$AD$9</f>
        <v>0.3075</v>
      </c>
      <c r="AE12" s="158">
        <f t="shared" ca="1" si="13"/>
        <v>0.31482431506949132</v>
      </c>
      <c r="AF12" s="4"/>
      <c r="AG12" s="52">
        <f ca="1">((Inputs!$F$20*(X12*AD12)*(A12-$C$3))+(Inputs!$F$19*W12*AC12*(DAY(EOMONTH(A12,0))/2)))/(AN12*Y12*AE12)</f>
        <v>0.74999963572726369</v>
      </c>
      <c r="AH12" s="4"/>
      <c r="AI12" s="18">
        <f>Inputs!$B$15</f>
        <v>0.06</v>
      </c>
      <c r="AJ12" s="46"/>
      <c r="AK12" s="18">
        <f t="shared" si="14"/>
        <v>0.93349999999999955</v>
      </c>
      <c r="AL12" s="46"/>
      <c r="AM12" s="62">
        <f t="shared" si="15"/>
        <v>38168</v>
      </c>
      <c r="AN12" s="63">
        <f t="shared" ca="1" si="16"/>
        <v>975</v>
      </c>
      <c r="AO12" s="63">
        <f t="shared" ref="AO12:AO75" si="47">AO11</f>
        <v>1</v>
      </c>
      <c r="AP12" s="19"/>
      <c r="AQ12" s="74">
        <f ca="1">_xll.SPRDOPT(U12,AA12,AI12,AX12,X12,AD12,AG12,AN12,AO12,0)</f>
        <v>1.5137618920122882</v>
      </c>
      <c r="AR12" s="47">
        <f t="shared" ca="1" si="27"/>
        <v>2346330.9326190469</v>
      </c>
      <c r="AS12" s="135">
        <f t="shared" ca="1" si="28"/>
        <v>0.58026189201228862</v>
      </c>
      <c r="AU12" s="5">
        <f t="shared" si="17"/>
        <v>31</v>
      </c>
      <c r="AV12" s="148">
        <f t="shared" si="18"/>
        <v>38214</v>
      </c>
      <c r="AW12" s="41">
        <f t="shared" ca="1" si="19"/>
        <v>1021</v>
      </c>
      <c r="AX12" s="100">
        <f>VLOOKUP($A12,[1]!CurveTable,MATCH(AX$4,[1]!CurveType,0))</f>
        <v>3.74785437604142E-2</v>
      </c>
      <c r="AY12" s="149">
        <f ca="1">1/(1+CHOOSE(F$3,(AX13+(Inputs!$B$14/10000))/2,(AX12+(Inputs!$B$14/10000))/2))^(2*AW12/365.25)</f>
        <v>0.90140919920822626</v>
      </c>
      <c r="AZ12" s="41">
        <f t="shared" si="20"/>
        <v>1</v>
      </c>
      <c r="BA12" s="72">
        <f t="shared" si="21"/>
        <v>31</v>
      </c>
      <c r="BC12" s="65">
        <f t="shared" ca="1" si="29"/>
        <v>5006111.1991827656</v>
      </c>
      <c r="BD12" s="65">
        <f t="shared" ca="1" si="30"/>
        <v>5082956.3334152671</v>
      </c>
      <c r="BE12" s="65">
        <f t="shared" ca="1" si="31"/>
        <v>5082956.3334152671</v>
      </c>
      <c r="BF12" s="65">
        <f t="shared" ca="1" si="32"/>
        <v>1397184.2587727506</v>
      </c>
      <c r="BG12" s="65">
        <f t="shared" ca="1" si="33"/>
        <v>1397184.2587727506</v>
      </c>
      <c r="BH12" s="65">
        <f t="shared" ca="1" si="34"/>
        <v>1397184.2587727506</v>
      </c>
      <c r="BI12" s="65">
        <f t="shared" ca="1" si="35"/>
        <v>0</v>
      </c>
      <c r="BJ12" s="65">
        <f t="shared" ca="1" si="36"/>
        <v>0</v>
      </c>
      <c r="BK12" s="65">
        <f t="shared" ca="1" si="37"/>
        <v>0</v>
      </c>
      <c r="BL12" s="65">
        <f t="shared" ca="1" si="38"/>
        <v>9081.6976820228792</v>
      </c>
      <c r="BM12" s="65">
        <f t="shared" ca="1" si="39"/>
        <v>9081.6976820228792</v>
      </c>
      <c r="BN12" s="65">
        <f t="shared" ca="1" si="40"/>
        <v>9081.6976820228792</v>
      </c>
      <c r="BO12" s="65">
        <f t="shared" ca="1" si="41"/>
        <v>6985.9212938637529</v>
      </c>
      <c r="BP12" s="65">
        <f t="shared" ca="1" si="42"/>
        <v>0</v>
      </c>
      <c r="BQ12" s="65">
        <f t="shared" ca="1" si="43"/>
        <v>0</v>
      </c>
      <c r="BR12" s="65">
        <f t="shared" ca="1" si="44"/>
        <v>6480140.5921880174</v>
      </c>
      <c r="BS12" s="65">
        <f t="shared" ca="1" si="45"/>
        <v>5092038.0310972901</v>
      </c>
      <c r="BT12" s="65">
        <f t="shared" ca="1" si="46"/>
        <v>83831.055526365031</v>
      </c>
      <c r="BU12" s="65">
        <f t="shared" ca="1" si="23"/>
        <v>1304271.505564362</v>
      </c>
    </row>
    <row r="13" spans="1:75">
      <c r="A13" s="42">
        <f t="shared" si="24"/>
        <v>38231</v>
      </c>
      <c r="B13" s="30">
        <f>Inputs!$B$8</f>
        <v>50000</v>
      </c>
      <c r="C13" s="17">
        <f t="shared" si="5"/>
        <v>1500000</v>
      </c>
      <c r="D13" s="17">
        <f t="shared" ca="1" si="6"/>
        <v>1346008.581752538</v>
      </c>
      <c r="E13" s="25">
        <f>VLOOKUP($A13,[1]!CurveTable,MATCH($E$4,[1]!CurveType,0))</f>
        <v>3.577</v>
      </c>
      <c r="F13" s="31">
        <f>E13-Inputs!$B$16</f>
        <v>3.6320000000000001</v>
      </c>
      <c r="G13" s="43">
        <f t="shared" si="7"/>
        <v>3.6320000000000001</v>
      </c>
      <c r="H13" s="25">
        <f>VLOOKUP($A13,[1]!CurveTable,MATCH($H$4,[1]!CurveType,0))</f>
        <v>0.65</v>
      </c>
      <c r="I13" s="31">
        <f>H13+Inputs!$B$22</f>
        <v>0.65</v>
      </c>
      <c r="J13" s="44">
        <f t="shared" si="8"/>
        <v>0.65</v>
      </c>
      <c r="K13" s="25">
        <f>VLOOKUP($A13,[1]!CurveTable,MATCH($K$4,[1]!CurveType,0))</f>
        <v>0</v>
      </c>
      <c r="L13" s="31">
        <v>0</v>
      </c>
      <c r="M13" s="45">
        <f t="shared" si="9"/>
        <v>0</v>
      </c>
      <c r="N13" s="25">
        <f>VLOOKUP($A13,[1]!CurveTable,MATCH($N$4,[1]!CurveType,0))</f>
        <v>6.5000000000000006E-3</v>
      </c>
      <c r="O13" s="31">
        <f>N13+Inputs!$E$22</f>
        <v>6.5000000000000006E-3</v>
      </c>
      <c r="P13" s="45">
        <f t="shared" si="10"/>
        <v>6.5000000000000006E-3</v>
      </c>
      <c r="Q13" s="25">
        <f>VLOOKUP($A13,[1]!CurveTable,MATCH($Q$4,[1]!CurveType,0))</f>
        <v>5.0000000000000001E-3</v>
      </c>
      <c r="R13" s="31">
        <v>0</v>
      </c>
      <c r="S13" s="45">
        <f t="shared" si="11"/>
        <v>0</v>
      </c>
      <c r="T13" s="4"/>
      <c r="U13" s="159">
        <f t="shared" si="25"/>
        <v>4.282</v>
      </c>
      <c r="V13" s="160"/>
      <c r="W13" s="100">
        <f>VLOOKUP($A13,[1]!CurveTable,MATCH($W$4,[1]!CurveType,0))+$W$9</f>
        <v>0.60499999999999998</v>
      </c>
      <c r="X13" s="100">
        <f>VLOOKUP($A13,[1]!CurveTable,MATCH($X$4,[1]!CurveType,0))+$X$9</f>
        <v>0.61</v>
      </c>
      <c r="Y13" s="158">
        <f t="shared" ca="1" si="12"/>
        <v>0.62401427237462814</v>
      </c>
      <c r="Z13" s="4"/>
      <c r="AA13" s="159">
        <f t="shared" si="26"/>
        <v>3.6385000000000001</v>
      </c>
      <c r="AB13" s="160"/>
      <c r="AC13" s="100">
        <f>VLOOKUP($A13,[1]!CurveTable,MATCH($AC$4,[1]!CurveType,0))+$AC$9</f>
        <v>0.30249999999999999</v>
      </c>
      <c r="AD13" s="100">
        <f>VLOOKUP($A13,[1]!CurveTable,MATCH($AD$4,[1]!CurveType,0))+$AD$9</f>
        <v>0.3075</v>
      </c>
      <c r="AE13" s="158">
        <f t="shared" ca="1" si="13"/>
        <v>0.31452887114744849</v>
      </c>
      <c r="AF13" s="4"/>
      <c r="AG13" s="52">
        <f ca="1">((Inputs!$F$20*(X13*AD13)*(A13-$C$3))+(Inputs!$F$19*W13*AC13*(DAY(EOMONTH(A13,0))/2)))/(AN13*Y13*AE13)</f>
        <v>0.74999965738631458</v>
      </c>
      <c r="AH13" s="4"/>
      <c r="AI13" s="18">
        <f>Inputs!$B$15</f>
        <v>0.06</v>
      </c>
      <c r="AJ13" s="46"/>
      <c r="AK13" s="18">
        <f t="shared" si="14"/>
        <v>0.58349999999999991</v>
      </c>
      <c r="AL13" s="46"/>
      <c r="AM13" s="62">
        <f t="shared" si="15"/>
        <v>38199</v>
      </c>
      <c r="AN13" s="63">
        <f t="shared" ca="1" si="16"/>
        <v>1006</v>
      </c>
      <c r="AO13" s="63">
        <f t="shared" si="47"/>
        <v>1</v>
      </c>
      <c r="AP13" s="19"/>
      <c r="AQ13" s="74">
        <f ca="1">_xll.SPRDOPT(U13,AA13,AI13,AX13,X13,AD13,AG13,AN13,AO13,0)</f>
        <v>1.2895919724101013</v>
      </c>
      <c r="AR13" s="47">
        <f t="shared" ca="1" si="27"/>
        <v>1934387.9586151519</v>
      </c>
      <c r="AS13" s="135">
        <f t="shared" ca="1" si="28"/>
        <v>0.70609197241010135</v>
      </c>
      <c r="AU13" s="5">
        <f t="shared" si="17"/>
        <v>30</v>
      </c>
      <c r="AV13" s="148">
        <f t="shared" si="18"/>
        <v>38245</v>
      </c>
      <c r="AW13" s="41">
        <f t="shared" ca="1" si="19"/>
        <v>1052</v>
      </c>
      <c r="AX13" s="100">
        <f>VLOOKUP($A13,[1]!CurveTable,MATCH(AX$4,[1]!CurveType,0))</f>
        <v>3.7964603983300801E-2</v>
      </c>
      <c r="AY13" s="149">
        <f ca="1">1/(1+CHOOSE(F$3,(AX14+(Inputs!$B$14/10000))/2,(AX13+(Inputs!$B$14/10000))/2))^(2*AW13/365.25)</f>
        <v>0.89733905450169194</v>
      </c>
      <c r="AZ13" s="41">
        <f t="shared" si="20"/>
        <v>1</v>
      </c>
      <c r="BA13" s="72">
        <f t="shared" si="21"/>
        <v>30</v>
      </c>
      <c r="BC13" s="65">
        <f t="shared" ca="1" si="29"/>
        <v>4814672.696928828</v>
      </c>
      <c r="BD13" s="65">
        <f t="shared" ca="1" si="30"/>
        <v>4888703.1689252183</v>
      </c>
      <c r="BE13" s="65">
        <f t="shared" ca="1" si="31"/>
        <v>4888703.1689252183</v>
      </c>
      <c r="BF13" s="65">
        <f t="shared" ca="1" si="32"/>
        <v>874905.5781391497</v>
      </c>
      <c r="BG13" s="65">
        <f t="shared" ca="1" si="33"/>
        <v>874905.5781391497</v>
      </c>
      <c r="BH13" s="65">
        <f t="shared" ca="1" si="34"/>
        <v>874905.5781391497</v>
      </c>
      <c r="BI13" s="65">
        <f t="shared" ca="1" si="35"/>
        <v>0</v>
      </c>
      <c r="BJ13" s="65">
        <f t="shared" ca="1" si="36"/>
        <v>0</v>
      </c>
      <c r="BK13" s="65">
        <f t="shared" ca="1" si="37"/>
        <v>0</v>
      </c>
      <c r="BL13" s="65">
        <f t="shared" ca="1" si="38"/>
        <v>8749.0557813914984</v>
      </c>
      <c r="BM13" s="65">
        <f t="shared" ca="1" si="39"/>
        <v>8749.0557813914984</v>
      </c>
      <c r="BN13" s="65">
        <f t="shared" ca="1" si="40"/>
        <v>8749.0557813914984</v>
      </c>
      <c r="BO13" s="65">
        <f t="shared" ca="1" si="41"/>
        <v>6730.0429087626899</v>
      </c>
      <c r="BP13" s="65">
        <f t="shared" ca="1" si="42"/>
        <v>0</v>
      </c>
      <c r="BQ13" s="65">
        <f t="shared" ca="1" si="43"/>
        <v>0</v>
      </c>
      <c r="BR13" s="65">
        <f t="shared" ca="1" si="44"/>
        <v>5763608.7470643679</v>
      </c>
      <c r="BS13" s="65">
        <f t="shared" ca="1" si="45"/>
        <v>4897452.2247066097</v>
      </c>
      <c r="BT13" s="65">
        <f t="shared" ca="1" si="46"/>
        <v>80760.514905152275</v>
      </c>
      <c r="BU13" s="65">
        <f t="shared" ca="1" si="23"/>
        <v>785396.00745260576</v>
      </c>
    </row>
    <row r="14" spans="1:75">
      <c r="A14" s="42">
        <f t="shared" si="24"/>
        <v>38261</v>
      </c>
      <c r="B14" s="30">
        <f>Inputs!$B$8</f>
        <v>50000</v>
      </c>
      <c r="C14" s="17">
        <f t="shared" si="5"/>
        <v>1550000</v>
      </c>
      <c r="D14" s="17">
        <f t="shared" ca="1" si="6"/>
        <v>1384766.4133931703</v>
      </c>
      <c r="E14" s="25">
        <f>VLOOKUP($A14,[1]!CurveTable,MATCH($E$4,[1]!CurveType,0))</f>
        <v>3.577</v>
      </c>
      <c r="F14" s="31">
        <f>E14-Inputs!$B$16</f>
        <v>3.6320000000000001</v>
      </c>
      <c r="G14" s="43">
        <f t="shared" si="7"/>
        <v>3.6320000000000001</v>
      </c>
      <c r="H14" s="25">
        <f>VLOOKUP($A14,[1]!CurveTable,MATCH($H$4,[1]!CurveType,0))</f>
        <v>0.35</v>
      </c>
      <c r="I14" s="31">
        <f>H14+Inputs!$B$22</f>
        <v>0.35</v>
      </c>
      <c r="J14" s="44">
        <f t="shared" si="8"/>
        <v>0.35</v>
      </c>
      <c r="K14" s="25">
        <f>VLOOKUP($A14,[1]!CurveTable,MATCH($K$4,[1]!CurveType,0))</f>
        <v>0</v>
      </c>
      <c r="L14" s="31">
        <v>0</v>
      </c>
      <c r="M14" s="45">
        <f t="shared" si="9"/>
        <v>0</v>
      </c>
      <c r="N14" s="25">
        <f>VLOOKUP($A14,[1]!CurveTable,MATCH($N$4,[1]!CurveType,0))</f>
        <v>6.5000000000000006E-3</v>
      </c>
      <c r="O14" s="31">
        <f>N14+Inputs!$E$22</f>
        <v>6.5000000000000006E-3</v>
      </c>
      <c r="P14" s="45">
        <f t="shared" si="10"/>
        <v>6.5000000000000006E-3</v>
      </c>
      <c r="Q14" s="25">
        <f>VLOOKUP($A14,[1]!CurveTable,MATCH($Q$4,[1]!CurveType,0))</f>
        <v>5.0000000000000001E-3</v>
      </c>
      <c r="R14" s="31">
        <v>0</v>
      </c>
      <c r="S14" s="45">
        <f t="shared" si="11"/>
        <v>0</v>
      </c>
      <c r="T14" s="4"/>
      <c r="U14" s="159">
        <f t="shared" si="25"/>
        <v>3.9820000000000002</v>
      </c>
      <c r="V14" s="160"/>
      <c r="W14" s="100">
        <f>VLOOKUP($A14,[1]!CurveTable,MATCH($W$4,[1]!CurveType,0))+$W$9</f>
        <v>0.30249999999999999</v>
      </c>
      <c r="X14" s="100">
        <f>VLOOKUP($A14,[1]!CurveTable,MATCH($X$4,[1]!CurveType,0))+$X$9</f>
        <v>0.3075</v>
      </c>
      <c r="Y14" s="158">
        <f t="shared" ca="1" si="12"/>
        <v>0.31424615813499401</v>
      </c>
      <c r="Z14" s="4"/>
      <c r="AA14" s="159">
        <f t="shared" si="26"/>
        <v>3.6385000000000001</v>
      </c>
      <c r="AB14" s="160"/>
      <c r="AC14" s="100">
        <f>VLOOKUP($A14,[1]!CurveTable,MATCH($AC$4,[1]!CurveType,0))+$AC$9</f>
        <v>0.30249999999999999</v>
      </c>
      <c r="AD14" s="100">
        <f>VLOOKUP($A14,[1]!CurveTable,MATCH($AD$4,[1]!CurveType,0))+$AD$9</f>
        <v>0.3075</v>
      </c>
      <c r="AE14" s="158">
        <f t="shared" ca="1" si="13"/>
        <v>0.31424615813499401</v>
      </c>
      <c r="AF14" s="4"/>
      <c r="AG14" s="52">
        <f ca="1">((Inputs!$F$20*(X14*AD14)*(A14-$C$3))+(Inputs!$F$19*W14*AC14*(DAY(EOMONTH(A14,0))/2)))/(AN14*Y14*AE14)</f>
        <v>0.74999999999999989</v>
      </c>
      <c r="AH14" s="4"/>
      <c r="AI14" s="18">
        <f>Inputs!$B$15</f>
        <v>0.06</v>
      </c>
      <c r="AJ14" s="46"/>
      <c r="AK14" s="18">
        <f t="shared" si="14"/>
        <v>0.28350000000000014</v>
      </c>
      <c r="AL14" s="46"/>
      <c r="AM14" s="62">
        <f t="shared" si="15"/>
        <v>38230</v>
      </c>
      <c r="AN14" s="63">
        <f t="shared" ca="1" si="16"/>
        <v>1037</v>
      </c>
      <c r="AO14" s="63">
        <f t="shared" si="47"/>
        <v>1</v>
      </c>
      <c r="AP14" s="19"/>
      <c r="AQ14" s="74">
        <f ca="1">_xll.SPRDOPT(U14,AA14,AI14,AX14,X14,AD14,AG14,AN14,AO14,0)</f>
        <v>0.63383686000533312</v>
      </c>
      <c r="AR14" s="47">
        <f t="shared" ca="1" si="27"/>
        <v>982447.13300826633</v>
      </c>
      <c r="AS14" s="135">
        <f t="shared" ca="1" si="28"/>
        <v>0.35033686000533298</v>
      </c>
      <c r="AU14" s="5">
        <f t="shared" si="17"/>
        <v>31</v>
      </c>
      <c r="AV14" s="148">
        <f t="shared" si="18"/>
        <v>38275</v>
      </c>
      <c r="AW14" s="41">
        <f t="shared" ca="1" si="19"/>
        <v>1082</v>
      </c>
      <c r="AX14" s="100">
        <f>VLOOKUP($A14,[1]!CurveTable,MATCH(AX$4,[1]!CurveType,0))</f>
        <v>3.8416276345083003E-2</v>
      </c>
      <c r="AY14" s="149">
        <f ca="1">1/(1+CHOOSE(F$3,(AX15+(Inputs!$B$14/10000))/2,(AX14+(Inputs!$B$14/10000))/2))^(2*AW14/365.25)</f>
        <v>0.89339768606010983</v>
      </c>
      <c r="AZ14" s="41">
        <f t="shared" si="20"/>
        <v>1</v>
      </c>
      <c r="BA14" s="72">
        <f t="shared" si="21"/>
        <v>31</v>
      </c>
      <c r="BC14" s="65">
        <f t="shared" ca="1" si="29"/>
        <v>4953309.4607073702</v>
      </c>
      <c r="BD14" s="65">
        <f t="shared" ca="1" si="30"/>
        <v>5029471.6134439949</v>
      </c>
      <c r="BE14" s="65">
        <f t="shared" ca="1" si="31"/>
        <v>5029471.6134439949</v>
      </c>
      <c r="BF14" s="65">
        <f t="shared" ca="1" si="32"/>
        <v>484668.24468760961</v>
      </c>
      <c r="BG14" s="65">
        <f t="shared" ca="1" si="33"/>
        <v>484668.24468760961</v>
      </c>
      <c r="BH14" s="65">
        <f t="shared" ca="1" si="34"/>
        <v>484668.24468760961</v>
      </c>
      <c r="BI14" s="65">
        <f t="shared" ca="1" si="35"/>
        <v>0</v>
      </c>
      <c r="BJ14" s="65">
        <f t="shared" ca="1" si="36"/>
        <v>0</v>
      </c>
      <c r="BK14" s="65">
        <f t="shared" ca="1" si="37"/>
        <v>0</v>
      </c>
      <c r="BL14" s="65">
        <f t="shared" ca="1" si="38"/>
        <v>9000.9816870556078</v>
      </c>
      <c r="BM14" s="65">
        <f t="shared" ca="1" si="39"/>
        <v>9000.9816870556078</v>
      </c>
      <c r="BN14" s="65">
        <f t="shared" ca="1" si="40"/>
        <v>9000.9816870556078</v>
      </c>
      <c r="BO14" s="65">
        <f t="shared" ca="1" si="41"/>
        <v>6923.8320669658515</v>
      </c>
      <c r="BP14" s="65">
        <f t="shared" ca="1" si="42"/>
        <v>0</v>
      </c>
      <c r="BQ14" s="65">
        <f t="shared" ca="1" si="43"/>
        <v>0</v>
      </c>
      <c r="BR14" s="65">
        <f t="shared" ca="1" si="44"/>
        <v>5514139.8581316043</v>
      </c>
      <c r="BS14" s="65">
        <f t="shared" ca="1" si="45"/>
        <v>5038472.5951310508</v>
      </c>
      <c r="BT14" s="65">
        <f t="shared" ca="1" si="46"/>
        <v>83085.984803590211</v>
      </c>
      <c r="BU14" s="65">
        <f t="shared" ca="1" si="23"/>
        <v>392581.27819696401</v>
      </c>
    </row>
    <row r="15" spans="1:75">
      <c r="A15" s="42">
        <f t="shared" si="24"/>
        <v>38292</v>
      </c>
      <c r="B15" s="30">
        <f>Inputs!$B$8</f>
        <v>50000</v>
      </c>
      <c r="C15" s="17">
        <f t="shared" si="5"/>
        <v>1500000</v>
      </c>
      <c r="D15" s="17">
        <f t="shared" ca="1" si="6"/>
        <v>1333984.7751329448</v>
      </c>
      <c r="E15" s="25">
        <f>VLOOKUP($A15,[1]!CurveTable,MATCH($E$4,[1]!CurveType,0))</f>
        <v>3.7250000000000001</v>
      </c>
      <c r="F15" s="31">
        <f>E15-Inputs!$B$16</f>
        <v>3.7800000000000002</v>
      </c>
      <c r="G15" s="43">
        <f t="shared" si="7"/>
        <v>3.7800000000000002</v>
      </c>
      <c r="H15" s="25">
        <f>VLOOKUP($A15,[1]!CurveTable,MATCH($H$4,[1]!CurveType,0))</f>
        <v>0.27</v>
      </c>
      <c r="I15" s="31">
        <f>H15+Inputs!$B$22</f>
        <v>0.27</v>
      </c>
      <c r="J15" s="44">
        <f t="shared" si="8"/>
        <v>0.27</v>
      </c>
      <c r="K15" s="25">
        <f>VLOOKUP($A15,[1]!CurveTable,MATCH($K$4,[1]!CurveType,0))</f>
        <v>0</v>
      </c>
      <c r="L15" s="31">
        <v>0</v>
      </c>
      <c r="M15" s="45">
        <f t="shared" si="9"/>
        <v>0</v>
      </c>
      <c r="N15" s="25">
        <f>VLOOKUP($A15,[1]!CurveTable,MATCH($N$4,[1]!CurveType,0))</f>
        <v>6.0000000000000001E-3</v>
      </c>
      <c r="O15" s="31">
        <f>N15+Inputs!$E$22</f>
        <v>6.0000000000000001E-3</v>
      </c>
      <c r="P15" s="45">
        <f t="shared" si="10"/>
        <v>6.0000000000000001E-3</v>
      </c>
      <c r="Q15" s="25">
        <f>VLOOKUP($A15,[1]!CurveTable,MATCH($Q$4,[1]!CurveType,0))</f>
        <v>7.4999999999999997E-3</v>
      </c>
      <c r="R15" s="31">
        <v>0</v>
      </c>
      <c r="S15" s="45">
        <f t="shared" si="11"/>
        <v>0</v>
      </c>
      <c r="T15" s="4"/>
      <c r="U15" s="159">
        <f t="shared" si="25"/>
        <v>4.0500000000000007</v>
      </c>
      <c r="V15" s="160"/>
      <c r="W15" s="100">
        <f>VLOOKUP($A15,[1]!CurveTable,MATCH($W$4,[1]!CurveType,0))+$W$9</f>
        <v>0.30249999999999999</v>
      </c>
      <c r="X15" s="100">
        <f>VLOOKUP($A15,[1]!CurveTable,MATCH($X$4,[1]!CurveType,0))+$X$9</f>
        <v>0.3075</v>
      </c>
      <c r="Y15" s="158">
        <f t="shared" ca="1" si="12"/>
        <v>0.31413127184549011</v>
      </c>
      <c r="Z15" s="4"/>
      <c r="AA15" s="159">
        <f t="shared" si="26"/>
        <v>3.786</v>
      </c>
      <c r="AB15" s="160"/>
      <c r="AC15" s="100">
        <f>VLOOKUP($A15,[1]!CurveTable,MATCH($AC$4,[1]!CurveType,0))+$AC$9</f>
        <v>0.30249999999999999</v>
      </c>
      <c r="AD15" s="100">
        <f>VLOOKUP($A15,[1]!CurveTable,MATCH($AD$4,[1]!CurveType,0))+$AD$9</f>
        <v>0.3075</v>
      </c>
      <c r="AE15" s="158">
        <f t="shared" ca="1" si="13"/>
        <v>0.31413127184549011</v>
      </c>
      <c r="AF15" s="4"/>
      <c r="AG15" s="52">
        <f ca="1">((Inputs!$F$20*(X15*AD15)*(A15-$C$3))+(Inputs!$F$19*W15*AC15*(DAY(EOMONTH(A15,0))/2)))/(AN15*Y15*AE15)</f>
        <v>0.75000000000000011</v>
      </c>
      <c r="AH15" s="4"/>
      <c r="AI15" s="18">
        <f>Inputs!$B$15</f>
        <v>0.06</v>
      </c>
      <c r="AJ15" s="46"/>
      <c r="AK15" s="18">
        <f t="shared" si="14"/>
        <v>0.20400000000000068</v>
      </c>
      <c r="AL15" s="46"/>
      <c r="AM15" s="62">
        <f t="shared" si="15"/>
        <v>38260</v>
      </c>
      <c r="AN15" s="63">
        <f t="shared" ca="1" si="16"/>
        <v>1067</v>
      </c>
      <c r="AO15" s="63">
        <f t="shared" si="47"/>
        <v>1</v>
      </c>
      <c r="AP15" s="19"/>
      <c r="AQ15" s="74">
        <f ca="1">_xll.SPRDOPT(U15,AA15,AI15,AX15,X15,AD15,AG15,AN15,AO15,0)</f>
        <v>0.61169139659818017</v>
      </c>
      <c r="AR15" s="47">
        <f t="shared" ca="1" si="27"/>
        <v>917537.0948972702</v>
      </c>
      <c r="AS15" s="135">
        <f t="shared" ca="1" si="28"/>
        <v>0.40769139659817949</v>
      </c>
      <c r="AU15" s="5">
        <f t="shared" si="17"/>
        <v>30</v>
      </c>
      <c r="AV15" s="148">
        <f t="shared" si="18"/>
        <v>38306</v>
      </c>
      <c r="AW15" s="41">
        <f t="shared" ca="1" si="19"/>
        <v>1113</v>
      </c>
      <c r="AX15" s="100">
        <f>VLOOKUP($A15,[1]!CurveTable,MATCH(AX$4,[1]!CurveType,0))</f>
        <v>3.8865022537725002E-2</v>
      </c>
      <c r="AY15" s="149">
        <f ca="1">1/(1+CHOOSE(F$3,(AX16+(Inputs!$B$14/10000))/2,(AX15+(Inputs!$B$14/10000))/2))^(2*AW15/365.25)</f>
        <v>0.88932318342196315</v>
      </c>
      <c r="AZ15" s="41">
        <f t="shared" si="20"/>
        <v>1</v>
      </c>
      <c r="BA15" s="72">
        <f t="shared" si="21"/>
        <v>30</v>
      </c>
      <c r="BC15" s="65">
        <f t="shared" ca="1" si="29"/>
        <v>4969093.2873702198</v>
      </c>
      <c r="BD15" s="65">
        <f t="shared" ca="1" si="30"/>
        <v>5042462.4500025315</v>
      </c>
      <c r="BE15" s="65">
        <f t="shared" ca="1" si="31"/>
        <v>5042462.4500025315</v>
      </c>
      <c r="BF15" s="65">
        <f t="shared" ca="1" si="32"/>
        <v>360175.8892858951</v>
      </c>
      <c r="BG15" s="65">
        <f t="shared" ca="1" si="33"/>
        <v>360175.8892858951</v>
      </c>
      <c r="BH15" s="65">
        <f t="shared" ca="1" si="34"/>
        <v>360175.8892858951</v>
      </c>
      <c r="BI15" s="65">
        <f t="shared" ca="1" si="35"/>
        <v>0</v>
      </c>
      <c r="BJ15" s="65">
        <f t="shared" ca="1" si="36"/>
        <v>0</v>
      </c>
      <c r="BK15" s="65">
        <f t="shared" ca="1" si="37"/>
        <v>0</v>
      </c>
      <c r="BL15" s="65">
        <f t="shared" ca="1" si="38"/>
        <v>8003.908650797669</v>
      </c>
      <c r="BM15" s="65">
        <f t="shared" ca="1" si="39"/>
        <v>8003.908650797669</v>
      </c>
      <c r="BN15" s="65">
        <f t="shared" ca="1" si="40"/>
        <v>8003.908650797669</v>
      </c>
      <c r="BO15" s="65">
        <f t="shared" ca="1" si="41"/>
        <v>10004.885813497085</v>
      </c>
      <c r="BP15" s="65">
        <f t="shared" ca="1" si="42"/>
        <v>0</v>
      </c>
      <c r="BQ15" s="65">
        <f t="shared" ca="1" si="43"/>
        <v>0</v>
      </c>
      <c r="BR15" s="65">
        <f t="shared" ca="1" si="44"/>
        <v>5402638.3392884275</v>
      </c>
      <c r="BS15" s="65">
        <f t="shared" ca="1" si="45"/>
        <v>5050466.3586533293</v>
      </c>
      <c r="BT15" s="65">
        <f t="shared" ca="1" si="46"/>
        <v>80039.086507976681</v>
      </c>
      <c r="BU15" s="65">
        <f t="shared" ca="1" si="23"/>
        <v>272132.89412712166</v>
      </c>
    </row>
    <row r="16" spans="1:75">
      <c r="A16" s="42">
        <f t="shared" si="24"/>
        <v>38322</v>
      </c>
      <c r="B16" s="30">
        <f>Inputs!$B$8</f>
        <v>50000</v>
      </c>
      <c r="C16" s="17">
        <f t="shared" si="5"/>
        <v>1550000</v>
      </c>
      <c r="D16" s="17">
        <f t="shared" ca="1" si="6"/>
        <v>1372269.3581125601</v>
      </c>
      <c r="E16" s="25">
        <f>VLOOKUP($A16,[1]!CurveTable,MATCH($E$4,[1]!CurveType,0))</f>
        <v>3.8770000000000002</v>
      </c>
      <c r="F16" s="31">
        <f>E16-Inputs!$B$16</f>
        <v>3.9320000000000004</v>
      </c>
      <c r="G16" s="43">
        <f t="shared" si="7"/>
        <v>3.9320000000000004</v>
      </c>
      <c r="H16" s="25">
        <f>VLOOKUP($A16,[1]!CurveTable,MATCH($H$4,[1]!CurveType,0))</f>
        <v>0.25</v>
      </c>
      <c r="I16" s="31">
        <f>H16+Inputs!$B$22</f>
        <v>0.25</v>
      </c>
      <c r="J16" s="44">
        <f t="shared" si="8"/>
        <v>0.25</v>
      </c>
      <c r="K16" s="25">
        <f>VLOOKUP($A16,[1]!CurveTable,MATCH($K$4,[1]!CurveType,0))</f>
        <v>0</v>
      </c>
      <c r="L16" s="31">
        <v>0</v>
      </c>
      <c r="M16" s="45">
        <f t="shared" si="9"/>
        <v>0</v>
      </c>
      <c r="N16" s="25">
        <f>VLOOKUP($A16,[1]!CurveTable,MATCH($N$4,[1]!CurveType,0))</f>
        <v>6.0000000000000001E-3</v>
      </c>
      <c r="O16" s="31">
        <f>N16+Inputs!$E$22</f>
        <v>6.0000000000000001E-3</v>
      </c>
      <c r="P16" s="45">
        <f t="shared" si="10"/>
        <v>6.0000000000000001E-3</v>
      </c>
      <c r="Q16" s="25">
        <f>VLOOKUP($A16,[1]!CurveTable,MATCH($Q$4,[1]!CurveType,0))</f>
        <v>7.4999999999999997E-3</v>
      </c>
      <c r="R16" s="31">
        <v>0</v>
      </c>
      <c r="S16" s="45">
        <f t="shared" si="11"/>
        <v>0</v>
      </c>
      <c r="T16" s="4"/>
      <c r="U16" s="159">
        <f t="shared" si="25"/>
        <v>4.1820000000000004</v>
      </c>
      <c r="V16" s="160"/>
      <c r="W16" s="100">
        <f>VLOOKUP($A16,[1]!CurveTable,MATCH($W$4,[1]!CurveType,0))+$W$9</f>
        <v>0.3</v>
      </c>
      <c r="X16" s="100">
        <f>VLOOKUP($A16,[1]!CurveTable,MATCH($X$4,[1]!CurveType,0))+$X$9</f>
        <v>0.30499999999999999</v>
      </c>
      <c r="Y16" s="158">
        <f t="shared" ca="1" si="12"/>
        <v>0.31132279179682232</v>
      </c>
      <c r="Z16" s="4"/>
      <c r="AA16" s="159">
        <f t="shared" si="26"/>
        <v>3.9380000000000002</v>
      </c>
      <c r="AB16" s="160"/>
      <c r="AC16" s="100">
        <f>VLOOKUP($A16,[1]!CurveTable,MATCH($AC$4,[1]!CurveType,0))+$AC$9</f>
        <v>0.3</v>
      </c>
      <c r="AD16" s="100">
        <f>VLOOKUP($A16,[1]!CurveTable,MATCH($AD$4,[1]!CurveType,0))+$AD$9</f>
        <v>0.30499999999999999</v>
      </c>
      <c r="AE16" s="158">
        <f t="shared" ca="1" si="13"/>
        <v>0.31132279179682232</v>
      </c>
      <c r="AF16" s="4"/>
      <c r="AG16" s="52">
        <f ca="1">((Inputs!$F$20*(X16*AD16)*(A16-$C$3))+(Inputs!$F$19*W16*AC16*(DAY(EOMONTH(A16,0))/2)))/(AN16*Y16*AE16)</f>
        <v>0.74999999999999978</v>
      </c>
      <c r="AH16" s="4"/>
      <c r="AI16" s="18">
        <f>Inputs!$B$15</f>
        <v>0.06</v>
      </c>
      <c r="AJ16" s="46"/>
      <c r="AK16" s="18">
        <f t="shared" si="14"/>
        <v>0.18400000000000022</v>
      </c>
      <c r="AL16" s="46"/>
      <c r="AM16" s="62">
        <f t="shared" si="15"/>
        <v>38291</v>
      </c>
      <c r="AN16" s="63">
        <f t="shared" ca="1" si="16"/>
        <v>1098</v>
      </c>
      <c r="AO16" s="63">
        <f t="shared" si="47"/>
        <v>1</v>
      </c>
      <c r="AP16" s="19"/>
      <c r="AQ16" s="74">
        <f ca="1">_xll.SPRDOPT(U16,AA16,AI16,AX16,X16,AD16,AG16,AN16,AO16,0)</f>
        <v>0.62075327404290226</v>
      </c>
      <c r="AR16" s="47">
        <f t="shared" ca="1" si="27"/>
        <v>962167.57476649852</v>
      </c>
      <c r="AS16" s="135">
        <f t="shared" ca="1" si="28"/>
        <v>0.43675327404290204</v>
      </c>
      <c r="AU16" s="5">
        <f t="shared" ref="AU16:AU79" si="48">A17-A16</f>
        <v>31</v>
      </c>
      <c r="AV16" s="148">
        <f t="shared" si="18"/>
        <v>38336</v>
      </c>
      <c r="AW16" s="41">
        <f t="shared" ca="1" si="19"/>
        <v>1143</v>
      </c>
      <c r="AX16" s="100">
        <f>VLOOKUP($A16,[1]!CurveTable,MATCH(AX$4,[1]!CurveType,0))</f>
        <v>3.9299293111099601E-2</v>
      </c>
      <c r="AY16" s="149">
        <f ca="1">1/(1+CHOOSE(F$3,(AX17+(Inputs!$B$14/10000))/2,(AX16+(Inputs!$B$14/10000))/2))^(2*AW16/365.25)</f>
        <v>0.88533506975003884</v>
      </c>
      <c r="AZ16" s="41">
        <f t="shared" ref="AZ16:AZ79" si="49">IF(AND(mthbeg&lt;=A16,mthend&gt;=A16),1,0)</f>
        <v>1</v>
      </c>
      <c r="BA16" s="72">
        <f t="shared" ref="BA16:BA79" si="50">AU16*AZ16</f>
        <v>31</v>
      </c>
      <c r="BC16" s="65">
        <f t="shared" ca="1" si="29"/>
        <v>5320288.3014023956</v>
      </c>
      <c r="BD16" s="65">
        <f t="shared" ca="1" si="30"/>
        <v>5395763.1160985865</v>
      </c>
      <c r="BE16" s="65">
        <f t="shared" ca="1" si="31"/>
        <v>5395763.1160985865</v>
      </c>
      <c r="BF16" s="65">
        <f t="shared" ca="1" si="32"/>
        <v>343067.33952814003</v>
      </c>
      <c r="BG16" s="65">
        <f t="shared" ca="1" si="33"/>
        <v>343067.33952814003</v>
      </c>
      <c r="BH16" s="65">
        <f t="shared" ca="1" si="34"/>
        <v>343067.33952814003</v>
      </c>
      <c r="BI16" s="65">
        <f t="shared" ca="1" si="35"/>
        <v>0</v>
      </c>
      <c r="BJ16" s="65">
        <f t="shared" ca="1" si="36"/>
        <v>0</v>
      </c>
      <c r="BK16" s="65">
        <f t="shared" ca="1" si="37"/>
        <v>0</v>
      </c>
      <c r="BL16" s="65">
        <f t="shared" ca="1" si="38"/>
        <v>8233.6161486753608</v>
      </c>
      <c r="BM16" s="65">
        <f t="shared" ca="1" si="39"/>
        <v>8233.6161486753608</v>
      </c>
      <c r="BN16" s="65">
        <f t="shared" ca="1" si="40"/>
        <v>8233.6161486753608</v>
      </c>
      <c r="BO16" s="65">
        <f t="shared" ca="1" si="41"/>
        <v>10292.0201858442</v>
      </c>
      <c r="BP16" s="65">
        <f t="shared" ca="1" si="42"/>
        <v>0</v>
      </c>
      <c r="BQ16" s="65">
        <f t="shared" ca="1" si="43"/>
        <v>0</v>
      </c>
      <c r="BR16" s="65">
        <f t="shared" ca="1" si="44"/>
        <v>5738830.4556267271</v>
      </c>
      <c r="BS16" s="65">
        <f t="shared" ca="1" si="45"/>
        <v>5403996.7322472623</v>
      </c>
      <c r="BT16" s="65">
        <f t="shared" ca="1" si="46"/>
        <v>82336.161486753597</v>
      </c>
      <c r="BU16" s="65">
        <f t="shared" ca="1" si="23"/>
        <v>252497.56189271135</v>
      </c>
    </row>
    <row r="17" spans="1:73">
      <c r="A17" s="42">
        <f t="shared" si="24"/>
        <v>38353</v>
      </c>
      <c r="B17" s="30">
        <f>Inputs!$B$8</f>
        <v>50000</v>
      </c>
      <c r="C17" s="17">
        <f t="shared" si="5"/>
        <v>1550000</v>
      </c>
      <c r="D17" s="17">
        <f t="shared" ca="1" si="6"/>
        <v>1365860.7081997825</v>
      </c>
      <c r="E17" s="25">
        <f>VLOOKUP($A17,[1]!CurveTable,MATCH($E$4,[1]!CurveType,0))</f>
        <v>3.9370000000000003</v>
      </c>
      <c r="F17" s="31">
        <f>E17-Inputs!$B$16</f>
        <v>3.9920000000000004</v>
      </c>
      <c r="G17" s="43">
        <f t="shared" si="7"/>
        <v>3.9920000000000004</v>
      </c>
      <c r="H17" s="25">
        <f>VLOOKUP($A17,[1]!CurveTable,MATCH($H$4,[1]!CurveType,0))</f>
        <v>7.4999999999999997E-2</v>
      </c>
      <c r="I17" s="31">
        <f>H17+Inputs!$B$22</f>
        <v>7.4999999999999997E-2</v>
      </c>
      <c r="J17" s="44">
        <f t="shared" si="8"/>
        <v>7.4999999999999997E-2</v>
      </c>
      <c r="K17" s="25">
        <f>VLOOKUP($A17,[1]!CurveTable,MATCH($K$4,[1]!CurveType,0))</f>
        <v>0</v>
      </c>
      <c r="L17" s="31">
        <v>0</v>
      </c>
      <c r="M17" s="45">
        <f t="shared" si="9"/>
        <v>0</v>
      </c>
      <c r="N17" s="25">
        <f>VLOOKUP($A17,[1]!CurveTable,MATCH($N$4,[1]!CurveType,0))</f>
        <v>6.0000000000000001E-3</v>
      </c>
      <c r="O17" s="31">
        <f>N17+Inputs!$E$22</f>
        <v>6.0000000000000001E-3</v>
      </c>
      <c r="P17" s="45">
        <f t="shared" si="10"/>
        <v>6.0000000000000001E-3</v>
      </c>
      <c r="Q17" s="25">
        <f>VLOOKUP($A17,[1]!CurveTable,MATCH($Q$4,[1]!CurveType,0))</f>
        <v>7.4999999999999997E-3</v>
      </c>
      <c r="R17" s="31">
        <v>0</v>
      </c>
      <c r="S17" s="45">
        <f t="shared" si="11"/>
        <v>0</v>
      </c>
      <c r="T17" s="4"/>
      <c r="U17" s="159">
        <f t="shared" si="25"/>
        <v>4.0670000000000002</v>
      </c>
      <c r="V17" s="160"/>
      <c r="W17" s="100">
        <f>VLOOKUP($A17,[1]!CurveTable,MATCH($W$4,[1]!CurveType,0))+$W$9</f>
        <v>0.3</v>
      </c>
      <c r="X17" s="100">
        <f>VLOOKUP($A17,[1]!CurveTable,MATCH($X$4,[1]!CurveType,0))+$X$9</f>
        <v>0.30499999999999999</v>
      </c>
      <c r="Y17" s="158">
        <f t="shared" ca="1" si="12"/>
        <v>0.31128878749459987</v>
      </c>
      <c r="Z17" s="4"/>
      <c r="AA17" s="159">
        <f t="shared" si="26"/>
        <v>3.9980000000000002</v>
      </c>
      <c r="AB17" s="160"/>
      <c r="AC17" s="100">
        <f>VLOOKUP($A17,[1]!CurveTable,MATCH($AC$4,[1]!CurveType,0))+$AC$9</f>
        <v>0.3</v>
      </c>
      <c r="AD17" s="100">
        <f>VLOOKUP($A17,[1]!CurveTable,MATCH($AD$4,[1]!CurveType,0))+$AD$9</f>
        <v>0.30499999999999999</v>
      </c>
      <c r="AE17" s="158">
        <f t="shared" ca="1" si="13"/>
        <v>0.31128878749459987</v>
      </c>
      <c r="AF17" s="4"/>
      <c r="AG17" s="52">
        <f ca="1">((Inputs!$F$20*(X17*AD17)*(A17-$C$3))+(Inputs!$F$19*W17*AC17*(DAY(EOMONTH(A17,0))/2)))/(AN17*Y17*AE17)</f>
        <v>0.75</v>
      </c>
      <c r="AH17" s="4"/>
      <c r="AI17" s="18">
        <f>Inputs!$B$15</f>
        <v>0.06</v>
      </c>
      <c r="AJ17" s="46"/>
      <c r="AK17" s="18">
        <f t="shared" si="14"/>
        <v>8.9999999999999525E-3</v>
      </c>
      <c r="AL17" s="46"/>
      <c r="AM17" s="62">
        <f t="shared" si="15"/>
        <v>38321</v>
      </c>
      <c r="AN17" s="63">
        <f t="shared" ca="1" si="16"/>
        <v>1128</v>
      </c>
      <c r="AO17" s="63">
        <f t="shared" si="47"/>
        <v>1</v>
      </c>
      <c r="AP17" s="19"/>
      <c r="AQ17" s="74">
        <f ca="1">_xll.SPRDOPT(U17,AA17,AI17,AX17,X17,AD17,AG17,AN17,AO17,0)</f>
        <v>0.54020106809521906</v>
      </c>
      <c r="AR17" s="47">
        <f t="shared" ca="1" si="27"/>
        <v>837311.65554758953</v>
      </c>
      <c r="AS17" s="135">
        <f t="shared" ca="1" si="28"/>
        <v>0.53120106809521905</v>
      </c>
      <c r="AU17" s="5">
        <f t="shared" si="48"/>
        <v>31</v>
      </c>
      <c r="AV17" s="148">
        <f t="shared" si="18"/>
        <v>38367</v>
      </c>
      <c r="AW17" s="41">
        <f t="shared" ca="1" si="19"/>
        <v>1174</v>
      </c>
      <c r="AX17" s="100">
        <f>VLOOKUP($A17,[1]!CurveTable,MATCH(AX$4,[1]!CurveType,0))</f>
        <v>3.9736460642034302E-2</v>
      </c>
      <c r="AY17" s="149">
        <f ca="1">1/(1+CHOOSE(F$3,(AX18+(Inputs!$B$14/10000))/2,(AX17+(Inputs!$B$14/10000))/2))^(2*AW17/365.25)</f>
        <v>0.88120045690308557</v>
      </c>
      <c r="AZ17" s="41">
        <f t="shared" si="49"/>
        <v>1</v>
      </c>
      <c r="BA17" s="72">
        <f t="shared" si="50"/>
        <v>31</v>
      </c>
      <c r="BC17" s="65">
        <f t="shared" ca="1" si="29"/>
        <v>5377393.6081825439</v>
      </c>
      <c r="BD17" s="65">
        <f t="shared" ca="1" si="30"/>
        <v>5452515.9471335327</v>
      </c>
      <c r="BE17" s="65">
        <f t="shared" ca="1" si="31"/>
        <v>5452515.9471335327</v>
      </c>
      <c r="BF17" s="65">
        <f t="shared" ca="1" si="32"/>
        <v>102439.55311498369</v>
      </c>
      <c r="BG17" s="65">
        <f t="shared" ca="1" si="33"/>
        <v>102439.55311498369</v>
      </c>
      <c r="BH17" s="65">
        <f t="shared" ca="1" si="34"/>
        <v>102439.55311498369</v>
      </c>
      <c r="BI17" s="65">
        <f t="shared" ca="1" si="35"/>
        <v>0</v>
      </c>
      <c r="BJ17" s="65">
        <f t="shared" ca="1" si="36"/>
        <v>0</v>
      </c>
      <c r="BK17" s="65">
        <f t="shared" ca="1" si="37"/>
        <v>0</v>
      </c>
      <c r="BL17" s="65">
        <f t="shared" ca="1" si="38"/>
        <v>8195.164249198695</v>
      </c>
      <c r="BM17" s="65">
        <f t="shared" ca="1" si="39"/>
        <v>8195.164249198695</v>
      </c>
      <c r="BN17" s="65">
        <f t="shared" ca="1" si="40"/>
        <v>8195.164249198695</v>
      </c>
      <c r="BO17" s="65">
        <f t="shared" ca="1" si="41"/>
        <v>10243.955311498368</v>
      </c>
      <c r="BP17" s="65">
        <f t="shared" ca="1" si="42"/>
        <v>0</v>
      </c>
      <c r="BQ17" s="65">
        <f t="shared" ca="1" si="43"/>
        <v>0</v>
      </c>
      <c r="BR17" s="65">
        <f t="shared" ca="1" si="44"/>
        <v>5554955.500248516</v>
      </c>
      <c r="BS17" s="65">
        <f t="shared" ca="1" si="45"/>
        <v>5460711.1113827312</v>
      </c>
      <c r="BT17" s="65">
        <f t="shared" ca="1" si="46"/>
        <v>81951.642491986946</v>
      </c>
      <c r="BU17" s="65">
        <f t="shared" ca="1" si="23"/>
        <v>12292.746373797978</v>
      </c>
    </row>
    <row r="18" spans="1:73">
      <c r="A18" s="42">
        <f t="shared" si="24"/>
        <v>38384</v>
      </c>
      <c r="B18" s="30">
        <f>Inputs!$B$8</f>
        <v>50000</v>
      </c>
      <c r="C18" s="17">
        <f t="shared" si="5"/>
        <v>1400000</v>
      </c>
      <c r="D18" s="17">
        <f t="shared" ca="1" si="6"/>
        <v>1227868.0998858262</v>
      </c>
      <c r="E18" s="25">
        <f>VLOOKUP($A18,[1]!CurveTable,MATCH($E$4,[1]!CurveType,0))</f>
        <v>3.85</v>
      </c>
      <c r="F18" s="31">
        <f>E18-Inputs!$B$16</f>
        <v>3.9050000000000002</v>
      </c>
      <c r="G18" s="43">
        <f t="shared" si="7"/>
        <v>3.9050000000000002</v>
      </c>
      <c r="H18" s="25">
        <f>VLOOKUP($A18,[1]!CurveTable,MATCH($H$4,[1]!CurveType,0))</f>
        <v>7.4999999999999997E-2</v>
      </c>
      <c r="I18" s="31">
        <f>H18+Inputs!$B$22</f>
        <v>7.4999999999999997E-2</v>
      </c>
      <c r="J18" s="44">
        <f t="shared" si="8"/>
        <v>7.4999999999999997E-2</v>
      </c>
      <c r="K18" s="25">
        <f>VLOOKUP($A18,[1]!CurveTable,MATCH($K$4,[1]!CurveType,0))</f>
        <v>0</v>
      </c>
      <c r="L18" s="31">
        <v>0</v>
      </c>
      <c r="M18" s="45">
        <f t="shared" si="9"/>
        <v>0</v>
      </c>
      <c r="N18" s="25">
        <f>VLOOKUP($A18,[1]!CurveTable,MATCH($N$4,[1]!CurveType,0))</f>
        <v>6.0000000000000001E-3</v>
      </c>
      <c r="O18" s="31">
        <f>N18+Inputs!$E$22</f>
        <v>6.0000000000000001E-3</v>
      </c>
      <c r="P18" s="45">
        <f t="shared" si="10"/>
        <v>6.0000000000000001E-3</v>
      </c>
      <c r="Q18" s="25">
        <f>VLOOKUP($A18,[1]!CurveTable,MATCH($Q$4,[1]!CurveType,0))</f>
        <v>7.4999999999999997E-3</v>
      </c>
      <c r="R18" s="31">
        <v>0</v>
      </c>
      <c r="S18" s="45">
        <f t="shared" si="11"/>
        <v>0</v>
      </c>
      <c r="T18" s="4"/>
      <c r="U18" s="159">
        <f t="shared" si="25"/>
        <v>3.9800000000000004</v>
      </c>
      <c r="V18" s="160"/>
      <c r="W18" s="100">
        <f>VLOOKUP($A18,[1]!CurveTable,MATCH($W$4,[1]!CurveType,0))+$W$9</f>
        <v>0.29749999999999999</v>
      </c>
      <c r="X18" s="100">
        <f>VLOOKUP($A18,[1]!CurveTable,MATCH($X$4,[1]!CurveType,0))+$X$9</f>
        <v>0.30249999999999999</v>
      </c>
      <c r="Y18" s="158">
        <f t="shared" ca="1" si="12"/>
        <v>0.30838586035957494</v>
      </c>
      <c r="Z18" s="4"/>
      <c r="AA18" s="159">
        <f t="shared" si="26"/>
        <v>3.911</v>
      </c>
      <c r="AB18" s="160"/>
      <c r="AC18" s="100">
        <f>VLOOKUP($A18,[1]!CurveTable,MATCH($AC$4,[1]!CurveType,0))+$AC$9</f>
        <v>0.29749999999999999</v>
      </c>
      <c r="AD18" s="100">
        <f>VLOOKUP($A18,[1]!CurveTable,MATCH($AD$4,[1]!CurveType,0))+$AD$9</f>
        <v>0.30249999999999999</v>
      </c>
      <c r="AE18" s="158">
        <f t="shared" ca="1" si="13"/>
        <v>0.30838586035957494</v>
      </c>
      <c r="AF18" s="4"/>
      <c r="AG18" s="52">
        <f ca="1">((Inputs!$F$20*(X18*AD18)*(A18-$C$3))+(Inputs!$F$19*W18*AC18*(DAY(EOMONTH(A18,0))/2)))/(AN18*Y18*AE18)</f>
        <v>0.75000000000000011</v>
      </c>
      <c r="AH18" s="4"/>
      <c r="AI18" s="18">
        <f>Inputs!$B$15</f>
        <v>0.06</v>
      </c>
      <c r="AJ18" s="46"/>
      <c r="AK18" s="18">
        <f t="shared" si="14"/>
        <v>9.0000000000003966E-3</v>
      </c>
      <c r="AL18" s="46"/>
      <c r="AM18" s="62">
        <f t="shared" si="15"/>
        <v>38352</v>
      </c>
      <c r="AN18" s="63">
        <f t="shared" ca="1" si="16"/>
        <v>1159</v>
      </c>
      <c r="AO18" s="63">
        <f t="shared" si="47"/>
        <v>1</v>
      </c>
      <c r="AP18" s="19"/>
      <c r="AQ18" s="74">
        <f ca="1">_xll.SPRDOPT(U18,AA18,AI18,AX18,X18,AD18,AG18,AN18,AO18,0)</f>
        <v>0.52889831620088634</v>
      </c>
      <c r="AR18" s="47">
        <f t="shared" ca="1" si="27"/>
        <v>740457.64268124092</v>
      </c>
      <c r="AS18" s="135">
        <f t="shared" ca="1" si="28"/>
        <v>0.51989831620088589</v>
      </c>
      <c r="AU18" s="5">
        <f t="shared" si="48"/>
        <v>28</v>
      </c>
      <c r="AV18" s="148">
        <f t="shared" si="18"/>
        <v>38398</v>
      </c>
      <c r="AW18" s="41">
        <f t="shared" ca="1" si="19"/>
        <v>1205</v>
      </c>
      <c r="AX18" s="100">
        <f>VLOOKUP($A18,[1]!CurveTable,MATCH(AX$4,[1]!CurveType,0))</f>
        <v>4.01640927577325E-2</v>
      </c>
      <c r="AY18" s="149">
        <f ca="1">1/(1+CHOOSE(F$3,(AX19+(Inputs!$B$14/10000))/2,(AX18+(Inputs!$B$14/10000))/2))^(2*AW18/365.25)</f>
        <v>0.87704864277559025</v>
      </c>
      <c r="AZ18" s="41">
        <f t="shared" si="49"/>
        <v>1</v>
      </c>
      <c r="BA18" s="72">
        <f t="shared" si="50"/>
        <v>28</v>
      </c>
      <c r="BC18" s="65">
        <f t="shared" ca="1" si="29"/>
        <v>4727292.1845604312</v>
      </c>
      <c r="BD18" s="65">
        <f t="shared" ca="1" si="30"/>
        <v>4794824.9300541515</v>
      </c>
      <c r="BE18" s="65">
        <f t="shared" ca="1" si="31"/>
        <v>4794824.9300541515</v>
      </c>
      <c r="BF18" s="65">
        <f t="shared" ca="1" si="32"/>
        <v>92090.107491436967</v>
      </c>
      <c r="BG18" s="65">
        <f t="shared" ca="1" si="33"/>
        <v>92090.107491436967</v>
      </c>
      <c r="BH18" s="65">
        <f t="shared" ca="1" si="34"/>
        <v>92090.107491436967</v>
      </c>
      <c r="BI18" s="65">
        <f t="shared" ca="1" si="35"/>
        <v>0</v>
      </c>
      <c r="BJ18" s="65">
        <f t="shared" ca="1" si="36"/>
        <v>0</v>
      </c>
      <c r="BK18" s="65">
        <f t="shared" ca="1" si="37"/>
        <v>0</v>
      </c>
      <c r="BL18" s="65">
        <f t="shared" ca="1" si="38"/>
        <v>7367.2085993149576</v>
      </c>
      <c r="BM18" s="65">
        <f t="shared" ca="1" si="39"/>
        <v>7367.2085993149576</v>
      </c>
      <c r="BN18" s="65">
        <f t="shared" ca="1" si="40"/>
        <v>7367.2085993149576</v>
      </c>
      <c r="BO18" s="65">
        <f t="shared" ca="1" si="41"/>
        <v>9209.0107491436956</v>
      </c>
      <c r="BP18" s="65">
        <f t="shared" ca="1" si="42"/>
        <v>0</v>
      </c>
      <c r="BQ18" s="65">
        <f t="shared" ca="1" si="43"/>
        <v>0</v>
      </c>
      <c r="BR18" s="65">
        <f t="shared" ca="1" si="44"/>
        <v>4886915.0375455888</v>
      </c>
      <c r="BS18" s="65">
        <f t="shared" ca="1" si="45"/>
        <v>4802192.1386534665</v>
      </c>
      <c r="BT18" s="65">
        <f t="shared" ca="1" si="46"/>
        <v>73672.085993149565</v>
      </c>
      <c r="BU18" s="65">
        <f t="shared" ca="1" si="23"/>
        <v>11050.812898972923</v>
      </c>
    </row>
    <row r="19" spans="1:73">
      <c r="A19" s="42">
        <f t="shared" si="24"/>
        <v>38412</v>
      </c>
      <c r="B19" s="30">
        <f>Inputs!$B$8</f>
        <v>50000</v>
      </c>
      <c r="C19" s="17">
        <f t="shared" si="5"/>
        <v>1550000</v>
      </c>
      <c r="D19" s="17">
        <f t="shared" ca="1" si="6"/>
        <v>1353556.4666300034</v>
      </c>
      <c r="E19" s="25">
        <f>VLOOKUP($A19,[1]!CurveTable,MATCH($E$4,[1]!CurveType,0))</f>
        <v>3.7110000000000003</v>
      </c>
      <c r="F19" s="31">
        <f>E19-Inputs!$B$16</f>
        <v>3.7660000000000005</v>
      </c>
      <c r="G19" s="43">
        <f t="shared" si="7"/>
        <v>3.7660000000000005</v>
      </c>
      <c r="H19" s="25">
        <f>VLOOKUP($A19,[1]!CurveTable,MATCH($H$4,[1]!CurveType,0))</f>
        <v>0.25</v>
      </c>
      <c r="I19" s="31">
        <f>H19+Inputs!$B$22</f>
        <v>0.25</v>
      </c>
      <c r="J19" s="44">
        <f t="shared" si="8"/>
        <v>0.25</v>
      </c>
      <c r="K19" s="25">
        <f>VLOOKUP($A19,[1]!CurveTable,MATCH($K$4,[1]!CurveType,0))</f>
        <v>0</v>
      </c>
      <c r="L19" s="31">
        <v>0</v>
      </c>
      <c r="M19" s="45">
        <f t="shared" si="9"/>
        <v>0</v>
      </c>
      <c r="N19" s="25">
        <f>VLOOKUP($A19,[1]!CurveTable,MATCH($N$4,[1]!CurveType,0))</f>
        <v>6.0000000000000001E-3</v>
      </c>
      <c r="O19" s="31">
        <f>N19+Inputs!$E$22</f>
        <v>6.0000000000000001E-3</v>
      </c>
      <c r="P19" s="45">
        <f t="shared" si="10"/>
        <v>6.0000000000000001E-3</v>
      </c>
      <c r="Q19" s="25">
        <f>VLOOKUP($A19,[1]!CurveTable,MATCH($Q$4,[1]!CurveType,0))</f>
        <v>7.4999999999999997E-3</v>
      </c>
      <c r="R19" s="31">
        <v>0</v>
      </c>
      <c r="S19" s="45">
        <f t="shared" si="11"/>
        <v>0</v>
      </c>
      <c r="T19" s="4"/>
      <c r="U19" s="159">
        <f t="shared" si="25"/>
        <v>4.016</v>
      </c>
      <c r="V19" s="160"/>
      <c r="W19" s="100">
        <f>VLOOKUP($A19,[1]!CurveTable,MATCH($W$4,[1]!CurveType,0))+$W$9</f>
        <v>0.28249999999999997</v>
      </c>
      <c r="X19" s="100">
        <f>VLOOKUP($A19,[1]!CurveTable,MATCH($X$4,[1]!CurveType,0))+$X$9</f>
        <v>0.28749999999999998</v>
      </c>
      <c r="Y19" s="158">
        <f t="shared" ca="1" si="12"/>
        <v>0.29276279672639216</v>
      </c>
      <c r="Z19" s="4"/>
      <c r="AA19" s="159">
        <f t="shared" si="26"/>
        <v>3.7720000000000002</v>
      </c>
      <c r="AB19" s="160"/>
      <c r="AC19" s="100">
        <f>VLOOKUP($A19,[1]!CurveTable,MATCH($AC$4,[1]!CurveType,0))+$AC$9</f>
        <v>0.28249999999999997</v>
      </c>
      <c r="AD19" s="100">
        <f>VLOOKUP($A19,[1]!CurveTable,MATCH($AD$4,[1]!CurveType,0))+$AD$9</f>
        <v>0.28749999999999998</v>
      </c>
      <c r="AE19" s="158">
        <f t="shared" ca="1" si="13"/>
        <v>0.29276279672639216</v>
      </c>
      <c r="AF19" s="4"/>
      <c r="AG19" s="52">
        <f ca="1">((Inputs!$F$20*(X19*AD19)*(A19-$C$3))+(Inputs!$F$19*W19*AC19*(DAY(EOMONTH(A19,0))/2)))/(AN19*Y19*AE19)</f>
        <v>0.74999999999999989</v>
      </c>
      <c r="AH19" s="4"/>
      <c r="AI19" s="18">
        <f>Inputs!$B$15</f>
        <v>0.06</v>
      </c>
      <c r="AJ19" s="46"/>
      <c r="AK19" s="18">
        <f t="shared" si="14"/>
        <v>0.18399999999999977</v>
      </c>
      <c r="AL19" s="46"/>
      <c r="AM19" s="62">
        <f t="shared" si="15"/>
        <v>38383</v>
      </c>
      <c r="AN19" s="63">
        <f t="shared" ca="1" si="16"/>
        <v>1190</v>
      </c>
      <c r="AO19" s="63">
        <f t="shared" si="47"/>
        <v>1</v>
      </c>
      <c r="AP19" s="19"/>
      <c r="AQ19" s="74">
        <f ca="1">_xll.SPRDOPT(U19,AA19,AI19,AX19,X19,AD19,AG19,AN19,AO19,0)</f>
        <v>0.58146106360769467</v>
      </c>
      <c r="AR19" s="47">
        <f t="shared" ca="1" si="27"/>
        <v>901264.64859192679</v>
      </c>
      <c r="AS19" s="135">
        <f t="shared" ca="1" si="28"/>
        <v>0.3974610636076949</v>
      </c>
      <c r="AU19" s="5">
        <f t="shared" si="48"/>
        <v>31</v>
      </c>
      <c r="AV19" s="148">
        <f t="shared" si="18"/>
        <v>38426</v>
      </c>
      <c r="AW19" s="41">
        <f t="shared" ca="1" si="19"/>
        <v>1233</v>
      </c>
      <c r="AX19" s="100">
        <f>VLOOKUP($A19,[1]!CurveTable,MATCH(AX$4,[1]!CurveType,0))</f>
        <v>4.0550341173031704E-2</v>
      </c>
      <c r="AY19" s="149">
        <f ca="1">1/(1+CHOOSE(F$3,(AX20+(Inputs!$B$14/10000))/2,(AX19+(Inputs!$B$14/10000))/2))^(2*AW19/365.25)</f>
        <v>0.87326223653548607</v>
      </c>
      <c r="AZ19" s="41">
        <f t="shared" si="49"/>
        <v>1</v>
      </c>
      <c r="BA19" s="72">
        <f t="shared" si="50"/>
        <v>31</v>
      </c>
      <c r="BC19" s="65">
        <f t="shared" ca="1" si="29"/>
        <v>5023048.0476639429</v>
      </c>
      <c r="BD19" s="65">
        <f t="shared" ca="1" si="30"/>
        <v>5097493.6533285938</v>
      </c>
      <c r="BE19" s="65">
        <f t="shared" ca="1" si="31"/>
        <v>5097493.6533285938</v>
      </c>
      <c r="BF19" s="65">
        <f t="shared" ca="1" si="32"/>
        <v>338389.11665750085</v>
      </c>
      <c r="BG19" s="65">
        <f t="shared" ca="1" si="33"/>
        <v>338389.11665750085</v>
      </c>
      <c r="BH19" s="65">
        <f t="shared" ca="1" si="34"/>
        <v>338389.11665750085</v>
      </c>
      <c r="BI19" s="65">
        <f t="shared" ca="1" si="35"/>
        <v>0</v>
      </c>
      <c r="BJ19" s="65">
        <f t="shared" ca="1" si="36"/>
        <v>0</v>
      </c>
      <c r="BK19" s="65">
        <f t="shared" ca="1" si="37"/>
        <v>0</v>
      </c>
      <c r="BL19" s="65">
        <f t="shared" ca="1" si="38"/>
        <v>8121.338799780021</v>
      </c>
      <c r="BM19" s="65">
        <f t="shared" ca="1" si="39"/>
        <v>8121.338799780021</v>
      </c>
      <c r="BN19" s="65">
        <f t="shared" ca="1" si="40"/>
        <v>8121.338799780021</v>
      </c>
      <c r="BO19" s="65">
        <f t="shared" ca="1" si="41"/>
        <v>10151.673499725026</v>
      </c>
      <c r="BP19" s="65">
        <f t="shared" ca="1" si="42"/>
        <v>0</v>
      </c>
      <c r="BQ19" s="65">
        <f t="shared" ca="1" si="43"/>
        <v>0</v>
      </c>
      <c r="BR19" s="65">
        <f t="shared" ca="1" si="44"/>
        <v>5435882.769986094</v>
      </c>
      <c r="BS19" s="65">
        <f t="shared" ca="1" si="45"/>
        <v>5105614.9921283731</v>
      </c>
      <c r="BT19" s="65">
        <f t="shared" ca="1" si="46"/>
        <v>81213.387997800208</v>
      </c>
      <c r="BU19" s="65">
        <f t="shared" ca="1" si="23"/>
        <v>249054.38985992031</v>
      </c>
    </row>
    <row r="20" spans="1:73">
      <c r="A20" s="42">
        <f t="shared" si="24"/>
        <v>38443</v>
      </c>
      <c r="B20" s="30">
        <f>Inputs!$B$8</f>
        <v>50000</v>
      </c>
      <c r="C20" s="17">
        <f t="shared" si="5"/>
        <v>1500000</v>
      </c>
      <c r="D20" s="17">
        <f t="shared" ca="1" si="6"/>
        <v>1303674.1220115756</v>
      </c>
      <c r="E20" s="25">
        <f>VLOOKUP($A20,[1]!CurveTable,MATCH($E$4,[1]!CurveType,0))</f>
        <v>3.5570000000000004</v>
      </c>
      <c r="F20" s="31">
        <f>E20-Inputs!$B$16</f>
        <v>3.6120000000000005</v>
      </c>
      <c r="G20" s="43">
        <f t="shared" si="7"/>
        <v>3.6120000000000005</v>
      </c>
      <c r="H20" s="25">
        <f>VLOOKUP($A20,[1]!CurveTable,MATCH($H$4,[1]!CurveType,0))</f>
        <v>0.6</v>
      </c>
      <c r="I20" s="31">
        <f>H20+Inputs!$B$22</f>
        <v>0.6</v>
      </c>
      <c r="J20" s="44">
        <f t="shared" si="8"/>
        <v>0.6</v>
      </c>
      <c r="K20" s="25">
        <f>VLOOKUP($A20,[1]!CurveTable,MATCH($K$4,[1]!CurveType,0))</f>
        <v>0</v>
      </c>
      <c r="L20" s="31">
        <v>0</v>
      </c>
      <c r="M20" s="45">
        <f t="shared" si="9"/>
        <v>0</v>
      </c>
      <c r="N20" s="25">
        <f>VLOOKUP($A20,[1]!CurveTable,MATCH($N$4,[1]!CurveType,0))</f>
        <v>0.01</v>
      </c>
      <c r="O20" s="31">
        <f>N20+Inputs!$E$22</f>
        <v>0.01</v>
      </c>
      <c r="P20" s="45">
        <f t="shared" si="10"/>
        <v>0.01</v>
      </c>
      <c r="Q20" s="25">
        <f>VLOOKUP($A20,[1]!CurveTable,MATCH($Q$4,[1]!CurveType,0))</f>
        <v>7.4999999999999997E-3</v>
      </c>
      <c r="R20" s="31">
        <v>0</v>
      </c>
      <c r="S20" s="45">
        <f t="shared" si="11"/>
        <v>0</v>
      </c>
      <c r="T20" s="4"/>
      <c r="U20" s="159">
        <f t="shared" si="25"/>
        <v>4.2120000000000006</v>
      </c>
      <c r="V20" s="160"/>
      <c r="W20" s="100">
        <f>VLOOKUP($A20,[1]!CurveTable,MATCH($W$4,[1]!CurveType,0))+$W$9</f>
        <v>0.27</v>
      </c>
      <c r="X20" s="100">
        <f>VLOOKUP($A20,[1]!CurveTable,MATCH($X$4,[1]!CurveType,0))+$X$9</f>
        <v>0.27500000000000002</v>
      </c>
      <c r="Y20" s="158">
        <f t="shared" ca="1" si="12"/>
        <v>0.2801957297358994</v>
      </c>
      <c r="Z20" s="4"/>
      <c r="AA20" s="159">
        <f t="shared" si="26"/>
        <v>3.6220000000000003</v>
      </c>
      <c r="AB20" s="160"/>
      <c r="AC20" s="100">
        <f>VLOOKUP($A20,[1]!CurveTable,MATCH($AC$4,[1]!CurveType,0))+$AC$9</f>
        <v>0.27</v>
      </c>
      <c r="AD20" s="100">
        <f>VLOOKUP($A20,[1]!CurveTable,MATCH($AD$4,[1]!CurveType,0))+$AD$9</f>
        <v>0.27500000000000002</v>
      </c>
      <c r="AE20" s="158">
        <f t="shared" ca="1" si="13"/>
        <v>0.2801957297358994</v>
      </c>
      <c r="AF20" s="4"/>
      <c r="AG20" s="52">
        <f ca="1">((Inputs!$F$20*(X20*AD20)*(A20-$C$3))+(Inputs!$F$19*W20*AC20*(DAY(EOMONTH(A20,0))/2)))/(AN20*Y20*AE20)</f>
        <v>0.75000000000000011</v>
      </c>
      <c r="AH20" s="4"/>
      <c r="AI20" s="18">
        <f>Inputs!$B$15</f>
        <v>0.06</v>
      </c>
      <c r="AJ20" s="46"/>
      <c r="AK20" s="18">
        <f t="shared" si="14"/>
        <v>0.53000000000000025</v>
      </c>
      <c r="AL20" s="46"/>
      <c r="AM20" s="62">
        <f t="shared" si="15"/>
        <v>38411</v>
      </c>
      <c r="AN20" s="63">
        <f t="shared" ca="1" si="16"/>
        <v>1218</v>
      </c>
      <c r="AO20" s="63">
        <f t="shared" si="47"/>
        <v>1</v>
      </c>
      <c r="AP20" s="19"/>
      <c r="AQ20" s="74">
        <f ca="1">_xll.SPRDOPT(U20,AA20,AI20,AX20,X20,AD20,AG20,AN20,AO20,0)</f>
        <v>0.74691976954699402</v>
      </c>
      <c r="AR20" s="47">
        <f t="shared" ca="1" si="27"/>
        <v>1120379.654320491</v>
      </c>
      <c r="AS20" s="135">
        <f t="shared" ca="1" si="28"/>
        <v>0.21691976954699377</v>
      </c>
      <c r="AU20" s="5">
        <f t="shared" si="48"/>
        <v>30</v>
      </c>
      <c r="AV20" s="148">
        <f t="shared" si="18"/>
        <v>38457</v>
      </c>
      <c r="AW20" s="41">
        <f t="shared" ca="1" si="19"/>
        <v>1264</v>
      </c>
      <c r="AX20" s="100">
        <f>VLOOKUP($A20,[1]!CurveTable,MATCH(AX$4,[1]!CurveType,0))</f>
        <v>4.0948974275518205E-2</v>
      </c>
      <c r="AY20" s="149">
        <f ca="1">1/(1+CHOOSE(F$3,(AX21+(Inputs!$B$14/10000))/2,(AX20+(Inputs!$B$14/10000))/2))^(2*AW20/365.25)</f>
        <v>0.86911608134105034</v>
      </c>
      <c r="AZ20" s="41">
        <f t="shared" si="49"/>
        <v>1</v>
      </c>
      <c r="BA20" s="72">
        <f t="shared" si="50"/>
        <v>30</v>
      </c>
      <c r="BC20" s="65">
        <f t="shared" ca="1" si="29"/>
        <v>4637168.8519951748</v>
      </c>
      <c r="BD20" s="65">
        <f t="shared" ca="1" si="30"/>
        <v>4708870.9287058115</v>
      </c>
      <c r="BE20" s="65">
        <f t="shared" ca="1" si="31"/>
        <v>4708870.9287058115</v>
      </c>
      <c r="BF20" s="65">
        <f t="shared" ca="1" si="32"/>
        <v>782204.47320694535</v>
      </c>
      <c r="BG20" s="65">
        <f t="shared" ca="1" si="33"/>
        <v>782204.47320694535</v>
      </c>
      <c r="BH20" s="65">
        <f t="shared" ca="1" si="34"/>
        <v>782204.47320694535</v>
      </c>
      <c r="BI20" s="65">
        <f t="shared" ca="1" si="35"/>
        <v>0</v>
      </c>
      <c r="BJ20" s="65">
        <f t="shared" ca="1" si="36"/>
        <v>0</v>
      </c>
      <c r="BK20" s="65">
        <f t="shared" ca="1" si="37"/>
        <v>0</v>
      </c>
      <c r="BL20" s="65">
        <f t="shared" ca="1" si="38"/>
        <v>13036.741220115757</v>
      </c>
      <c r="BM20" s="65">
        <f t="shared" ca="1" si="39"/>
        <v>13036.741220115757</v>
      </c>
      <c r="BN20" s="65">
        <f t="shared" ca="1" si="40"/>
        <v>13036.741220115757</v>
      </c>
      <c r="BO20" s="65">
        <f t="shared" ca="1" si="41"/>
        <v>9777.5559150868175</v>
      </c>
      <c r="BP20" s="65">
        <f t="shared" ca="1" si="42"/>
        <v>0</v>
      </c>
      <c r="BQ20" s="65">
        <f t="shared" ca="1" si="43"/>
        <v>0</v>
      </c>
      <c r="BR20" s="65">
        <f t="shared" ca="1" si="44"/>
        <v>5491075.4019127572</v>
      </c>
      <c r="BS20" s="65">
        <f t="shared" ca="1" si="45"/>
        <v>4721907.6699259272</v>
      </c>
      <c r="BT20" s="65">
        <f t="shared" ca="1" si="46"/>
        <v>78220.44732069454</v>
      </c>
      <c r="BU20" s="65">
        <f t="shared" ca="1" si="23"/>
        <v>690947.28466613544</v>
      </c>
    </row>
    <row r="21" spans="1:73">
      <c r="A21" s="42">
        <f t="shared" si="24"/>
        <v>38473</v>
      </c>
      <c r="B21" s="30">
        <f>Inputs!$B$8</f>
        <v>50000</v>
      </c>
      <c r="C21" s="17">
        <f t="shared" si="5"/>
        <v>1550000</v>
      </c>
      <c r="D21" s="17">
        <f t="shared" ca="1" si="6"/>
        <v>1340972.922700474</v>
      </c>
      <c r="E21" s="25">
        <f>VLOOKUP($A21,[1]!CurveTable,MATCH($E$4,[1]!CurveType,0))</f>
        <v>3.5620000000000003</v>
      </c>
      <c r="F21" s="31">
        <f>E21-Inputs!$B$16</f>
        <v>3.6170000000000004</v>
      </c>
      <c r="G21" s="43">
        <f t="shared" si="7"/>
        <v>3.6170000000000004</v>
      </c>
      <c r="H21" s="25">
        <f>VLOOKUP($A21,[1]!CurveTable,MATCH($H$4,[1]!CurveType,0))</f>
        <v>0.75</v>
      </c>
      <c r="I21" s="31">
        <f>H21+Inputs!$B$22</f>
        <v>0.75</v>
      </c>
      <c r="J21" s="44">
        <f t="shared" si="8"/>
        <v>0.75</v>
      </c>
      <c r="K21" s="25">
        <f>VLOOKUP($A21,[1]!CurveTable,MATCH($K$4,[1]!CurveType,0))</f>
        <v>0</v>
      </c>
      <c r="L21" s="31">
        <v>0</v>
      </c>
      <c r="M21" s="45">
        <f t="shared" si="9"/>
        <v>0</v>
      </c>
      <c r="N21" s="25">
        <f>VLOOKUP($A21,[1]!CurveTable,MATCH($N$4,[1]!CurveType,0))</f>
        <v>0.01</v>
      </c>
      <c r="O21" s="31">
        <f>N21+Inputs!$E$22</f>
        <v>0.01</v>
      </c>
      <c r="P21" s="45">
        <f t="shared" si="10"/>
        <v>0.01</v>
      </c>
      <c r="Q21" s="25">
        <f>VLOOKUP($A21,[1]!CurveTable,MATCH($Q$4,[1]!CurveType,0))</f>
        <v>7.4999999999999997E-3</v>
      </c>
      <c r="R21" s="31">
        <v>0</v>
      </c>
      <c r="S21" s="45">
        <f t="shared" si="11"/>
        <v>0</v>
      </c>
      <c r="T21" s="4"/>
      <c r="U21" s="159">
        <f t="shared" si="25"/>
        <v>4.3670000000000009</v>
      </c>
      <c r="V21" s="160"/>
      <c r="W21" s="100">
        <f>VLOOKUP($A21,[1]!CurveTable,MATCH($W$4,[1]!CurveType,0))+$W$9</f>
        <v>0.52500000000000002</v>
      </c>
      <c r="X21" s="100">
        <f>VLOOKUP($A21,[1]!CurveTable,MATCH($X$4,[1]!CurveType,0))+$X$9</f>
        <v>0.53</v>
      </c>
      <c r="Y21" s="158">
        <f t="shared" ca="1" si="12"/>
        <v>0.5397150951262395</v>
      </c>
      <c r="Z21" s="4"/>
      <c r="AA21" s="159">
        <f t="shared" si="26"/>
        <v>3.6270000000000002</v>
      </c>
      <c r="AB21" s="160"/>
      <c r="AC21" s="100">
        <f>VLOOKUP($A21,[1]!CurveTable,MATCH($AC$4,[1]!CurveType,0))+$AC$9</f>
        <v>0.26250000000000001</v>
      </c>
      <c r="AD21" s="100">
        <f>VLOOKUP($A21,[1]!CurveTable,MATCH($AD$4,[1]!CurveType,0))+$AD$9</f>
        <v>0.26750000000000002</v>
      </c>
      <c r="AE21" s="158">
        <f t="shared" ca="1" si="13"/>
        <v>0.27237361731622967</v>
      </c>
      <c r="AF21" s="4"/>
      <c r="AG21" s="52">
        <f ca="1">((Inputs!$F$20*(X21*AD21)*(A21-$C$3))+(Inputs!$F$19*W21*AC21*(DAY(EOMONTH(A21,0))/2)))/(AN21*Y21*AE21)</f>
        <v>0.74999961982147101</v>
      </c>
      <c r="AH21" s="4"/>
      <c r="AI21" s="18">
        <f>Inputs!$B$15</f>
        <v>0.06</v>
      </c>
      <c r="AJ21" s="46"/>
      <c r="AK21" s="18">
        <f t="shared" si="14"/>
        <v>0.6800000000000006</v>
      </c>
      <c r="AL21" s="46"/>
      <c r="AM21" s="62">
        <f t="shared" si="15"/>
        <v>38442</v>
      </c>
      <c r="AN21" s="63">
        <f t="shared" ca="1" si="16"/>
        <v>1249</v>
      </c>
      <c r="AO21" s="63">
        <f t="shared" si="47"/>
        <v>1</v>
      </c>
      <c r="AP21" s="19"/>
      <c r="AQ21" s="74">
        <f ca="1">_xll.SPRDOPT(U21,AA21,AI21,AX21,X21,AD21,AG21,AN21,AO21,0)</f>
        <v>1.2713456905954332</v>
      </c>
      <c r="AR21" s="47">
        <f t="shared" ca="1" si="27"/>
        <v>1970585.8204229216</v>
      </c>
      <c r="AS21" s="135">
        <f t="shared" ca="1" si="28"/>
        <v>0.59134569059543263</v>
      </c>
      <c r="AU21" s="5">
        <f t="shared" si="48"/>
        <v>31</v>
      </c>
      <c r="AV21" s="148">
        <f t="shared" si="18"/>
        <v>38487</v>
      </c>
      <c r="AW21" s="41">
        <f t="shared" ca="1" si="19"/>
        <v>1294</v>
      </c>
      <c r="AX21" s="100">
        <f>VLOOKUP($A21,[1]!CurveTable,MATCH(AX$4,[1]!CurveType,0))</f>
        <v>4.1309504009789097E-2</v>
      </c>
      <c r="AY21" s="149">
        <f ca="1">1/(1+CHOOSE(F$3,(AX22+(Inputs!$B$14/10000))/2,(AX21+(Inputs!$B$14/10000))/2))^(2*AW21/365.25)</f>
        <v>0.86514382109707999</v>
      </c>
      <c r="AZ21" s="41">
        <f t="shared" si="49"/>
        <v>1</v>
      </c>
      <c r="BA21" s="72">
        <f t="shared" si="50"/>
        <v>31</v>
      </c>
      <c r="BC21" s="65">
        <f t="shared" ca="1" si="29"/>
        <v>4776545.5506590893</v>
      </c>
      <c r="BD21" s="65">
        <f t="shared" ca="1" si="30"/>
        <v>4850299.0614076154</v>
      </c>
      <c r="BE21" s="65">
        <f t="shared" ca="1" si="31"/>
        <v>4850299.0614076154</v>
      </c>
      <c r="BF21" s="65">
        <f t="shared" ca="1" si="32"/>
        <v>1005729.6920253555</v>
      </c>
      <c r="BG21" s="65">
        <f t="shared" ca="1" si="33"/>
        <v>1005729.6920253555</v>
      </c>
      <c r="BH21" s="65">
        <f t="shared" ca="1" si="34"/>
        <v>1005729.6920253555</v>
      </c>
      <c r="BI21" s="65">
        <f t="shared" ca="1" si="35"/>
        <v>0</v>
      </c>
      <c r="BJ21" s="65">
        <f t="shared" ca="1" si="36"/>
        <v>0</v>
      </c>
      <c r="BK21" s="65">
        <f t="shared" ca="1" si="37"/>
        <v>0</v>
      </c>
      <c r="BL21" s="65">
        <f t="shared" ca="1" si="38"/>
        <v>13409.72922700474</v>
      </c>
      <c r="BM21" s="65">
        <f t="shared" ca="1" si="39"/>
        <v>13409.72922700474</v>
      </c>
      <c r="BN21" s="65">
        <f t="shared" ca="1" si="40"/>
        <v>13409.72922700474</v>
      </c>
      <c r="BO21" s="65">
        <f t="shared" ca="1" si="41"/>
        <v>10057.296920253555</v>
      </c>
      <c r="BP21" s="65">
        <f t="shared" ca="1" si="42"/>
        <v>0</v>
      </c>
      <c r="BQ21" s="65">
        <f t="shared" ca="1" si="43"/>
        <v>0</v>
      </c>
      <c r="BR21" s="65">
        <f t="shared" ca="1" si="44"/>
        <v>5856028.7534329714</v>
      </c>
      <c r="BS21" s="65">
        <f t="shared" ca="1" si="45"/>
        <v>4863708.79063462</v>
      </c>
      <c r="BT21" s="65">
        <f t="shared" ca="1" si="46"/>
        <v>80458.375362028441</v>
      </c>
      <c r="BU21" s="65">
        <f t="shared" ca="1" si="23"/>
        <v>911861.58743632317</v>
      </c>
    </row>
    <row r="22" spans="1:73">
      <c r="A22" s="42">
        <f t="shared" si="24"/>
        <v>38504</v>
      </c>
      <c r="B22" s="30">
        <f>Inputs!$B$8</f>
        <v>50000</v>
      </c>
      <c r="C22" s="17">
        <f t="shared" si="5"/>
        <v>1500000</v>
      </c>
      <c r="D22" s="17">
        <f t="shared" ca="1" si="6"/>
        <v>1291508.9037827095</v>
      </c>
      <c r="E22" s="25">
        <f>VLOOKUP($A22,[1]!CurveTable,MATCH($E$4,[1]!CurveType,0))</f>
        <v>3.6</v>
      </c>
      <c r="F22" s="31">
        <f>E22-Inputs!$B$16</f>
        <v>3.6550000000000002</v>
      </c>
      <c r="G22" s="43">
        <f t="shared" si="7"/>
        <v>3.6550000000000002</v>
      </c>
      <c r="H22" s="25">
        <f>VLOOKUP($A22,[1]!CurveTable,MATCH($H$4,[1]!CurveType,0))</f>
        <v>0.85</v>
      </c>
      <c r="I22" s="31">
        <f>H22+Inputs!$B$22</f>
        <v>0.85</v>
      </c>
      <c r="J22" s="44">
        <f t="shared" si="8"/>
        <v>0.85</v>
      </c>
      <c r="K22" s="25">
        <f>VLOOKUP($A22,[1]!CurveTable,MATCH($K$4,[1]!CurveType,0))</f>
        <v>0</v>
      </c>
      <c r="L22" s="31">
        <v>0</v>
      </c>
      <c r="M22" s="45">
        <f t="shared" si="9"/>
        <v>0</v>
      </c>
      <c r="N22" s="25">
        <f>VLOOKUP($A22,[1]!CurveTable,MATCH($N$4,[1]!CurveType,0))</f>
        <v>1.2500000000000001E-2</v>
      </c>
      <c r="O22" s="31">
        <f>N22+Inputs!$E$22</f>
        <v>1.2500000000000001E-2</v>
      </c>
      <c r="P22" s="45">
        <f t="shared" si="10"/>
        <v>1.2500000000000001E-2</v>
      </c>
      <c r="Q22" s="25">
        <f>VLOOKUP($A22,[1]!CurveTable,MATCH($Q$4,[1]!CurveType,0))</f>
        <v>7.4999999999999997E-3</v>
      </c>
      <c r="R22" s="31">
        <v>0</v>
      </c>
      <c r="S22" s="45">
        <f t="shared" si="11"/>
        <v>0</v>
      </c>
      <c r="T22" s="4"/>
      <c r="U22" s="159">
        <f t="shared" si="25"/>
        <v>4.5049999999999999</v>
      </c>
      <c r="V22" s="160"/>
      <c r="W22" s="100">
        <f>VLOOKUP($A22,[1]!CurveTable,MATCH($W$4,[1]!CurveType,0))+$W$9</f>
        <v>0.51500000000000001</v>
      </c>
      <c r="X22" s="100">
        <f>VLOOKUP($A22,[1]!CurveTable,MATCH($X$4,[1]!CurveType,0))+$X$9</f>
        <v>0.52</v>
      </c>
      <c r="Y22" s="158">
        <f t="shared" ca="1" si="12"/>
        <v>0.5294108243640947</v>
      </c>
      <c r="Z22" s="4"/>
      <c r="AA22" s="159">
        <f t="shared" si="26"/>
        <v>3.6675000000000004</v>
      </c>
      <c r="AB22" s="160"/>
      <c r="AC22" s="100">
        <f>VLOOKUP($A22,[1]!CurveTable,MATCH($AC$4,[1]!CurveType,0))+$AC$9</f>
        <v>0.25750000000000001</v>
      </c>
      <c r="AD22" s="100">
        <f>VLOOKUP($A22,[1]!CurveTable,MATCH($AD$4,[1]!CurveType,0))+$AD$9</f>
        <v>0.26250000000000001</v>
      </c>
      <c r="AE22" s="158">
        <f t="shared" ca="1" si="13"/>
        <v>0.26722254212755003</v>
      </c>
      <c r="AF22" s="4"/>
      <c r="AG22" s="52">
        <f ca="1">((Inputs!$F$20*(X22*AD22)*(A22-$C$3))+(Inputs!$F$19*W22*AC22*(DAY(EOMONTH(A22,0))/2)))/(AN22*Y22*AE22)</f>
        <v>0.74999962662357111</v>
      </c>
      <c r="AH22" s="4"/>
      <c r="AI22" s="18">
        <f>Inputs!$B$15</f>
        <v>0.06</v>
      </c>
      <c r="AJ22" s="46"/>
      <c r="AK22" s="18">
        <f t="shared" si="14"/>
        <v>0.77749999999999941</v>
      </c>
      <c r="AL22" s="46"/>
      <c r="AM22" s="62">
        <f t="shared" si="15"/>
        <v>38472</v>
      </c>
      <c r="AN22" s="63">
        <f t="shared" ca="1" si="16"/>
        <v>1279</v>
      </c>
      <c r="AO22" s="63">
        <f t="shared" si="47"/>
        <v>1</v>
      </c>
      <c r="AP22" s="19"/>
      <c r="AQ22" s="74">
        <f ca="1">_xll.SPRDOPT(U22,AA22,AI22,AX22,X22,AD22,AG22,AN22,AO22,0)</f>
        <v>1.3294603413373958</v>
      </c>
      <c r="AR22" s="47">
        <f t="shared" ca="1" si="27"/>
        <v>1994190.5120060937</v>
      </c>
      <c r="AS22" s="135">
        <f t="shared" ca="1" si="28"/>
        <v>0.55196034133739635</v>
      </c>
      <c r="AU22" s="5">
        <f t="shared" si="48"/>
        <v>30</v>
      </c>
      <c r="AV22" s="148">
        <f t="shared" si="18"/>
        <v>38518</v>
      </c>
      <c r="AW22" s="41">
        <f t="shared" ca="1" si="19"/>
        <v>1325</v>
      </c>
      <c r="AX22" s="100">
        <f>VLOOKUP($A22,[1]!CurveTable,MATCH(AX$4,[1]!CurveType,0))</f>
        <v>4.1682051447656097E-2</v>
      </c>
      <c r="AY22" s="149">
        <f ca="1">1/(1+CHOOSE(F$3,(AX23+(Inputs!$B$14/10000))/2,(AX22+(Inputs!$B$14/10000))/2))^(2*AW22/365.25)</f>
        <v>0.86100593585513974</v>
      </c>
      <c r="AZ22" s="41">
        <f t="shared" si="49"/>
        <v>1</v>
      </c>
      <c r="BA22" s="72">
        <f t="shared" si="50"/>
        <v>30</v>
      </c>
      <c r="BC22" s="65">
        <f t="shared" ca="1" si="29"/>
        <v>4649432.053617754</v>
      </c>
      <c r="BD22" s="65">
        <f t="shared" ca="1" si="30"/>
        <v>4720465.0433258032</v>
      </c>
      <c r="BE22" s="65">
        <f t="shared" ca="1" si="31"/>
        <v>4720465.0433258032</v>
      </c>
      <c r="BF22" s="65">
        <f t="shared" ca="1" si="32"/>
        <v>1097782.5682153031</v>
      </c>
      <c r="BG22" s="65">
        <f t="shared" ca="1" si="33"/>
        <v>1097782.5682153031</v>
      </c>
      <c r="BH22" s="65">
        <f t="shared" ca="1" si="34"/>
        <v>1097782.5682153031</v>
      </c>
      <c r="BI22" s="65">
        <f t="shared" ca="1" si="35"/>
        <v>0</v>
      </c>
      <c r="BJ22" s="65">
        <f t="shared" ca="1" si="36"/>
        <v>0</v>
      </c>
      <c r="BK22" s="65">
        <f t="shared" ca="1" si="37"/>
        <v>0</v>
      </c>
      <c r="BL22" s="65">
        <f t="shared" ca="1" si="38"/>
        <v>16143.861297283869</v>
      </c>
      <c r="BM22" s="65">
        <f t="shared" ca="1" si="39"/>
        <v>16143.861297283869</v>
      </c>
      <c r="BN22" s="65">
        <f t="shared" ca="1" si="40"/>
        <v>16143.861297283869</v>
      </c>
      <c r="BO22" s="65">
        <f t="shared" ca="1" si="41"/>
        <v>9686.3167783703211</v>
      </c>
      <c r="BP22" s="65">
        <f t="shared" ca="1" si="42"/>
        <v>0</v>
      </c>
      <c r="BQ22" s="65">
        <f t="shared" ca="1" si="43"/>
        <v>0</v>
      </c>
      <c r="BR22" s="65">
        <f t="shared" ca="1" si="44"/>
        <v>5818247.6115411064</v>
      </c>
      <c r="BS22" s="65">
        <f t="shared" ca="1" si="45"/>
        <v>4736608.9046230875</v>
      </c>
      <c r="BT22" s="65">
        <f t="shared" ca="1" si="46"/>
        <v>77490.534226962569</v>
      </c>
      <c r="BU22" s="65">
        <f t="shared" ca="1" si="23"/>
        <v>1004148.1726910559</v>
      </c>
    </row>
    <row r="23" spans="1:73">
      <c r="A23" s="42">
        <f t="shared" si="24"/>
        <v>38534</v>
      </c>
      <c r="B23" s="30">
        <f>Inputs!$B$8</f>
        <v>50000</v>
      </c>
      <c r="C23" s="17">
        <f t="shared" si="5"/>
        <v>1550000</v>
      </c>
      <c r="D23" s="17">
        <f t="shared" ca="1" si="6"/>
        <v>1328370.0981032527</v>
      </c>
      <c r="E23" s="25">
        <f>VLOOKUP($A23,[1]!CurveTable,MATCH($E$4,[1]!CurveType,0))</f>
        <v>3.645</v>
      </c>
      <c r="F23" s="31">
        <f>E23-Inputs!$B$16</f>
        <v>3.7</v>
      </c>
      <c r="G23" s="43">
        <f t="shared" si="7"/>
        <v>3.7</v>
      </c>
      <c r="H23" s="25">
        <f>VLOOKUP($A23,[1]!CurveTable,MATCH($H$4,[1]!CurveType,0))</f>
        <v>1.05</v>
      </c>
      <c r="I23" s="31">
        <f>H23+Inputs!$B$22</f>
        <v>1.05</v>
      </c>
      <c r="J23" s="44">
        <f t="shared" si="8"/>
        <v>1.05</v>
      </c>
      <c r="K23" s="25">
        <f>VLOOKUP($A23,[1]!CurveTable,MATCH($K$4,[1]!CurveType,0))</f>
        <v>0</v>
      </c>
      <c r="L23" s="31">
        <v>0</v>
      </c>
      <c r="M23" s="45">
        <f t="shared" si="9"/>
        <v>0</v>
      </c>
      <c r="N23" s="25">
        <f>VLOOKUP($A23,[1]!CurveTable,MATCH($N$4,[1]!CurveType,0))</f>
        <v>0.01</v>
      </c>
      <c r="O23" s="31">
        <f>N23+Inputs!$E$22</f>
        <v>0.01</v>
      </c>
      <c r="P23" s="45">
        <f t="shared" si="10"/>
        <v>0.01</v>
      </c>
      <c r="Q23" s="25">
        <f>VLOOKUP($A23,[1]!CurveTable,MATCH($Q$4,[1]!CurveType,0))</f>
        <v>7.4999999999999997E-3</v>
      </c>
      <c r="R23" s="31">
        <v>0</v>
      </c>
      <c r="S23" s="45">
        <f t="shared" si="11"/>
        <v>0</v>
      </c>
      <c r="T23" s="4"/>
      <c r="U23" s="159">
        <f t="shared" si="25"/>
        <v>4.75</v>
      </c>
      <c r="V23" s="160"/>
      <c r="W23" s="100">
        <f>VLOOKUP($A23,[1]!CurveTable,MATCH($W$4,[1]!CurveType,0))+$W$9</f>
        <v>0.51500000000000001</v>
      </c>
      <c r="X23" s="100">
        <f>VLOOKUP($A23,[1]!CurveTable,MATCH($X$4,[1]!CurveType,0))+$X$9</f>
        <v>0.52</v>
      </c>
      <c r="Y23" s="158">
        <f t="shared" ca="1" si="12"/>
        <v>0.52909066994504905</v>
      </c>
      <c r="Z23" s="4"/>
      <c r="AA23" s="159">
        <f t="shared" si="26"/>
        <v>3.71</v>
      </c>
      <c r="AB23" s="160"/>
      <c r="AC23" s="100">
        <f>VLOOKUP($A23,[1]!CurveTable,MATCH($AC$4,[1]!CurveType,0))+$AC$9</f>
        <v>0.25750000000000001</v>
      </c>
      <c r="AD23" s="100">
        <f>VLOOKUP($A23,[1]!CurveTable,MATCH($AD$4,[1]!CurveType,0))+$AD$9</f>
        <v>0.26250000000000001</v>
      </c>
      <c r="AE23" s="158">
        <f t="shared" ca="1" si="13"/>
        <v>0.26706065886848102</v>
      </c>
      <c r="AF23" s="4"/>
      <c r="AG23" s="52">
        <f ca="1">((Inputs!$F$20*(X23*AD23)*(A23-$C$3))+(Inputs!$F$19*W23*AC23*(DAY(EOMONTH(A23,0))/2)))/(AN23*Y23*AE23)</f>
        <v>0.74999962289377742</v>
      </c>
      <c r="AH23" s="4"/>
      <c r="AI23" s="18">
        <f>Inputs!$B$15</f>
        <v>0.06</v>
      </c>
      <c r="AJ23" s="46"/>
      <c r="AK23" s="18">
        <f t="shared" si="14"/>
        <v>0.98</v>
      </c>
      <c r="AL23" s="46"/>
      <c r="AM23" s="62">
        <f t="shared" si="15"/>
        <v>38503</v>
      </c>
      <c r="AN23" s="63">
        <f t="shared" ca="1" si="16"/>
        <v>1310</v>
      </c>
      <c r="AO23" s="63">
        <f t="shared" si="47"/>
        <v>1</v>
      </c>
      <c r="AP23" s="19"/>
      <c r="AQ23" s="74">
        <f ca="1">_xll.SPRDOPT(U23,AA23,AI23,AX23,X23,AD23,AG23,AN23,AO23,0)</f>
        <v>1.4725047387889632</v>
      </c>
      <c r="AR23" s="47">
        <f t="shared" ca="1" si="27"/>
        <v>2282382.3451228929</v>
      </c>
      <c r="AS23" s="135">
        <f t="shared" ca="1" si="28"/>
        <v>0.49250473878896317</v>
      </c>
      <c r="AU23" s="5">
        <f t="shared" si="48"/>
        <v>31</v>
      </c>
      <c r="AV23" s="148">
        <f t="shared" si="18"/>
        <v>38548</v>
      </c>
      <c r="AW23" s="41">
        <f t="shared" ca="1" si="19"/>
        <v>1355</v>
      </c>
      <c r="AX23" s="100">
        <f>VLOOKUP($A23,[1]!CurveTable,MATCH(AX$4,[1]!CurveType,0))</f>
        <v>4.2028790488236802E-2</v>
      </c>
      <c r="AY23" s="149">
        <f ca="1">1/(1+CHOOSE(F$3,(AX24+(Inputs!$B$14/10000))/2,(AX23+(Inputs!$B$14/10000))/2))^(2*AW23/365.25)</f>
        <v>0.85701296651822756</v>
      </c>
      <c r="AZ23" s="41">
        <f t="shared" si="49"/>
        <v>1</v>
      </c>
      <c r="BA23" s="72">
        <f t="shared" si="50"/>
        <v>31</v>
      </c>
      <c r="BC23" s="65">
        <f t="shared" ca="1" si="29"/>
        <v>4841909.0075863563</v>
      </c>
      <c r="BD23" s="65">
        <f t="shared" ca="1" si="30"/>
        <v>4914969.3629820356</v>
      </c>
      <c r="BE23" s="65">
        <f t="shared" ca="1" si="31"/>
        <v>4914969.3629820356</v>
      </c>
      <c r="BF23" s="65">
        <f t="shared" ca="1" si="32"/>
        <v>1394788.6030084153</v>
      </c>
      <c r="BG23" s="65">
        <f t="shared" ca="1" si="33"/>
        <v>1394788.6030084153</v>
      </c>
      <c r="BH23" s="65">
        <f t="shared" ca="1" si="34"/>
        <v>1394788.6030084153</v>
      </c>
      <c r="BI23" s="65">
        <f t="shared" ca="1" si="35"/>
        <v>0</v>
      </c>
      <c r="BJ23" s="65">
        <f t="shared" ca="1" si="36"/>
        <v>0</v>
      </c>
      <c r="BK23" s="65">
        <f t="shared" ca="1" si="37"/>
        <v>0</v>
      </c>
      <c r="BL23" s="65">
        <f t="shared" ca="1" si="38"/>
        <v>13283.700981032527</v>
      </c>
      <c r="BM23" s="65">
        <f t="shared" ca="1" si="39"/>
        <v>13283.700981032527</v>
      </c>
      <c r="BN23" s="65">
        <f t="shared" ca="1" si="40"/>
        <v>13283.700981032527</v>
      </c>
      <c r="BO23" s="65">
        <f t="shared" ca="1" si="41"/>
        <v>9962.7757357743958</v>
      </c>
      <c r="BP23" s="65">
        <f t="shared" ca="1" si="42"/>
        <v>0</v>
      </c>
      <c r="BQ23" s="65">
        <f t="shared" ca="1" si="43"/>
        <v>0</v>
      </c>
      <c r="BR23" s="65">
        <f t="shared" ca="1" si="44"/>
        <v>6309757.9659904502</v>
      </c>
      <c r="BS23" s="65">
        <f t="shared" ca="1" si="45"/>
        <v>4928253.0639630677</v>
      </c>
      <c r="BT23" s="65">
        <f t="shared" ca="1" si="46"/>
        <v>79702.205886195166</v>
      </c>
      <c r="BU23" s="65">
        <f t="shared" ca="1" si="23"/>
        <v>1301802.6961411876</v>
      </c>
    </row>
    <row r="24" spans="1:73">
      <c r="A24" s="42">
        <f t="shared" si="24"/>
        <v>38565</v>
      </c>
      <c r="B24" s="30">
        <f>Inputs!$B$8</f>
        <v>50000</v>
      </c>
      <c r="C24" s="17">
        <f t="shared" si="5"/>
        <v>1550000</v>
      </c>
      <c r="D24" s="17">
        <f t="shared" ca="1" si="6"/>
        <v>1321992.8513005283</v>
      </c>
      <c r="E24" s="25">
        <f>VLOOKUP($A24,[1]!CurveTable,MATCH($E$4,[1]!CurveType,0))</f>
        <v>3.6830000000000003</v>
      </c>
      <c r="F24" s="31">
        <f>E24-Inputs!$B$16</f>
        <v>3.7380000000000004</v>
      </c>
      <c r="G24" s="43">
        <f t="shared" si="7"/>
        <v>3.7380000000000004</v>
      </c>
      <c r="H24" s="25">
        <f>VLOOKUP($A24,[1]!CurveTable,MATCH($H$4,[1]!CurveType,0))</f>
        <v>1.05</v>
      </c>
      <c r="I24" s="31">
        <f>H24+Inputs!$B$22</f>
        <v>1.05</v>
      </c>
      <c r="J24" s="44">
        <f t="shared" si="8"/>
        <v>1.05</v>
      </c>
      <c r="K24" s="25">
        <f>VLOOKUP($A24,[1]!CurveTable,MATCH($K$4,[1]!CurveType,0))</f>
        <v>0</v>
      </c>
      <c r="L24" s="31">
        <v>0</v>
      </c>
      <c r="M24" s="45">
        <f t="shared" si="9"/>
        <v>0</v>
      </c>
      <c r="N24" s="25">
        <f>VLOOKUP($A24,[1]!CurveTable,MATCH($N$4,[1]!CurveType,0))</f>
        <v>7.4999999999999997E-3</v>
      </c>
      <c r="O24" s="31">
        <f>N24+Inputs!$E$22</f>
        <v>7.4999999999999997E-3</v>
      </c>
      <c r="P24" s="45">
        <f t="shared" si="10"/>
        <v>7.4999999999999997E-3</v>
      </c>
      <c r="Q24" s="25">
        <f>VLOOKUP($A24,[1]!CurveTable,MATCH($Q$4,[1]!CurveType,0))</f>
        <v>7.4999999999999997E-3</v>
      </c>
      <c r="R24" s="31">
        <v>0</v>
      </c>
      <c r="S24" s="45">
        <f t="shared" si="11"/>
        <v>0</v>
      </c>
      <c r="T24" s="4"/>
      <c r="U24" s="159">
        <f t="shared" si="25"/>
        <v>4.7880000000000003</v>
      </c>
      <c r="V24" s="160"/>
      <c r="W24" s="100">
        <f>VLOOKUP($A24,[1]!CurveTable,MATCH($W$4,[1]!CurveType,0))+$W$9</f>
        <v>0.51500000000000001</v>
      </c>
      <c r="X24" s="100">
        <f>VLOOKUP($A24,[1]!CurveTable,MATCH($X$4,[1]!CurveType,0))+$X$9</f>
        <v>0.52</v>
      </c>
      <c r="Y24" s="158">
        <f t="shared" ca="1" si="12"/>
        <v>0.52907959188787357</v>
      </c>
      <c r="Z24" s="4"/>
      <c r="AA24" s="159">
        <f t="shared" si="26"/>
        <v>3.7455000000000003</v>
      </c>
      <c r="AB24" s="160"/>
      <c r="AC24" s="100">
        <f>VLOOKUP($A24,[1]!CurveTable,MATCH($AC$4,[1]!CurveType,0))+$AC$9</f>
        <v>0.25750000000000001</v>
      </c>
      <c r="AD24" s="100">
        <f>VLOOKUP($A24,[1]!CurveTable,MATCH($AD$4,[1]!CurveType,0))+$AD$9</f>
        <v>0.26250000000000001</v>
      </c>
      <c r="AE24" s="158">
        <f t="shared" ca="1" si="13"/>
        <v>0.26705570143307267</v>
      </c>
      <c r="AF24" s="4"/>
      <c r="AG24" s="52">
        <f ca="1">((Inputs!$F$20*(X24*AD24)*(A24-$C$3))+(Inputs!$F$19*W24*AC24*(DAY(EOMONTH(A24,0))/2)))/(AN24*Y24*AE24)</f>
        <v>0.74999963122936208</v>
      </c>
      <c r="AH24" s="4"/>
      <c r="AI24" s="18">
        <f>Inputs!$B$15</f>
        <v>0.06</v>
      </c>
      <c r="AJ24" s="46"/>
      <c r="AK24" s="18">
        <f t="shared" si="14"/>
        <v>0.98249999999999993</v>
      </c>
      <c r="AL24" s="46"/>
      <c r="AM24" s="62">
        <f t="shared" si="15"/>
        <v>38533</v>
      </c>
      <c r="AN24" s="63">
        <f t="shared" ca="1" si="16"/>
        <v>1340</v>
      </c>
      <c r="AO24" s="63">
        <f t="shared" si="47"/>
        <v>1</v>
      </c>
      <c r="AP24" s="19"/>
      <c r="AQ24" s="74">
        <f ca="1">_xll.SPRDOPT(U24,AA24,AI24,AX24,X24,AD24,AG24,AN24,AO24,0)</f>
        <v>1.4853259680635529</v>
      </c>
      <c r="AR24" s="47">
        <f t="shared" ca="1" si="27"/>
        <v>2302255.2504985072</v>
      </c>
      <c r="AS24" s="135">
        <f t="shared" ca="1" si="28"/>
        <v>0.50282596806355295</v>
      </c>
      <c r="AU24" s="5">
        <f t="shared" si="48"/>
        <v>31</v>
      </c>
      <c r="AV24" s="148">
        <f t="shared" si="18"/>
        <v>38579</v>
      </c>
      <c r="AW24" s="41">
        <f t="shared" ca="1" si="19"/>
        <v>1386</v>
      </c>
      <c r="AX24" s="100">
        <f>VLOOKUP($A24,[1]!CurveTable,MATCH(AX$4,[1]!CurveType,0))</f>
        <v>4.2373817407468796E-2</v>
      </c>
      <c r="AY24" s="149">
        <f ca="1">1/(1+CHOOSE(F$3,(AX25+(Inputs!$B$14/10000))/2,(AX24+(Inputs!$B$14/10000))/2))^(2*AW24/365.25)</f>
        <v>0.85289861374227638</v>
      </c>
      <c r="AZ24" s="41">
        <f t="shared" si="49"/>
        <v>1</v>
      </c>
      <c r="BA24" s="72">
        <f t="shared" si="50"/>
        <v>31</v>
      </c>
      <c r="BC24" s="65">
        <f t="shared" ca="1" si="29"/>
        <v>4868899.6713398462</v>
      </c>
      <c r="BD24" s="65">
        <f t="shared" ca="1" si="30"/>
        <v>4941609.2781613749</v>
      </c>
      <c r="BE24" s="65">
        <f t="shared" ca="1" si="31"/>
        <v>4941609.2781613749</v>
      </c>
      <c r="BF24" s="65">
        <f t="shared" ca="1" si="32"/>
        <v>1388092.4938655547</v>
      </c>
      <c r="BG24" s="65">
        <f t="shared" ca="1" si="33"/>
        <v>1388092.4938655547</v>
      </c>
      <c r="BH24" s="65">
        <f t="shared" ca="1" si="34"/>
        <v>1388092.4938655547</v>
      </c>
      <c r="BI24" s="65">
        <f t="shared" ca="1" si="35"/>
        <v>0</v>
      </c>
      <c r="BJ24" s="65">
        <f t="shared" ca="1" si="36"/>
        <v>0</v>
      </c>
      <c r="BK24" s="65">
        <f t="shared" ca="1" si="37"/>
        <v>0</v>
      </c>
      <c r="BL24" s="65">
        <f t="shared" ca="1" si="38"/>
        <v>9914.946384753961</v>
      </c>
      <c r="BM24" s="65">
        <f t="shared" ca="1" si="39"/>
        <v>9914.946384753961</v>
      </c>
      <c r="BN24" s="65">
        <f t="shared" ca="1" si="40"/>
        <v>9914.946384753961</v>
      </c>
      <c r="BO24" s="65">
        <f t="shared" ca="1" si="41"/>
        <v>9914.946384753961</v>
      </c>
      <c r="BP24" s="65">
        <f t="shared" ca="1" si="42"/>
        <v>0</v>
      </c>
      <c r="BQ24" s="65">
        <f t="shared" ca="1" si="43"/>
        <v>0</v>
      </c>
      <c r="BR24" s="65">
        <f t="shared" ca="1" si="44"/>
        <v>6329701.77202693</v>
      </c>
      <c r="BS24" s="65">
        <f t="shared" ca="1" si="45"/>
        <v>4951524.2245461289</v>
      </c>
      <c r="BT24" s="65">
        <f t="shared" ca="1" si="46"/>
        <v>79319.571078031688</v>
      </c>
      <c r="BU24" s="65">
        <f t="shared" ca="1" si="23"/>
        <v>1298857.9764027689</v>
      </c>
    </row>
    <row r="25" spans="1:73">
      <c r="A25" s="42">
        <f t="shared" si="24"/>
        <v>38596</v>
      </c>
      <c r="B25" s="30">
        <f>Inputs!$B$8</f>
        <v>50000</v>
      </c>
      <c r="C25" s="17">
        <f t="shared" si="5"/>
        <v>1500000</v>
      </c>
      <c r="D25" s="17">
        <f t="shared" ca="1" si="6"/>
        <v>1273133.2763913113</v>
      </c>
      <c r="E25" s="25">
        <f>VLOOKUP($A25,[1]!CurveTable,MATCH($E$4,[1]!CurveType,0))</f>
        <v>3.677</v>
      </c>
      <c r="F25" s="31">
        <f>E25-Inputs!$B$16</f>
        <v>3.7320000000000002</v>
      </c>
      <c r="G25" s="43">
        <f t="shared" si="7"/>
        <v>3.7320000000000002</v>
      </c>
      <c r="H25" s="25">
        <f>VLOOKUP($A25,[1]!CurveTable,MATCH($H$4,[1]!CurveType,0))</f>
        <v>0.65</v>
      </c>
      <c r="I25" s="31">
        <f>H25+Inputs!$B$22</f>
        <v>0.65</v>
      </c>
      <c r="J25" s="44">
        <f t="shared" si="8"/>
        <v>0.65</v>
      </c>
      <c r="K25" s="25">
        <f>VLOOKUP($A25,[1]!CurveTable,MATCH($K$4,[1]!CurveType,0))</f>
        <v>0</v>
      </c>
      <c r="L25" s="31">
        <v>0</v>
      </c>
      <c r="M25" s="45">
        <f t="shared" si="9"/>
        <v>0</v>
      </c>
      <c r="N25" s="25">
        <f>VLOOKUP($A25,[1]!CurveTable,MATCH($N$4,[1]!CurveType,0))</f>
        <v>7.4999999999999997E-3</v>
      </c>
      <c r="O25" s="31">
        <f>N25+Inputs!$E$22</f>
        <v>7.4999999999999997E-3</v>
      </c>
      <c r="P25" s="45">
        <f t="shared" si="10"/>
        <v>7.4999999999999997E-3</v>
      </c>
      <c r="Q25" s="25">
        <f>VLOOKUP($A25,[1]!CurveTable,MATCH($Q$4,[1]!CurveType,0))</f>
        <v>7.4999999999999997E-3</v>
      </c>
      <c r="R25" s="31">
        <v>0</v>
      </c>
      <c r="S25" s="45">
        <f t="shared" si="11"/>
        <v>0</v>
      </c>
      <c r="T25" s="4"/>
      <c r="U25" s="159">
        <f t="shared" si="25"/>
        <v>4.3820000000000006</v>
      </c>
      <c r="V25" s="160"/>
      <c r="W25" s="100">
        <f>VLOOKUP($A25,[1]!CurveTable,MATCH($W$4,[1]!CurveType,0))+$W$9</f>
        <v>0.51500000000000001</v>
      </c>
      <c r="X25" s="100">
        <f>VLOOKUP($A25,[1]!CurveTable,MATCH($X$4,[1]!CurveType,0))+$X$9</f>
        <v>0.52</v>
      </c>
      <c r="Y25" s="158">
        <f t="shared" ca="1" si="12"/>
        <v>0.52878455997502394</v>
      </c>
      <c r="Z25" s="4"/>
      <c r="AA25" s="159">
        <f t="shared" si="26"/>
        <v>3.7395</v>
      </c>
      <c r="AB25" s="160"/>
      <c r="AC25" s="100">
        <f>VLOOKUP($A25,[1]!CurveTable,MATCH($AC$4,[1]!CurveType,0))+$AC$9</f>
        <v>0.25750000000000001</v>
      </c>
      <c r="AD25" s="100">
        <f>VLOOKUP($A25,[1]!CurveTable,MATCH($AD$4,[1]!CurveType,0))+$AD$9</f>
        <v>0.26250000000000001</v>
      </c>
      <c r="AE25" s="158">
        <f t="shared" ca="1" si="13"/>
        <v>0.2669082546707362</v>
      </c>
      <c r="AF25" s="4"/>
      <c r="AG25" s="52">
        <f ca="1">((Inputs!$F$20*(X25*AD25)*(A25-$C$3))+(Inputs!$F$19*W25*AC25*(DAY(EOMONTH(A25,0))/2)))/(AN25*Y25*AE25)</f>
        <v>0.74999965060368279</v>
      </c>
      <c r="AH25" s="4"/>
      <c r="AI25" s="18">
        <f>Inputs!$B$15</f>
        <v>0.06</v>
      </c>
      <c r="AJ25" s="46"/>
      <c r="AK25" s="18">
        <f t="shared" si="14"/>
        <v>0.58250000000000046</v>
      </c>
      <c r="AL25" s="46"/>
      <c r="AM25" s="62">
        <f t="shared" si="15"/>
        <v>38564</v>
      </c>
      <c r="AN25" s="63">
        <f t="shared" ca="1" si="16"/>
        <v>1371</v>
      </c>
      <c r="AO25" s="63">
        <f t="shared" si="47"/>
        <v>1</v>
      </c>
      <c r="AP25" s="19"/>
      <c r="AQ25" s="74">
        <f ca="1">_xll.SPRDOPT(U25,AA25,AI25,AX25,X25,AD25,AG25,AN25,AO25,0)</f>
        <v>1.2378076273664083</v>
      </c>
      <c r="AR25" s="47">
        <f t="shared" ca="1" si="27"/>
        <v>1856711.4410496124</v>
      </c>
      <c r="AS25" s="135">
        <f t="shared" ca="1" si="28"/>
        <v>0.6553076273664078</v>
      </c>
      <c r="AU25" s="5">
        <f t="shared" si="48"/>
        <v>30</v>
      </c>
      <c r="AV25" s="148">
        <f t="shared" si="18"/>
        <v>38610</v>
      </c>
      <c r="AW25" s="41">
        <f t="shared" ca="1" si="19"/>
        <v>1417</v>
      </c>
      <c r="AX25" s="100">
        <f>VLOOKUP($A25,[1]!CurveTable,MATCH(AX$4,[1]!CurveType,0))</f>
        <v>4.2718844366596398E-2</v>
      </c>
      <c r="AY25" s="149">
        <f ca="1">1/(1+CHOOSE(F$3,(AX26+(Inputs!$B$14/10000))/2,(AX25+(Inputs!$B$14/10000))/2))^(2*AW25/365.25)</f>
        <v>0.84875551759420753</v>
      </c>
      <c r="AZ25" s="41">
        <f t="shared" si="49"/>
        <v>1</v>
      </c>
      <c r="BA25" s="72">
        <f t="shared" si="50"/>
        <v>30</v>
      </c>
      <c r="BC25" s="65">
        <f t="shared" ca="1" si="29"/>
        <v>4681311.0572908521</v>
      </c>
      <c r="BD25" s="65">
        <f t="shared" ca="1" si="30"/>
        <v>4751333.3874923745</v>
      </c>
      <c r="BE25" s="65">
        <f t="shared" ca="1" si="31"/>
        <v>4751333.3874923745</v>
      </c>
      <c r="BF25" s="65">
        <f t="shared" ca="1" si="32"/>
        <v>827536.62965435244</v>
      </c>
      <c r="BG25" s="65">
        <f t="shared" ca="1" si="33"/>
        <v>827536.62965435244</v>
      </c>
      <c r="BH25" s="65">
        <f t="shared" ca="1" si="34"/>
        <v>827536.62965435244</v>
      </c>
      <c r="BI25" s="65">
        <f t="shared" ca="1" si="35"/>
        <v>0</v>
      </c>
      <c r="BJ25" s="65">
        <f t="shared" ca="1" si="36"/>
        <v>0</v>
      </c>
      <c r="BK25" s="65">
        <f t="shared" ca="1" si="37"/>
        <v>0</v>
      </c>
      <c r="BL25" s="65">
        <f t="shared" ca="1" si="38"/>
        <v>9548.4995729348339</v>
      </c>
      <c r="BM25" s="65">
        <f t="shared" ca="1" si="39"/>
        <v>9548.4995729348339</v>
      </c>
      <c r="BN25" s="65">
        <f t="shared" ca="1" si="40"/>
        <v>9548.4995729348339</v>
      </c>
      <c r="BO25" s="65">
        <f t="shared" ca="1" si="41"/>
        <v>9548.4995729348339</v>
      </c>
      <c r="BP25" s="65">
        <f t="shared" ca="1" si="42"/>
        <v>0</v>
      </c>
      <c r="BQ25" s="65">
        <f t="shared" ca="1" si="43"/>
        <v>0</v>
      </c>
      <c r="BR25" s="65">
        <f t="shared" ca="1" si="44"/>
        <v>5578870.0171467271</v>
      </c>
      <c r="BS25" s="65">
        <f t="shared" ca="1" si="45"/>
        <v>4760881.8870653091</v>
      </c>
      <c r="BT25" s="65">
        <f t="shared" ca="1" si="46"/>
        <v>76387.996583478671</v>
      </c>
      <c r="BU25" s="65">
        <f t="shared" ca="1" si="23"/>
        <v>741600.13349793945</v>
      </c>
    </row>
    <row r="26" spans="1:73">
      <c r="A26" s="42">
        <f t="shared" si="24"/>
        <v>38626</v>
      </c>
      <c r="B26" s="30">
        <f>Inputs!$B$8</f>
        <v>50000</v>
      </c>
      <c r="C26" s="17">
        <f t="shared" si="5"/>
        <v>1550000</v>
      </c>
      <c r="D26" s="17">
        <f t="shared" ca="1" si="6"/>
        <v>1309358.7899025197</v>
      </c>
      <c r="E26" s="25">
        <f>VLOOKUP($A26,[1]!CurveTable,MATCH($E$4,[1]!CurveType,0))</f>
        <v>3.677</v>
      </c>
      <c r="F26" s="31">
        <f>E26-Inputs!$B$16</f>
        <v>3.7320000000000002</v>
      </c>
      <c r="G26" s="43">
        <f t="shared" si="7"/>
        <v>3.7320000000000002</v>
      </c>
      <c r="H26" s="25">
        <f>VLOOKUP($A26,[1]!CurveTable,MATCH($H$4,[1]!CurveType,0))</f>
        <v>0.35</v>
      </c>
      <c r="I26" s="31">
        <f>H26+Inputs!$B$22</f>
        <v>0.35</v>
      </c>
      <c r="J26" s="44">
        <f t="shared" si="8"/>
        <v>0.35</v>
      </c>
      <c r="K26" s="25">
        <f>VLOOKUP($A26,[1]!CurveTable,MATCH($K$4,[1]!CurveType,0))</f>
        <v>0</v>
      </c>
      <c r="L26" s="31">
        <v>0</v>
      </c>
      <c r="M26" s="45">
        <f t="shared" si="9"/>
        <v>0</v>
      </c>
      <c r="N26" s="25">
        <f>VLOOKUP($A26,[1]!CurveTable,MATCH($N$4,[1]!CurveType,0))</f>
        <v>7.4999999999999997E-3</v>
      </c>
      <c r="O26" s="31">
        <f>N26+Inputs!$E$22</f>
        <v>7.4999999999999997E-3</v>
      </c>
      <c r="P26" s="45">
        <f t="shared" si="10"/>
        <v>7.4999999999999997E-3</v>
      </c>
      <c r="Q26" s="25">
        <f>VLOOKUP($A26,[1]!CurveTable,MATCH($Q$4,[1]!CurveType,0))</f>
        <v>7.4999999999999997E-3</v>
      </c>
      <c r="R26" s="31">
        <v>0</v>
      </c>
      <c r="S26" s="45">
        <f t="shared" si="11"/>
        <v>0</v>
      </c>
      <c r="T26" s="4"/>
      <c r="U26" s="159">
        <f t="shared" si="25"/>
        <v>4.0819999999999999</v>
      </c>
      <c r="V26" s="160"/>
      <c r="W26" s="100">
        <f>VLOOKUP($A26,[1]!CurveTable,MATCH($W$4,[1]!CurveType,0))+$W$9</f>
        <v>0.25750000000000001</v>
      </c>
      <c r="X26" s="100">
        <f>VLOOKUP($A26,[1]!CurveTable,MATCH($X$4,[1]!CurveType,0))+$X$9</f>
        <v>0.26250000000000001</v>
      </c>
      <c r="Y26" s="158">
        <f t="shared" ca="1" si="12"/>
        <v>0.26676377632157383</v>
      </c>
      <c r="Z26" s="4"/>
      <c r="AA26" s="159">
        <f t="shared" si="26"/>
        <v>3.7395</v>
      </c>
      <c r="AB26" s="160"/>
      <c r="AC26" s="100">
        <f>VLOOKUP($A26,[1]!CurveTable,MATCH($AC$4,[1]!CurveType,0))+$AC$9</f>
        <v>0.25750000000000001</v>
      </c>
      <c r="AD26" s="100">
        <f>VLOOKUP($A26,[1]!CurveTable,MATCH($AD$4,[1]!CurveType,0))+$AD$9</f>
        <v>0.26250000000000001</v>
      </c>
      <c r="AE26" s="158">
        <f t="shared" ca="1" si="13"/>
        <v>0.26676377632157383</v>
      </c>
      <c r="AF26" s="4"/>
      <c r="AG26" s="52">
        <f ca="1">((Inputs!$F$20*(X26*AD26)*(A26-$C$3))+(Inputs!$F$19*W26*AC26*(DAY(EOMONTH(A26,0))/2)))/(AN26*Y26*AE26)</f>
        <v>0.74999999999999956</v>
      </c>
      <c r="AH26" s="4"/>
      <c r="AI26" s="18">
        <f>Inputs!$B$15</f>
        <v>0.06</v>
      </c>
      <c r="AJ26" s="46"/>
      <c r="AK26" s="18">
        <f t="shared" si="14"/>
        <v>0.28249999999999981</v>
      </c>
      <c r="AL26" s="46"/>
      <c r="AM26" s="62">
        <f t="shared" si="15"/>
        <v>38595</v>
      </c>
      <c r="AN26" s="63">
        <f t="shared" ca="1" si="16"/>
        <v>1402</v>
      </c>
      <c r="AO26" s="63">
        <f t="shared" si="47"/>
        <v>1</v>
      </c>
      <c r="AP26" s="19"/>
      <c r="AQ26" s="74">
        <f ca="1">_xll.SPRDOPT(U26,AA26,AI26,AX26,X26,AD26,AG26,AN26,AO26,0)</f>
        <v>0.60741219798666612</v>
      </c>
      <c r="AR26" s="47">
        <f t="shared" ca="1" si="27"/>
        <v>941488.9068793325</v>
      </c>
      <c r="AS26" s="135">
        <f t="shared" ca="1" si="28"/>
        <v>0.32491219798666632</v>
      </c>
      <c r="AU26" s="5">
        <f t="shared" si="48"/>
        <v>31</v>
      </c>
      <c r="AV26" s="148">
        <f t="shared" si="18"/>
        <v>38640</v>
      </c>
      <c r="AW26" s="41">
        <f t="shared" ca="1" si="19"/>
        <v>1447</v>
      </c>
      <c r="AX26" s="100">
        <f>VLOOKUP($A26,[1]!CurveTable,MATCH(AX$4,[1]!CurveType,0))</f>
        <v>4.3044097988549399E-2</v>
      </c>
      <c r="AY26" s="149">
        <f ca="1">1/(1+CHOOSE(F$3,(AX27+(Inputs!$B$14/10000))/2,(AX26+(Inputs!$B$14/10000))/2))^(2*AW26/365.25)</f>
        <v>0.84474760638872237</v>
      </c>
      <c r="AZ26" s="41">
        <f t="shared" si="49"/>
        <v>1</v>
      </c>
      <c r="BA26" s="72">
        <f t="shared" si="50"/>
        <v>31</v>
      </c>
      <c r="BC26" s="65">
        <f t="shared" ca="1" si="29"/>
        <v>4814512.2704715645</v>
      </c>
      <c r="BD26" s="65">
        <f t="shared" ca="1" si="30"/>
        <v>4886527.003916204</v>
      </c>
      <c r="BE26" s="65">
        <f t="shared" ca="1" si="31"/>
        <v>4886527.003916204</v>
      </c>
      <c r="BF26" s="65">
        <f t="shared" ca="1" si="32"/>
        <v>458275.57646588184</v>
      </c>
      <c r="BG26" s="65">
        <f t="shared" ca="1" si="33"/>
        <v>458275.57646588184</v>
      </c>
      <c r="BH26" s="65">
        <f t="shared" ca="1" si="34"/>
        <v>458275.57646588184</v>
      </c>
      <c r="BI26" s="65">
        <f t="shared" ca="1" si="35"/>
        <v>0</v>
      </c>
      <c r="BJ26" s="65">
        <f t="shared" ca="1" si="36"/>
        <v>0</v>
      </c>
      <c r="BK26" s="65">
        <f t="shared" ca="1" si="37"/>
        <v>0</v>
      </c>
      <c r="BL26" s="65">
        <f t="shared" ca="1" si="38"/>
        <v>9820.190924268898</v>
      </c>
      <c r="BM26" s="65">
        <f t="shared" ca="1" si="39"/>
        <v>9820.190924268898</v>
      </c>
      <c r="BN26" s="65">
        <f t="shared" ca="1" si="40"/>
        <v>9820.190924268898</v>
      </c>
      <c r="BO26" s="65">
        <f t="shared" ca="1" si="41"/>
        <v>9820.190924268898</v>
      </c>
      <c r="BP26" s="65">
        <f t="shared" ca="1" si="42"/>
        <v>0</v>
      </c>
      <c r="BQ26" s="65">
        <f t="shared" ca="1" si="43"/>
        <v>0</v>
      </c>
      <c r="BR26" s="65">
        <f t="shared" ca="1" si="44"/>
        <v>5344802.5803820854</v>
      </c>
      <c r="BS26" s="65">
        <f t="shared" ca="1" si="45"/>
        <v>4896347.1948404722</v>
      </c>
      <c r="BT26" s="65">
        <f t="shared" ca="1" si="46"/>
        <v>78561.527394151184</v>
      </c>
      <c r="BU26" s="65">
        <f t="shared" ca="1" si="23"/>
        <v>369893.85814746155</v>
      </c>
    </row>
    <row r="27" spans="1:73">
      <c r="A27" s="42">
        <f t="shared" si="24"/>
        <v>38657</v>
      </c>
      <c r="B27" s="30">
        <f>Inputs!$B$8</f>
        <v>50000</v>
      </c>
      <c r="C27" s="17">
        <f t="shared" si="5"/>
        <v>1500000</v>
      </c>
      <c r="D27" s="17">
        <f t="shared" ca="1" si="6"/>
        <v>1260965.4993421894</v>
      </c>
      <c r="E27" s="25">
        <f>VLOOKUP($A27,[1]!CurveTable,MATCH($E$4,[1]!CurveType,0))</f>
        <v>3.8250000000000002</v>
      </c>
      <c r="F27" s="31">
        <f>E27-Inputs!$B$16</f>
        <v>3.8800000000000003</v>
      </c>
      <c r="G27" s="43">
        <f t="shared" si="7"/>
        <v>3.8800000000000003</v>
      </c>
      <c r="H27" s="25">
        <f>VLOOKUP($A27,[1]!CurveTable,MATCH($H$4,[1]!CurveType,0))</f>
        <v>0.27</v>
      </c>
      <c r="I27" s="31">
        <f>H27+Inputs!$B$22</f>
        <v>0.27</v>
      </c>
      <c r="J27" s="44">
        <f t="shared" si="8"/>
        <v>0.27</v>
      </c>
      <c r="K27" s="25">
        <f>VLOOKUP($A27,[1]!CurveTable,MATCH($K$4,[1]!CurveType,0))</f>
        <v>0</v>
      </c>
      <c r="L27" s="31">
        <v>0</v>
      </c>
      <c r="M27" s="45">
        <f t="shared" si="9"/>
        <v>0</v>
      </c>
      <c r="N27" s="25">
        <f>VLOOKUP($A27,[1]!CurveTable,MATCH($N$4,[1]!CurveType,0))</f>
        <v>6.0000000000000001E-3</v>
      </c>
      <c r="O27" s="31">
        <f>N27+Inputs!$E$22</f>
        <v>6.0000000000000001E-3</v>
      </c>
      <c r="P27" s="45">
        <f t="shared" si="10"/>
        <v>6.0000000000000001E-3</v>
      </c>
      <c r="Q27" s="25">
        <f>VLOOKUP($A27,[1]!CurveTable,MATCH($Q$4,[1]!CurveType,0))</f>
        <v>7.4999999999999997E-3</v>
      </c>
      <c r="R27" s="31">
        <v>0</v>
      </c>
      <c r="S27" s="45">
        <f t="shared" si="11"/>
        <v>0</v>
      </c>
      <c r="T27" s="4"/>
      <c r="U27" s="159">
        <f t="shared" si="25"/>
        <v>4.1500000000000004</v>
      </c>
      <c r="V27" s="160"/>
      <c r="W27" s="100">
        <f>VLOOKUP($A27,[1]!CurveTable,MATCH($W$4,[1]!CurveType,0))+$W$9</f>
        <v>0.25750000000000001</v>
      </c>
      <c r="X27" s="100">
        <f>VLOOKUP($A27,[1]!CurveTable,MATCH($X$4,[1]!CurveType,0))+$X$9</f>
        <v>0.26250000000000001</v>
      </c>
      <c r="Y27" s="158">
        <f t="shared" ca="1" si="12"/>
        <v>0.2667219585586727</v>
      </c>
      <c r="Z27" s="4"/>
      <c r="AA27" s="159">
        <f t="shared" si="26"/>
        <v>3.8860000000000001</v>
      </c>
      <c r="AB27" s="160"/>
      <c r="AC27" s="100">
        <f>VLOOKUP($A27,[1]!CurveTable,MATCH($AC$4,[1]!CurveType,0))+$AC$9</f>
        <v>0.25750000000000001</v>
      </c>
      <c r="AD27" s="100">
        <f>VLOOKUP($A27,[1]!CurveTable,MATCH($AD$4,[1]!CurveType,0))+$AD$9</f>
        <v>0.26250000000000001</v>
      </c>
      <c r="AE27" s="158">
        <f t="shared" ca="1" si="13"/>
        <v>0.2667219585586727</v>
      </c>
      <c r="AF27" s="4"/>
      <c r="AG27" s="52">
        <f ca="1">((Inputs!$F$20*(X27*AD27)*(A27-$C$3))+(Inputs!$F$19*W27*AC27*(DAY(EOMONTH(A27,0))/2)))/(AN27*Y27*AE27)</f>
        <v>0.74999999999999989</v>
      </c>
      <c r="AH27" s="4"/>
      <c r="AI27" s="18">
        <f>Inputs!$B$15</f>
        <v>0.06</v>
      </c>
      <c r="AJ27" s="46"/>
      <c r="AK27" s="18">
        <f t="shared" si="14"/>
        <v>0.20400000000000024</v>
      </c>
      <c r="AL27" s="46"/>
      <c r="AM27" s="62">
        <f t="shared" si="15"/>
        <v>38625</v>
      </c>
      <c r="AN27" s="63">
        <f t="shared" ca="1" si="16"/>
        <v>1432</v>
      </c>
      <c r="AO27" s="63">
        <f t="shared" si="47"/>
        <v>1</v>
      </c>
      <c r="AP27" s="19"/>
      <c r="AQ27" s="74">
        <f ca="1">_xll.SPRDOPT(U27,AA27,AI27,AX27,X27,AD27,AG27,AN27,AO27,0)</f>
        <v>0.58501825755203518</v>
      </c>
      <c r="AR27" s="47">
        <f t="shared" ca="1" si="27"/>
        <v>877527.38632805273</v>
      </c>
      <c r="AS27" s="135">
        <f t="shared" ca="1" si="28"/>
        <v>0.38101825755203494</v>
      </c>
      <c r="AU27" s="5">
        <f t="shared" si="48"/>
        <v>30</v>
      </c>
      <c r="AV27" s="148">
        <f t="shared" si="18"/>
        <v>38671</v>
      </c>
      <c r="AW27" s="41">
        <f t="shared" ca="1" si="19"/>
        <v>1478</v>
      </c>
      <c r="AX27" s="100">
        <f>VLOOKUP($A27,[1]!CurveTable,MATCH(AX$4,[1]!CurveType,0))</f>
        <v>4.3361061025444202E-2</v>
      </c>
      <c r="AY27" s="149">
        <f ca="1">1/(1+CHOOSE(F$3,(AX28+(Inputs!$B$14/10000))/2,(AX27+(Inputs!$B$14/10000))/2))^(2*AW27/365.25)</f>
        <v>0.84064366622812625</v>
      </c>
      <c r="AZ27" s="41">
        <f t="shared" si="49"/>
        <v>1</v>
      </c>
      <c r="BA27" s="72">
        <f t="shared" si="50"/>
        <v>30</v>
      </c>
      <c r="BC27" s="65">
        <f t="shared" ca="1" si="29"/>
        <v>4823193.0349838743</v>
      </c>
      <c r="BD27" s="65">
        <f t="shared" ca="1" si="30"/>
        <v>4892546.1374476952</v>
      </c>
      <c r="BE27" s="65">
        <f t="shared" ca="1" si="31"/>
        <v>4892546.1374476952</v>
      </c>
      <c r="BF27" s="65">
        <f t="shared" ca="1" si="32"/>
        <v>340460.68482239114</v>
      </c>
      <c r="BG27" s="65">
        <f t="shared" ca="1" si="33"/>
        <v>340460.68482239114</v>
      </c>
      <c r="BH27" s="65">
        <f t="shared" ca="1" si="34"/>
        <v>340460.68482239114</v>
      </c>
      <c r="BI27" s="65">
        <f t="shared" ca="1" si="35"/>
        <v>0</v>
      </c>
      <c r="BJ27" s="65">
        <f t="shared" ca="1" si="36"/>
        <v>0</v>
      </c>
      <c r="BK27" s="65">
        <f t="shared" ca="1" si="37"/>
        <v>0</v>
      </c>
      <c r="BL27" s="65">
        <f t="shared" ca="1" si="38"/>
        <v>7565.7929960531364</v>
      </c>
      <c r="BM27" s="65">
        <f t="shared" ca="1" si="39"/>
        <v>7565.7929960531364</v>
      </c>
      <c r="BN27" s="65">
        <f t="shared" ca="1" si="40"/>
        <v>7565.7929960531364</v>
      </c>
      <c r="BO27" s="65">
        <f t="shared" ca="1" si="41"/>
        <v>9457.2412450664197</v>
      </c>
      <c r="BP27" s="65">
        <f t="shared" ca="1" si="42"/>
        <v>0</v>
      </c>
      <c r="BQ27" s="65">
        <f t="shared" ca="1" si="43"/>
        <v>0</v>
      </c>
      <c r="BR27" s="65">
        <f t="shared" ca="1" si="44"/>
        <v>5233006.822270086</v>
      </c>
      <c r="BS27" s="65">
        <f t="shared" ca="1" si="45"/>
        <v>4900111.9304437479</v>
      </c>
      <c r="BT27" s="65">
        <f t="shared" ca="1" si="46"/>
        <v>75657.929960531357</v>
      </c>
      <c r="BU27" s="65">
        <f t="shared" ca="1" si="23"/>
        <v>257236.96186580692</v>
      </c>
    </row>
    <row r="28" spans="1:73">
      <c r="A28" s="42">
        <f t="shared" si="24"/>
        <v>38687</v>
      </c>
      <c r="B28" s="30">
        <f>Inputs!$B$8</f>
        <v>50000</v>
      </c>
      <c r="C28" s="17">
        <f t="shared" si="5"/>
        <v>1550000</v>
      </c>
      <c r="D28" s="17">
        <f t="shared" ca="1" si="6"/>
        <v>1296806.4135117137</v>
      </c>
      <c r="E28" s="25">
        <f>VLOOKUP($A28,[1]!CurveTable,MATCH($E$4,[1]!CurveType,0))</f>
        <v>3.9770000000000003</v>
      </c>
      <c r="F28" s="31">
        <f>E28-Inputs!$B$16</f>
        <v>4.032</v>
      </c>
      <c r="G28" s="43">
        <f t="shared" si="7"/>
        <v>4.032</v>
      </c>
      <c r="H28" s="25">
        <f>VLOOKUP($A28,[1]!CurveTable,MATCH($H$4,[1]!CurveType,0))</f>
        <v>0.25</v>
      </c>
      <c r="I28" s="31">
        <f>H28+Inputs!$B$22</f>
        <v>0.25</v>
      </c>
      <c r="J28" s="44">
        <f t="shared" si="8"/>
        <v>0.25</v>
      </c>
      <c r="K28" s="25">
        <f>VLOOKUP($A28,[1]!CurveTable,MATCH($K$4,[1]!CurveType,0))</f>
        <v>0</v>
      </c>
      <c r="L28" s="31">
        <v>0</v>
      </c>
      <c r="M28" s="45">
        <f t="shared" si="9"/>
        <v>0</v>
      </c>
      <c r="N28" s="25">
        <f>VLOOKUP($A28,[1]!CurveTable,MATCH($N$4,[1]!CurveType,0))</f>
        <v>6.0000000000000001E-3</v>
      </c>
      <c r="O28" s="31">
        <f>N28+Inputs!$E$22</f>
        <v>6.0000000000000001E-3</v>
      </c>
      <c r="P28" s="45">
        <f t="shared" si="10"/>
        <v>6.0000000000000001E-3</v>
      </c>
      <c r="Q28" s="25">
        <f>VLOOKUP($A28,[1]!CurveTable,MATCH($Q$4,[1]!CurveType,0))</f>
        <v>7.4999999999999997E-3</v>
      </c>
      <c r="R28" s="31">
        <v>0</v>
      </c>
      <c r="S28" s="45">
        <f t="shared" si="11"/>
        <v>0</v>
      </c>
      <c r="T28" s="4"/>
      <c r="U28" s="159">
        <f t="shared" si="25"/>
        <v>4.282</v>
      </c>
      <c r="V28" s="160"/>
      <c r="W28" s="100">
        <f>VLOOKUP($A28,[1]!CurveTable,MATCH($W$4,[1]!CurveType,0))+$W$9</f>
        <v>0.25750000000000001</v>
      </c>
      <c r="X28" s="100">
        <f>VLOOKUP($A28,[1]!CurveTable,MATCH($X$4,[1]!CurveType,0))+$X$9</f>
        <v>0.26250000000000001</v>
      </c>
      <c r="Y28" s="158">
        <f t="shared" ca="1" si="12"/>
        <v>0.26658735995677252</v>
      </c>
      <c r="Z28" s="4"/>
      <c r="AA28" s="159">
        <f t="shared" si="26"/>
        <v>4.0380000000000003</v>
      </c>
      <c r="AB28" s="160"/>
      <c r="AC28" s="100">
        <f>VLOOKUP($A28,[1]!CurveTable,MATCH($AC$4,[1]!CurveType,0))+$AC$9</f>
        <v>0.25750000000000001</v>
      </c>
      <c r="AD28" s="100">
        <f>VLOOKUP($A28,[1]!CurveTable,MATCH($AD$4,[1]!CurveType,0))+$AD$9</f>
        <v>0.26250000000000001</v>
      </c>
      <c r="AE28" s="158">
        <f t="shared" ca="1" si="13"/>
        <v>0.26658735995677252</v>
      </c>
      <c r="AF28" s="4"/>
      <c r="AG28" s="52">
        <f ca="1">((Inputs!$F$20*(X28*AD28)*(A28-$C$3))+(Inputs!$F$19*W28*AC28*(DAY(EOMONTH(A28,0))/2)))/(AN28*Y28*AE28)</f>
        <v>0.74999999999999989</v>
      </c>
      <c r="AH28" s="4"/>
      <c r="AI28" s="18">
        <f>Inputs!$B$15</f>
        <v>0.06</v>
      </c>
      <c r="AJ28" s="46"/>
      <c r="AK28" s="18">
        <f t="shared" si="14"/>
        <v>0.18399999999999977</v>
      </c>
      <c r="AL28" s="46"/>
      <c r="AM28" s="62">
        <f t="shared" si="15"/>
        <v>38656</v>
      </c>
      <c r="AN28" s="63">
        <f t="shared" ca="1" si="16"/>
        <v>1463</v>
      </c>
      <c r="AO28" s="63">
        <f t="shared" si="47"/>
        <v>1</v>
      </c>
      <c r="AP28" s="19"/>
      <c r="AQ28" s="74">
        <f ca="1">_xll.SPRDOPT(U28,AA28,AI28,AX28,X28,AD28,AG28,AN28,AO28,0)</f>
        <v>0.59553133843994877</v>
      </c>
      <c r="AR28" s="47">
        <f t="shared" ca="1" si="27"/>
        <v>923073.57458192063</v>
      </c>
      <c r="AS28" s="135">
        <f t="shared" ca="1" si="28"/>
        <v>0.41153133843994899</v>
      </c>
      <c r="AU28" s="5">
        <f t="shared" si="48"/>
        <v>31</v>
      </c>
      <c r="AV28" s="148">
        <f t="shared" si="18"/>
        <v>38701</v>
      </c>
      <c r="AW28" s="41">
        <f t="shared" ca="1" si="19"/>
        <v>1508</v>
      </c>
      <c r="AX28" s="100">
        <f>VLOOKUP($A28,[1]!CurveTable,MATCH(AX$4,[1]!CurveType,0))</f>
        <v>4.36677994802879E-2</v>
      </c>
      <c r="AY28" s="149">
        <f ca="1">1/(1+CHOOSE(F$3,(AX29+(Inputs!$B$14/10000))/2,(AX28+(Inputs!$B$14/10000))/2))^(2*AW28/365.25)</f>
        <v>0.83664929903981533</v>
      </c>
      <c r="AZ28" s="41">
        <f t="shared" si="49"/>
        <v>1</v>
      </c>
      <c r="BA28" s="72">
        <f t="shared" si="50"/>
        <v>31</v>
      </c>
      <c r="BC28" s="65">
        <f t="shared" ca="1" si="29"/>
        <v>5157399.1065360857</v>
      </c>
      <c r="BD28" s="65">
        <f t="shared" ca="1" si="30"/>
        <v>5228723.4592792299</v>
      </c>
      <c r="BE28" s="65">
        <f t="shared" ca="1" si="31"/>
        <v>5228723.4592792299</v>
      </c>
      <c r="BF28" s="65">
        <f t="shared" ca="1" si="32"/>
        <v>324201.60337792843</v>
      </c>
      <c r="BG28" s="65">
        <f t="shared" ca="1" si="33"/>
        <v>324201.60337792843</v>
      </c>
      <c r="BH28" s="65">
        <f t="shared" ca="1" si="34"/>
        <v>324201.60337792843</v>
      </c>
      <c r="BI28" s="65">
        <f t="shared" ca="1" si="35"/>
        <v>0</v>
      </c>
      <c r="BJ28" s="65">
        <f t="shared" ca="1" si="36"/>
        <v>0</v>
      </c>
      <c r="BK28" s="65">
        <f t="shared" ca="1" si="37"/>
        <v>0</v>
      </c>
      <c r="BL28" s="65">
        <f t="shared" ca="1" si="38"/>
        <v>7780.8384810702828</v>
      </c>
      <c r="BM28" s="65">
        <f t="shared" ca="1" si="39"/>
        <v>7780.8384810702828</v>
      </c>
      <c r="BN28" s="65">
        <f t="shared" ca="1" si="40"/>
        <v>7780.8384810702828</v>
      </c>
      <c r="BO28" s="65">
        <f t="shared" ca="1" si="41"/>
        <v>9726.0481013378521</v>
      </c>
      <c r="BP28" s="65">
        <f t="shared" ca="1" si="42"/>
        <v>0</v>
      </c>
      <c r="BQ28" s="65">
        <f t="shared" ca="1" si="43"/>
        <v>0</v>
      </c>
      <c r="BR28" s="65">
        <f t="shared" ca="1" si="44"/>
        <v>5552925.0626571579</v>
      </c>
      <c r="BS28" s="65">
        <f t="shared" ca="1" si="45"/>
        <v>5236504.2977603003</v>
      </c>
      <c r="BT28" s="65">
        <f t="shared" ca="1" si="46"/>
        <v>77808.384810702817</v>
      </c>
      <c r="BU28" s="65">
        <f t="shared" ca="1" si="23"/>
        <v>238612.38008615503</v>
      </c>
    </row>
    <row r="29" spans="1:73">
      <c r="A29" s="42">
        <f t="shared" si="24"/>
        <v>38718</v>
      </c>
      <c r="B29" s="30">
        <f>Inputs!$B$8</f>
        <v>50000</v>
      </c>
      <c r="C29" s="17">
        <f t="shared" si="5"/>
        <v>1550000</v>
      </c>
      <c r="D29" s="17">
        <f t="shared" ca="1" si="6"/>
        <v>1290473.9733896817</v>
      </c>
      <c r="E29" s="25">
        <f>VLOOKUP($A29,[1]!CurveTable,MATCH($E$4,[1]!CurveType,0))</f>
        <v>4.0395000000000003</v>
      </c>
      <c r="F29" s="31">
        <f>E29-Inputs!$B$16</f>
        <v>4.0945</v>
      </c>
      <c r="G29" s="43">
        <f t="shared" si="7"/>
        <v>4.0945</v>
      </c>
      <c r="H29" s="25">
        <f>VLOOKUP($A29,[1]!CurveTable,MATCH($H$4,[1]!CurveType,0))</f>
        <v>7.4999999999999997E-2</v>
      </c>
      <c r="I29" s="31">
        <f>H29+Inputs!$B$22</f>
        <v>7.4999999999999997E-2</v>
      </c>
      <c r="J29" s="44">
        <f t="shared" si="8"/>
        <v>7.4999999999999997E-2</v>
      </c>
      <c r="K29" s="25">
        <f>VLOOKUP($A29,[1]!CurveTable,MATCH($K$4,[1]!CurveType,0))</f>
        <v>0</v>
      </c>
      <c r="L29" s="31">
        <v>0</v>
      </c>
      <c r="M29" s="45">
        <f t="shared" si="9"/>
        <v>0</v>
      </c>
      <c r="N29" s="25">
        <f>VLOOKUP($A29,[1]!CurveTable,MATCH($N$4,[1]!CurveType,0))</f>
        <v>6.0000000000000001E-3</v>
      </c>
      <c r="O29" s="31">
        <f>N29+Inputs!$E$22</f>
        <v>6.0000000000000001E-3</v>
      </c>
      <c r="P29" s="45">
        <f t="shared" si="10"/>
        <v>6.0000000000000001E-3</v>
      </c>
      <c r="Q29" s="25">
        <f>VLOOKUP($A29,[1]!CurveTable,MATCH($Q$4,[1]!CurveType,0))</f>
        <v>7.4999999999999997E-3</v>
      </c>
      <c r="R29" s="31">
        <v>0</v>
      </c>
      <c r="S29" s="45">
        <f t="shared" si="11"/>
        <v>0</v>
      </c>
      <c r="T29" s="4"/>
      <c r="U29" s="159">
        <f t="shared" si="25"/>
        <v>4.1695000000000002</v>
      </c>
      <c r="V29" s="160"/>
      <c r="W29" s="100">
        <f>VLOOKUP($A29,[1]!CurveTable,MATCH($W$4,[1]!CurveType,0))+$W$9</f>
        <v>0.25750000000000001</v>
      </c>
      <c r="X29" s="100">
        <f>VLOOKUP($A29,[1]!CurveTable,MATCH($X$4,[1]!CurveType,0))+$X$9</f>
        <v>0.26250000000000001</v>
      </c>
      <c r="Y29" s="158">
        <f t="shared" ca="1" si="12"/>
        <v>0.2665924214466841</v>
      </c>
      <c r="Z29" s="4"/>
      <c r="AA29" s="159">
        <f t="shared" si="26"/>
        <v>4.1005000000000003</v>
      </c>
      <c r="AB29" s="160"/>
      <c r="AC29" s="100">
        <f>VLOOKUP($A29,[1]!CurveTable,MATCH($AC$4,[1]!CurveType,0))+$AC$9</f>
        <v>0.25750000000000001</v>
      </c>
      <c r="AD29" s="100">
        <f>VLOOKUP($A29,[1]!CurveTable,MATCH($AD$4,[1]!CurveType,0))+$AD$9</f>
        <v>0.26250000000000001</v>
      </c>
      <c r="AE29" s="158">
        <f t="shared" ca="1" si="13"/>
        <v>0.2665924214466841</v>
      </c>
      <c r="AF29" s="4"/>
      <c r="AG29" s="52">
        <f ca="1">((Inputs!$F$20*(X29*AD29)*(A29-$C$3))+(Inputs!$F$19*W29*AC29*(DAY(EOMONTH(A29,0))/2)))/(AN29*Y29*AE29)</f>
        <v>0.74999999999999989</v>
      </c>
      <c r="AH29" s="4"/>
      <c r="AI29" s="18">
        <f>Inputs!$B$15</f>
        <v>0.06</v>
      </c>
      <c r="AJ29" s="46"/>
      <c r="AK29" s="18">
        <f t="shared" si="14"/>
        <v>8.9999999999999525E-3</v>
      </c>
      <c r="AL29" s="46"/>
      <c r="AM29" s="62">
        <f t="shared" si="15"/>
        <v>38686</v>
      </c>
      <c r="AN29" s="63">
        <f t="shared" ca="1" si="16"/>
        <v>1493</v>
      </c>
      <c r="AO29" s="63">
        <f t="shared" si="47"/>
        <v>1</v>
      </c>
      <c r="AP29" s="19"/>
      <c r="AQ29" s="74">
        <f ca="1">_xll.SPRDOPT(U29,AA29,AI29,AX29,X29,AD29,AG29,AN29,AO29,0)</f>
        <v>0.51808935295234082</v>
      </c>
      <c r="AR29" s="47">
        <f t="shared" ca="1" si="27"/>
        <v>803038.49707612826</v>
      </c>
      <c r="AS29" s="135">
        <f t="shared" ca="1" si="28"/>
        <v>0.50908935295234081</v>
      </c>
      <c r="AU29" s="5">
        <f t="shared" si="48"/>
        <v>31</v>
      </c>
      <c r="AV29" s="148">
        <f t="shared" si="18"/>
        <v>38732</v>
      </c>
      <c r="AW29" s="41">
        <f t="shared" ca="1" si="19"/>
        <v>1539</v>
      </c>
      <c r="AX29" s="100">
        <f>VLOOKUP($A29,[1]!CurveTable,MATCH(AX$4,[1]!CurveType,0))</f>
        <v>4.3965797884801795E-2</v>
      </c>
      <c r="AY29" s="149">
        <f ca="1">1/(1+CHOOSE(F$3,(AX30+(Inputs!$B$14/10000))/2,(AX29+(Inputs!$B$14/10000))/2))^(2*AW29/365.25)</f>
        <v>0.8325638537997947</v>
      </c>
      <c r="AZ29" s="41">
        <f t="shared" si="49"/>
        <v>1</v>
      </c>
      <c r="BA29" s="72">
        <f t="shared" si="50"/>
        <v>31</v>
      </c>
      <c r="BC29" s="65">
        <f t="shared" ca="1" si="29"/>
        <v>5212869.6155076195</v>
      </c>
      <c r="BD29" s="65">
        <f t="shared" ca="1" si="30"/>
        <v>5283845.6840440519</v>
      </c>
      <c r="BE29" s="65">
        <f t="shared" ca="1" si="31"/>
        <v>5283845.6840440519</v>
      </c>
      <c r="BF29" s="65">
        <f t="shared" ca="1" si="32"/>
        <v>96785.548004226119</v>
      </c>
      <c r="BG29" s="65">
        <f t="shared" ca="1" si="33"/>
        <v>96785.548004226119</v>
      </c>
      <c r="BH29" s="65">
        <f t="shared" ca="1" si="34"/>
        <v>96785.548004226119</v>
      </c>
      <c r="BI29" s="65">
        <f t="shared" ca="1" si="35"/>
        <v>0</v>
      </c>
      <c r="BJ29" s="65">
        <f t="shared" ca="1" si="36"/>
        <v>0</v>
      </c>
      <c r="BK29" s="65">
        <f t="shared" ca="1" si="37"/>
        <v>0</v>
      </c>
      <c r="BL29" s="65">
        <f t="shared" ca="1" si="38"/>
        <v>7742.8438403380906</v>
      </c>
      <c r="BM29" s="65">
        <f t="shared" ca="1" si="39"/>
        <v>7742.8438403380906</v>
      </c>
      <c r="BN29" s="65">
        <f t="shared" ca="1" si="40"/>
        <v>7742.8438403380906</v>
      </c>
      <c r="BO29" s="65">
        <f t="shared" ca="1" si="41"/>
        <v>9678.554800422613</v>
      </c>
      <c r="BP29" s="65">
        <f t="shared" ca="1" si="42"/>
        <v>0</v>
      </c>
      <c r="BQ29" s="65">
        <f t="shared" ca="1" si="43"/>
        <v>0</v>
      </c>
      <c r="BR29" s="65">
        <f t="shared" ca="1" si="44"/>
        <v>5380631.2320482777</v>
      </c>
      <c r="BS29" s="65">
        <f t="shared" ca="1" si="45"/>
        <v>5291588.5278843902</v>
      </c>
      <c r="BT29" s="65">
        <f t="shared" ca="1" si="46"/>
        <v>77428.438403380904</v>
      </c>
      <c r="BU29" s="65">
        <f t="shared" ca="1" si="23"/>
        <v>11614.265760507074</v>
      </c>
    </row>
    <row r="30" spans="1:73">
      <c r="A30" s="42">
        <f t="shared" si="24"/>
        <v>38749</v>
      </c>
      <c r="B30" s="30">
        <f>Inputs!$B$8</f>
        <v>50000</v>
      </c>
      <c r="C30" s="17">
        <f t="shared" si="5"/>
        <v>1400000</v>
      </c>
      <c r="D30" s="17">
        <f t="shared" ca="1" si="6"/>
        <v>1160008.6973829819</v>
      </c>
      <c r="E30" s="25">
        <f>VLOOKUP($A30,[1]!CurveTable,MATCH($E$4,[1]!CurveType,0))</f>
        <v>3.9525000000000001</v>
      </c>
      <c r="F30" s="31">
        <f>E30-Inputs!$B$16</f>
        <v>4.0075000000000003</v>
      </c>
      <c r="G30" s="43">
        <f t="shared" ref="G30:G49" si="51">F30</f>
        <v>4.0075000000000003</v>
      </c>
      <c r="H30" s="25">
        <f>VLOOKUP($A30,[1]!CurveTable,MATCH($H$4,[1]!CurveType,0))</f>
        <v>7.4999999999999997E-2</v>
      </c>
      <c r="I30" s="31">
        <f>H30+Inputs!$B$22</f>
        <v>7.4999999999999997E-2</v>
      </c>
      <c r="J30" s="44">
        <f t="shared" ref="J30:J49" si="52">I30</f>
        <v>7.4999999999999997E-2</v>
      </c>
      <c r="K30" s="25">
        <f>VLOOKUP($A30,[1]!CurveTable,MATCH($K$4,[1]!CurveType,0))</f>
        <v>0</v>
      </c>
      <c r="L30" s="31">
        <v>0</v>
      </c>
      <c r="M30" s="45">
        <f t="shared" ref="M30:M49" si="53">L30</f>
        <v>0</v>
      </c>
      <c r="N30" s="25">
        <f>VLOOKUP($A30,[1]!CurveTable,MATCH($N$4,[1]!CurveType,0))</f>
        <v>6.0000000000000001E-3</v>
      </c>
      <c r="O30" s="31">
        <f>N30+Inputs!$E$22</f>
        <v>6.0000000000000001E-3</v>
      </c>
      <c r="P30" s="45">
        <f t="shared" ref="P30:P49" si="54">O30</f>
        <v>6.0000000000000001E-3</v>
      </c>
      <c r="Q30" s="25">
        <f>VLOOKUP($A30,[1]!CurveTable,MATCH($Q$4,[1]!CurveType,0))</f>
        <v>7.4999999999999997E-3</v>
      </c>
      <c r="R30" s="31">
        <v>0</v>
      </c>
      <c r="S30" s="45">
        <f t="shared" ref="S30:S49" si="55">R30</f>
        <v>0</v>
      </c>
      <c r="T30" s="4"/>
      <c r="U30" s="159">
        <f t="shared" si="25"/>
        <v>4.0825000000000005</v>
      </c>
      <c r="V30" s="160"/>
      <c r="W30" s="100">
        <f>VLOOKUP($A30,[1]!CurveTable,MATCH($W$4,[1]!CurveType,0))+$W$9</f>
        <v>0.25</v>
      </c>
      <c r="X30" s="100">
        <f>VLOOKUP($A30,[1]!CurveTable,MATCH($X$4,[1]!CurveType,0))+$X$9</f>
        <v>0.255</v>
      </c>
      <c r="Y30" s="158">
        <f t="shared" ca="1" si="12"/>
        <v>0.25877500132805709</v>
      </c>
      <c r="Z30" s="4"/>
      <c r="AA30" s="159">
        <f t="shared" si="26"/>
        <v>4.0135000000000005</v>
      </c>
      <c r="AB30" s="160"/>
      <c r="AC30" s="100">
        <f>VLOOKUP($A30,[1]!CurveTable,MATCH($AC$4,[1]!CurveType,0))+$AC$9</f>
        <v>0.25</v>
      </c>
      <c r="AD30" s="100">
        <f>VLOOKUP($A30,[1]!CurveTable,MATCH($AD$4,[1]!CurveType,0))+$AD$9</f>
        <v>0.255</v>
      </c>
      <c r="AE30" s="158">
        <f t="shared" ca="1" si="13"/>
        <v>0.25877500132805709</v>
      </c>
      <c r="AF30" s="4"/>
      <c r="AG30" s="52">
        <f ca="1">((Inputs!$F$20*(X30*AD30)*(A30-$C$3))+(Inputs!$F$19*W30*AC30*(DAY(EOMONTH(A30,0))/2)))/(AN30*Y30*AE30)</f>
        <v>0.75000000000000011</v>
      </c>
      <c r="AH30" s="4"/>
      <c r="AI30" s="18">
        <f>Inputs!$B$15</f>
        <v>0.06</v>
      </c>
      <c r="AJ30" s="46"/>
      <c r="AK30" s="18">
        <f t="shared" si="14"/>
        <v>8.9999999999999525E-3</v>
      </c>
      <c r="AL30" s="46"/>
      <c r="AM30" s="62">
        <f t="shared" si="15"/>
        <v>38717</v>
      </c>
      <c r="AN30" s="63">
        <f t="shared" ca="1" si="16"/>
        <v>1524</v>
      </c>
      <c r="AO30" s="63">
        <f t="shared" si="47"/>
        <v>1</v>
      </c>
      <c r="AP30" s="19"/>
      <c r="AQ30" s="74">
        <f ca="1">_xll.SPRDOPT(U30,AA30,AI30,AX30,X30,AD30,AG30,AN30,AO30,0)</f>
        <v>0.49564417782734238</v>
      </c>
      <c r="AR30" s="47">
        <f t="shared" ca="1" si="27"/>
        <v>693901.84895827936</v>
      </c>
      <c r="AS30" s="135">
        <f t="shared" ca="1" si="28"/>
        <v>0.48664417782734243</v>
      </c>
      <c r="AU30" s="5">
        <f t="shared" si="48"/>
        <v>28</v>
      </c>
      <c r="AV30" s="148">
        <f t="shared" si="18"/>
        <v>38763</v>
      </c>
      <c r="AW30" s="41">
        <f t="shared" ca="1" si="19"/>
        <v>1570</v>
      </c>
      <c r="AX30" s="100">
        <f>VLOOKUP($A30,[1]!CurveTable,MATCH(AX$4,[1]!CurveType,0))</f>
        <v>4.4229315045746398E-2</v>
      </c>
      <c r="AY30" s="149">
        <f ca="1">1/(1+CHOOSE(F$3,(AX31+(Inputs!$B$14/10000))/2,(AX30+(Inputs!$B$14/10000))/2))^(2*AW30/365.25)</f>
        <v>0.82857764098784425</v>
      </c>
      <c r="AZ30" s="41">
        <f t="shared" si="49"/>
        <v>1</v>
      </c>
      <c r="BA30" s="72">
        <f t="shared" si="50"/>
        <v>28</v>
      </c>
      <c r="BC30" s="65">
        <f t="shared" ca="1" si="29"/>
        <v>4584934.3764062356</v>
      </c>
      <c r="BD30" s="65">
        <f t="shared" ca="1" si="30"/>
        <v>4648734.8547622999</v>
      </c>
      <c r="BE30" s="65">
        <f t="shared" ca="1" si="31"/>
        <v>4648734.8547622999</v>
      </c>
      <c r="BF30" s="65">
        <f t="shared" ca="1" si="32"/>
        <v>87000.652303723633</v>
      </c>
      <c r="BG30" s="65">
        <f t="shared" ca="1" si="33"/>
        <v>87000.652303723633</v>
      </c>
      <c r="BH30" s="65">
        <f t="shared" ca="1" si="34"/>
        <v>87000.652303723633</v>
      </c>
      <c r="BI30" s="65">
        <f t="shared" ca="1" si="35"/>
        <v>0</v>
      </c>
      <c r="BJ30" s="65">
        <f t="shared" ca="1" si="36"/>
        <v>0</v>
      </c>
      <c r="BK30" s="65">
        <f t="shared" ca="1" si="37"/>
        <v>0</v>
      </c>
      <c r="BL30" s="65">
        <f t="shared" ca="1" si="38"/>
        <v>6960.0521842978915</v>
      </c>
      <c r="BM30" s="65">
        <f t="shared" ca="1" si="39"/>
        <v>6960.0521842978915</v>
      </c>
      <c r="BN30" s="65">
        <f t="shared" ca="1" si="40"/>
        <v>6960.0521842978915</v>
      </c>
      <c r="BO30" s="65">
        <f t="shared" ca="1" si="41"/>
        <v>8700.0652303723637</v>
      </c>
      <c r="BP30" s="65">
        <f t="shared" ca="1" si="42"/>
        <v>0</v>
      </c>
      <c r="BQ30" s="65">
        <f t="shared" ca="1" si="43"/>
        <v>0</v>
      </c>
      <c r="BR30" s="65">
        <f t="shared" ca="1" si="44"/>
        <v>4735735.5070660245</v>
      </c>
      <c r="BS30" s="65">
        <f t="shared" ca="1" si="45"/>
        <v>4655694.9069465986</v>
      </c>
      <c r="BT30" s="65">
        <f t="shared" ca="1" si="46"/>
        <v>69600.521842978909</v>
      </c>
      <c r="BU30" s="65">
        <f t="shared" ca="1" si="23"/>
        <v>10440.078276446782</v>
      </c>
    </row>
    <row r="31" spans="1:73">
      <c r="A31" s="42">
        <f t="shared" si="24"/>
        <v>38777</v>
      </c>
      <c r="B31" s="30">
        <f>Inputs!$B$8</f>
        <v>50000</v>
      </c>
      <c r="C31" s="17">
        <f t="shared" si="5"/>
        <v>1550000</v>
      </c>
      <c r="D31" s="17">
        <f t="shared" ca="1" si="6"/>
        <v>1278692.1333234452</v>
      </c>
      <c r="E31" s="25">
        <f>VLOOKUP($A31,[1]!CurveTable,MATCH($E$4,[1]!CurveType,0))</f>
        <v>3.8135000000000003</v>
      </c>
      <c r="F31" s="31">
        <f>E31-Inputs!$B$16</f>
        <v>3.8685000000000005</v>
      </c>
      <c r="G31" s="43">
        <f t="shared" si="51"/>
        <v>3.8685000000000005</v>
      </c>
      <c r="H31" s="25">
        <f>VLOOKUP($A31,[1]!CurveTable,MATCH($H$4,[1]!CurveType,0))</f>
        <v>0.25</v>
      </c>
      <c r="I31" s="31">
        <f>H31+Inputs!$B$22</f>
        <v>0.25</v>
      </c>
      <c r="J31" s="44">
        <f t="shared" si="52"/>
        <v>0.25</v>
      </c>
      <c r="K31" s="25">
        <f>VLOOKUP($A31,[1]!CurveTable,MATCH($K$4,[1]!CurveType,0))</f>
        <v>0</v>
      </c>
      <c r="L31" s="31">
        <v>0</v>
      </c>
      <c r="M31" s="45">
        <f t="shared" si="53"/>
        <v>0</v>
      </c>
      <c r="N31" s="25">
        <f>VLOOKUP($A31,[1]!CurveTable,MATCH($N$4,[1]!CurveType,0))</f>
        <v>0.01</v>
      </c>
      <c r="O31" s="31">
        <f>N31+Inputs!$E$22</f>
        <v>0.01</v>
      </c>
      <c r="P31" s="45">
        <f t="shared" si="54"/>
        <v>0.01</v>
      </c>
      <c r="Q31" s="25">
        <f>VLOOKUP($A31,[1]!CurveTable,MATCH($Q$4,[1]!CurveType,0))</f>
        <v>7.4999999999999997E-3</v>
      </c>
      <c r="R31" s="31">
        <v>0</v>
      </c>
      <c r="S31" s="45">
        <f t="shared" si="55"/>
        <v>0</v>
      </c>
      <c r="T31" s="4"/>
      <c r="U31" s="159">
        <f t="shared" si="25"/>
        <v>4.1185000000000009</v>
      </c>
      <c r="V31" s="160"/>
      <c r="W31" s="100">
        <f>VLOOKUP($A31,[1]!CurveTable,MATCH($W$4,[1]!CurveType,0))+$W$9</f>
        <v>0.24249999999999999</v>
      </c>
      <c r="X31" s="100">
        <f>VLOOKUP($A31,[1]!CurveTable,MATCH($X$4,[1]!CurveType,0))+$X$9</f>
        <v>0.2475</v>
      </c>
      <c r="Y31" s="158">
        <f t="shared" ca="1" si="12"/>
        <v>0.25096776912878493</v>
      </c>
      <c r="Z31" s="4"/>
      <c r="AA31" s="159">
        <f t="shared" si="26"/>
        <v>3.8785000000000003</v>
      </c>
      <c r="AB31" s="160"/>
      <c r="AC31" s="100">
        <f>VLOOKUP($A31,[1]!CurveTable,MATCH($AC$4,[1]!CurveType,0))+$AC$9</f>
        <v>0.24249999999999999</v>
      </c>
      <c r="AD31" s="100">
        <f>VLOOKUP($A31,[1]!CurveTable,MATCH($AD$4,[1]!CurveType,0))+$AD$9</f>
        <v>0.2475</v>
      </c>
      <c r="AE31" s="158">
        <f t="shared" ca="1" si="13"/>
        <v>0.25096776912878493</v>
      </c>
      <c r="AF31" s="4"/>
      <c r="AG31" s="52">
        <f ca="1">((Inputs!$F$20*(X31*AD31)*(A31-$C$3))+(Inputs!$F$19*W31*AC31*(DAY(EOMONTH(A31,0))/2)))/(AN31*Y31*AE31)</f>
        <v>0.75</v>
      </c>
      <c r="AH31" s="4"/>
      <c r="AI31" s="18">
        <f>Inputs!$B$15</f>
        <v>0.06</v>
      </c>
      <c r="AJ31" s="46"/>
      <c r="AK31" s="18">
        <f t="shared" si="14"/>
        <v>0.18000000000000066</v>
      </c>
      <c r="AL31" s="46"/>
      <c r="AM31" s="62">
        <f t="shared" si="15"/>
        <v>38748</v>
      </c>
      <c r="AN31" s="63">
        <f t="shared" ca="1" si="16"/>
        <v>1555</v>
      </c>
      <c r="AO31" s="63">
        <f t="shared" si="47"/>
        <v>1</v>
      </c>
      <c r="AP31" s="19"/>
      <c r="AQ31" s="74">
        <f ca="1">_xll.SPRDOPT(U31,AA31,AI31,AX31,X31,AD31,AG31,AN31,AO31,0)</f>
        <v>0.55227940723287816</v>
      </c>
      <c r="AR31" s="47">
        <f t="shared" ca="1" si="27"/>
        <v>856033.0812109611</v>
      </c>
      <c r="AS31" s="135">
        <f t="shared" ca="1" si="28"/>
        <v>0.3722794072328775</v>
      </c>
      <c r="AU31" s="5">
        <f t="shared" si="48"/>
        <v>31</v>
      </c>
      <c r="AV31" s="148">
        <f t="shared" si="18"/>
        <v>38791</v>
      </c>
      <c r="AW31" s="41">
        <f t="shared" ca="1" si="19"/>
        <v>1598</v>
      </c>
      <c r="AX31" s="100">
        <f>VLOOKUP($A31,[1]!CurveTable,MATCH(AX$4,[1]!CurveType,0))</f>
        <v>4.4467330565938198E-2</v>
      </c>
      <c r="AY31" s="149">
        <f ca="1">1/(1+CHOOSE(F$3,(AX32+(Inputs!$B$14/10000))/2,(AX31+(Inputs!$B$14/10000))/2))^(2*AW31/365.25)</f>
        <v>0.82496266666028717</v>
      </c>
      <c r="AZ31" s="41">
        <f t="shared" si="49"/>
        <v>1</v>
      </c>
      <c r="BA31" s="72">
        <f t="shared" si="50"/>
        <v>31</v>
      </c>
      <c r="BC31" s="65">
        <f t="shared" ca="1" si="29"/>
        <v>4876292.450428959</v>
      </c>
      <c r="BD31" s="65">
        <f t="shared" ca="1" si="30"/>
        <v>4946620.5177617483</v>
      </c>
      <c r="BE31" s="65">
        <f t="shared" ca="1" si="31"/>
        <v>4946620.5177617483</v>
      </c>
      <c r="BF31" s="65">
        <f t="shared" ca="1" si="32"/>
        <v>319673.0333308613</v>
      </c>
      <c r="BG31" s="65">
        <f t="shared" ca="1" si="33"/>
        <v>319673.0333308613</v>
      </c>
      <c r="BH31" s="65">
        <f t="shared" ca="1" si="34"/>
        <v>319673.0333308613</v>
      </c>
      <c r="BI31" s="65">
        <f t="shared" ca="1" si="35"/>
        <v>0</v>
      </c>
      <c r="BJ31" s="65">
        <f t="shared" ca="1" si="36"/>
        <v>0</v>
      </c>
      <c r="BK31" s="65">
        <f t="shared" ca="1" si="37"/>
        <v>0</v>
      </c>
      <c r="BL31" s="65">
        <f t="shared" ca="1" si="38"/>
        <v>12786.921333234452</v>
      </c>
      <c r="BM31" s="65">
        <f t="shared" ca="1" si="39"/>
        <v>12786.921333234452</v>
      </c>
      <c r="BN31" s="65">
        <f t="shared" ca="1" si="40"/>
        <v>12786.921333234452</v>
      </c>
      <c r="BO31" s="65">
        <f t="shared" ca="1" si="41"/>
        <v>9590.1909999258387</v>
      </c>
      <c r="BP31" s="65">
        <f t="shared" ca="1" si="42"/>
        <v>0</v>
      </c>
      <c r="BQ31" s="65">
        <f t="shared" ca="1" si="43"/>
        <v>0</v>
      </c>
      <c r="BR31" s="65">
        <f t="shared" ca="1" si="44"/>
        <v>5266293.5510926107</v>
      </c>
      <c r="BS31" s="65">
        <f t="shared" ca="1" si="45"/>
        <v>4959407.439094983</v>
      </c>
      <c r="BT31" s="65">
        <f t="shared" ca="1" si="46"/>
        <v>76721.52799940671</v>
      </c>
      <c r="BU31" s="65">
        <f t="shared" ca="1" si="23"/>
        <v>230164.58399822097</v>
      </c>
    </row>
    <row r="32" spans="1:73">
      <c r="A32" s="42">
        <f t="shared" si="24"/>
        <v>38808</v>
      </c>
      <c r="B32" s="30">
        <f>Inputs!$B$8</f>
        <v>50000</v>
      </c>
      <c r="C32" s="17">
        <f t="shared" si="5"/>
        <v>1500000</v>
      </c>
      <c r="D32" s="17">
        <f t="shared" ca="1" si="6"/>
        <v>1231417.0436642924</v>
      </c>
      <c r="E32" s="25">
        <f>VLOOKUP($A32,[1]!CurveTable,MATCH($E$4,[1]!CurveType,0))</f>
        <v>3.6595</v>
      </c>
      <c r="F32" s="31">
        <f>E32-Inputs!$B$16</f>
        <v>3.7145000000000001</v>
      </c>
      <c r="G32" s="43">
        <f t="shared" si="51"/>
        <v>3.7145000000000001</v>
      </c>
      <c r="H32" s="25">
        <f>VLOOKUP($A32,[1]!CurveTable,MATCH($H$4,[1]!CurveType,0))</f>
        <v>0.65</v>
      </c>
      <c r="I32" s="31">
        <f>H32+Inputs!$B$22</f>
        <v>0.65</v>
      </c>
      <c r="J32" s="44">
        <f t="shared" si="52"/>
        <v>0.65</v>
      </c>
      <c r="K32" s="25">
        <f>VLOOKUP($A32,[1]!CurveTable,MATCH($K$4,[1]!CurveType,0))</f>
        <v>0</v>
      </c>
      <c r="L32" s="31">
        <v>0</v>
      </c>
      <c r="M32" s="45">
        <f t="shared" si="53"/>
        <v>0</v>
      </c>
      <c r="N32" s="25">
        <f>VLOOKUP($A32,[1]!CurveTable,MATCH($N$4,[1]!CurveType,0))</f>
        <v>0.01</v>
      </c>
      <c r="O32" s="31">
        <f>N32+Inputs!$E$22</f>
        <v>0.01</v>
      </c>
      <c r="P32" s="45">
        <f t="shared" si="54"/>
        <v>0.01</v>
      </c>
      <c r="Q32" s="25">
        <f>VLOOKUP($A32,[1]!CurveTable,MATCH($Q$4,[1]!CurveType,0))</f>
        <v>0.01</v>
      </c>
      <c r="R32" s="31">
        <v>0</v>
      </c>
      <c r="S32" s="45">
        <f t="shared" si="55"/>
        <v>0</v>
      </c>
      <c r="T32" s="4"/>
      <c r="U32" s="159">
        <f t="shared" si="25"/>
        <v>4.3645000000000005</v>
      </c>
      <c r="V32" s="160"/>
      <c r="W32" s="100">
        <f>VLOOKUP($A32,[1]!CurveTable,MATCH($W$4,[1]!CurveType,0))+$W$9</f>
        <v>0.24</v>
      </c>
      <c r="X32" s="100">
        <f>VLOOKUP($A32,[1]!CurveTable,MATCH($X$4,[1]!CurveType,0))+$X$9</f>
        <v>0.245</v>
      </c>
      <c r="Y32" s="158">
        <f t="shared" ca="1" si="12"/>
        <v>0.24856426011942589</v>
      </c>
      <c r="Z32" s="4"/>
      <c r="AA32" s="159">
        <f t="shared" si="26"/>
        <v>3.7244999999999999</v>
      </c>
      <c r="AB32" s="160"/>
      <c r="AC32" s="100">
        <f>VLOOKUP($A32,[1]!CurveTable,MATCH($AC$4,[1]!CurveType,0))+$AC$9</f>
        <v>0.24</v>
      </c>
      <c r="AD32" s="100">
        <f>VLOOKUP($A32,[1]!CurveTable,MATCH($AD$4,[1]!CurveType,0))+$AD$9</f>
        <v>0.245</v>
      </c>
      <c r="AE32" s="158">
        <f t="shared" ca="1" si="13"/>
        <v>0.24856426011942589</v>
      </c>
      <c r="AF32" s="4"/>
      <c r="AG32" s="52">
        <f ca="1">((Inputs!$F$20*(X32*AD32)*(A32-$C$3))+(Inputs!$F$19*W32*AC32*(DAY(EOMONTH(A32,0))/2)))/(AN32*Y32*AE32)</f>
        <v>0.75</v>
      </c>
      <c r="AH32" s="4"/>
      <c r="AI32" s="18">
        <f>Inputs!$B$15</f>
        <v>0.06</v>
      </c>
      <c r="AJ32" s="46"/>
      <c r="AK32" s="18">
        <f t="shared" si="14"/>
        <v>0.58000000000000052</v>
      </c>
      <c r="AL32" s="46"/>
      <c r="AM32" s="62">
        <f t="shared" si="15"/>
        <v>38776</v>
      </c>
      <c r="AN32" s="63">
        <f t="shared" ca="1" si="16"/>
        <v>1583</v>
      </c>
      <c r="AO32" s="63">
        <f t="shared" si="47"/>
        <v>1</v>
      </c>
      <c r="AP32" s="19"/>
      <c r="AQ32" s="74">
        <f ca="1">_xll.SPRDOPT(U32,AA32,AI32,AX32,X32,AD32,AG32,AN32,AO32,0)</f>
        <v>0.75251196244348495</v>
      </c>
      <c r="AR32" s="47">
        <f t="shared" ca="1" si="27"/>
        <v>1128767.9436652274</v>
      </c>
      <c r="AS32" s="135">
        <f t="shared" ca="1" si="28"/>
        <v>0.17251196244348443</v>
      </c>
      <c r="AU32" s="5">
        <f t="shared" si="48"/>
        <v>30</v>
      </c>
      <c r="AV32" s="148">
        <f t="shared" si="18"/>
        <v>38822</v>
      </c>
      <c r="AW32" s="41">
        <f t="shared" ca="1" si="19"/>
        <v>1629</v>
      </c>
      <c r="AX32" s="100">
        <f>VLOOKUP($A32,[1]!CurveTable,MATCH(AX$4,[1]!CurveType,0))</f>
        <v>4.4730847771131899E-2</v>
      </c>
      <c r="AY32" s="149">
        <f ca="1">1/(1+CHOOSE(F$3,(AX33+(Inputs!$B$14/10000))/2,(AX32+(Inputs!$B$14/10000))/2))^(2*AW32/365.25)</f>
        <v>0.820944695776195</v>
      </c>
      <c r="AZ32" s="41">
        <f t="shared" si="49"/>
        <v>1</v>
      </c>
      <c r="BA32" s="72">
        <f t="shared" si="50"/>
        <v>30</v>
      </c>
      <c r="BC32" s="65">
        <f t="shared" ca="1" si="29"/>
        <v>4506370.6712894784</v>
      </c>
      <c r="BD32" s="65">
        <f t="shared" ca="1" si="30"/>
        <v>4574098.6086910143</v>
      </c>
      <c r="BE32" s="65">
        <f t="shared" ca="1" si="31"/>
        <v>4574098.6086910143</v>
      </c>
      <c r="BF32" s="65">
        <f t="shared" ca="1" si="32"/>
        <v>800421.07838179008</v>
      </c>
      <c r="BG32" s="65">
        <f t="shared" ca="1" si="33"/>
        <v>800421.07838179008</v>
      </c>
      <c r="BH32" s="65">
        <f t="shared" ca="1" si="34"/>
        <v>800421.07838179008</v>
      </c>
      <c r="BI32" s="65">
        <f t="shared" ca="1" si="35"/>
        <v>0</v>
      </c>
      <c r="BJ32" s="65">
        <f t="shared" ca="1" si="36"/>
        <v>0</v>
      </c>
      <c r="BK32" s="65">
        <f t="shared" ca="1" si="37"/>
        <v>0</v>
      </c>
      <c r="BL32" s="65">
        <f t="shared" ca="1" si="38"/>
        <v>12314.170436642924</v>
      </c>
      <c r="BM32" s="65">
        <f t="shared" ca="1" si="39"/>
        <v>12314.170436642924</v>
      </c>
      <c r="BN32" s="65">
        <f t="shared" ca="1" si="40"/>
        <v>12314.170436642924</v>
      </c>
      <c r="BO32" s="65">
        <f t="shared" ca="1" si="41"/>
        <v>12314.170436642924</v>
      </c>
      <c r="BP32" s="65">
        <f t="shared" ca="1" si="42"/>
        <v>0</v>
      </c>
      <c r="BQ32" s="65">
        <f t="shared" ca="1" si="43"/>
        <v>0</v>
      </c>
      <c r="BR32" s="65">
        <f t="shared" ca="1" si="44"/>
        <v>5374519.6870728051</v>
      </c>
      <c r="BS32" s="65">
        <f t="shared" ca="1" si="45"/>
        <v>4586412.7791276574</v>
      </c>
      <c r="BT32" s="65">
        <f t="shared" ca="1" si="46"/>
        <v>73885.02261985754</v>
      </c>
      <c r="BU32" s="65">
        <f t="shared" ca="1" si="23"/>
        <v>714221.88532529026</v>
      </c>
    </row>
    <row r="33" spans="1:73">
      <c r="A33" s="42">
        <f t="shared" si="24"/>
        <v>38838</v>
      </c>
      <c r="B33" s="30">
        <f>Inputs!$B$8</f>
        <v>50000</v>
      </c>
      <c r="C33" s="17">
        <f t="shared" si="5"/>
        <v>1550000</v>
      </c>
      <c r="D33" s="17">
        <f t="shared" ca="1" si="6"/>
        <v>1266413.6250271017</v>
      </c>
      <c r="E33" s="25">
        <f>VLOOKUP($A33,[1]!CurveTable,MATCH($E$4,[1]!CurveType,0))</f>
        <v>3.6645000000000003</v>
      </c>
      <c r="F33" s="31">
        <f>E33-Inputs!$B$16</f>
        <v>3.7195000000000005</v>
      </c>
      <c r="G33" s="43">
        <f t="shared" si="51"/>
        <v>3.7195000000000005</v>
      </c>
      <c r="H33" s="25">
        <f>VLOOKUP($A33,[1]!CurveTable,MATCH($H$4,[1]!CurveType,0))</f>
        <v>0.8</v>
      </c>
      <c r="I33" s="31">
        <f>H33+Inputs!$B$22</f>
        <v>0.8</v>
      </c>
      <c r="J33" s="44">
        <f t="shared" si="52"/>
        <v>0.8</v>
      </c>
      <c r="K33" s="25">
        <f>VLOOKUP($A33,[1]!CurveTable,MATCH($K$4,[1]!CurveType,0))</f>
        <v>0</v>
      </c>
      <c r="L33" s="31">
        <v>0</v>
      </c>
      <c r="M33" s="45">
        <f t="shared" si="53"/>
        <v>0</v>
      </c>
      <c r="N33" s="25">
        <f>VLOOKUP($A33,[1]!CurveTable,MATCH($N$4,[1]!CurveType,0))</f>
        <v>1.2500000000000001E-2</v>
      </c>
      <c r="O33" s="31">
        <f>N33+Inputs!$E$22</f>
        <v>1.2500000000000001E-2</v>
      </c>
      <c r="P33" s="45">
        <f t="shared" si="54"/>
        <v>1.2500000000000001E-2</v>
      </c>
      <c r="Q33" s="25">
        <f>VLOOKUP($A33,[1]!CurveTable,MATCH($Q$4,[1]!CurveType,0))</f>
        <v>0.01</v>
      </c>
      <c r="R33" s="31">
        <v>0</v>
      </c>
      <c r="S33" s="45">
        <f t="shared" si="55"/>
        <v>0</v>
      </c>
      <c r="T33" s="4"/>
      <c r="U33" s="159">
        <f t="shared" si="25"/>
        <v>4.5195000000000007</v>
      </c>
      <c r="V33" s="160"/>
      <c r="W33" s="100">
        <f>VLOOKUP($A33,[1]!CurveTable,MATCH($W$4,[1]!CurveType,0))+$W$9</f>
        <v>0.47499999999999998</v>
      </c>
      <c r="X33" s="100">
        <f>VLOOKUP($A33,[1]!CurveTable,MATCH($X$4,[1]!CurveType,0))+$X$9</f>
        <v>0.48</v>
      </c>
      <c r="Y33" s="158">
        <f t="shared" ca="1" si="12"/>
        <v>0.48681830455322783</v>
      </c>
      <c r="Z33" s="4"/>
      <c r="AA33" s="159">
        <f t="shared" si="26"/>
        <v>3.7320000000000007</v>
      </c>
      <c r="AB33" s="160"/>
      <c r="AC33" s="100">
        <f>VLOOKUP($A33,[1]!CurveTable,MATCH($AC$4,[1]!CurveType,0))+$AC$9</f>
        <v>0.23749999999999999</v>
      </c>
      <c r="AD33" s="100">
        <f>VLOOKUP($A33,[1]!CurveTable,MATCH($AD$4,[1]!CurveType,0))+$AD$9</f>
        <v>0.24249999999999999</v>
      </c>
      <c r="AE33" s="158">
        <f t="shared" ca="1" si="13"/>
        <v>0.24592160088639606</v>
      </c>
      <c r="AF33" s="4"/>
      <c r="AG33" s="52">
        <f ca="1">((Inputs!$F$20*(X33*AD33)*(A33-$C$3))+(Inputs!$F$19*W33*AC33*(DAY(EOMONTH(A33,0))/2)))/(AN33*Y33*AE33)</f>
        <v>0.74999963887130805</v>
      </c>
      <c r="AH33" s="4"/>
      <c r="AI33" s="18">
        <f>Inputs!$B$15</f>
        <v>0.06</v>
      </c>
      <c r="AJ33" s="46"/>
      <c r="AK33" s="18">
        <f t="shared" si="14"/>
        <v>0.72750000000000004</v>
      </c>
      <c r="AL33" s="46"/>
      <c r="AM33" s="62">
        <f t="shared" si="15"/>
        <v>38807</v>
      </c>
      <c r="AN33" s="63">
        <f t="shared" ca="1" si="16"/>
        <v>1614</v>
      </c>
      <c r="AO33" s="63">
        <f t="shared" si="47"/>
        <v>1</v>
      </c>
      <c r="AP33" s="19"/>
      <c r="AQ33" s="74">
        <f ca="1">_xll.SPRDOPT(U33,AA33,AI33,AX33,X33,AD33,AG33,AN33,AO33,0)</f>
        <v>1.2761186837500829</v>
      </c>
      <c r="AR33" s="47">
        <f t="shared" ca="1" si="27"/>
        <v>1977983.9598126283</v>
      </c>
      <c r="AS33" s="135">
        <f t="shared" ca="1" si="28"/>
        <v>0.54861868375008283</v>
      </c>
      <c r="AU33" s="5">
        <f t="shared" si="48"/>
        <v>31</v>
      </c>
      <c r="AV33" s="148">
        <f t="shared" si="18"/>
        <v>38852</v>
      </c>
      <c r="AW33" s="41">
        <f t="shared" ca="1" si="19"/>
        <v>1659</v>
      </c>
      <c r="AX33" s="100">
        <f>VLOOKUP($A33,[1]!CurveTable,MATCH(AX$4,[1]!CurveType,0))</f>
        <v>4.4985864443451505E-2</v>
      </c>
      <c r="AY33" s="149">
        <f ca="1">1/(1+CHOOSE(F$3,(AX34+(Inputs!$B$14/10000))/2,(AX33+(Inputs!$B$14/10000))/2))^(2*AW33/365.25)</f>
        <v>0.8170410484045818</v>
      </c>
      <c r="AZ33" s="41">
        <f t="shared" si="49"/>
        <v>1</v>
      </c>
      <c r="BA33" s="72">
        <f t="shared" si="50"/>
        <v>31</v>
      </c>
      <c r="BC33" s="65">
        <f t="shared" ca="1" si="29"/>
        <v>4640772.7289118143</v>
      </c>
      <c r="BD33" s="65">
        <f t="shared" ca="1" si="30"/>
        <v>4710425.478288305</v>
      </c>
      <c r="BE33" s="65">
        <f t="shared" ca="1" si="31"/>
        <v>4710425.478288305</v>
      </c>
      <c r="BF33" s="65">
        <f t="shared" ca="1" si="32"/>
        <v>1013130.9000216814</v>
      </c>
      <c r="BG33" s="65">
        <f t="shared" ca="1" si="33"/>
        <v>1013130.9000216814</v>
      </c>
      <c r="BH33" s="65">
        <f t="shared" ca="1" si="34"/>
        <v>1013130.9000216814</v>
      </c>
      <c r="BI33" s="65">
        <f t="shared" ca="1" si="35"/>
        <v>0</v>
      </c>
      <c r="BJ33" s="65">
        <f t="shared" ca="1" si="36"/>
        <v>0</v>
      </c>
      <c r="BK33" s="65">
        <f t="shared" ca="1" si="37"/>
        <v>0</v>
      </c>
      <c r="BL33" s="65">
        <f t="shared" ca="1" si="38"/>
        <v>15830.170312838773</v>
      </c>
      <c r="BM33" s="65">
        <f t="shared" ca="1" si="39"/>
        <v>15830.170312838773</v>
      </c>
      <c r="BN33" s="65">
        <f t="shared" ca="1" si="40"/>
        <v>15830.170312838773</v>
      </c>
      <c r="BO33" s="65">
        <f t="shared" ca="1" si="41"/>
        <v>12664.136250271018</v>
      </c>
      <c r="BP33" s="65">
        <f t="shared" ca="1" si="42"/>
        <v>0</v>
      </c>
      <c r="BQ33" s="65">
        <f t="shared" ca="1" si="43"/>
        <v>0</v>
      </c>
      <c r="BR33" s="65">
        <f t="shared" ca="1" si="44"/>
        <v>5723556.3783099875</v>
      </c>
      <c r="BS33" s="65">
        <f t="shared" ca="1" si="45"/>
        <v>4726255.6486011446</v>
      </c>
      <c r="BT33" s="65">
        <f t="shared" ca="1" si="46"/>
        <v>75984.817501626094</v>
      </c>
      <c r="BU33" s="65">
        <f t="shared" ca="1" si="23"/>
        <v>921315.91220721649</v>
      </c>
    </row>
    <row r="34" spans="1:73">
      <c r="A34" s="42">
        <f t="shared" si="24"/>
        <v>38869</v>
      </c>
      <c r="B34" s="30">
        <f>Inputs!$B$8</f>
        <v>50000</v>
      </c>
      <c r="C34" s="17">
        <f t="shared" si="5"/>
        <v>1500000</v>
      </c>
      <c r="D34" s="17">
        <f t="shared" ca="1" si="6"/>
        <v>1219487.8595667402</v>
      </c>
      <c r="E34" s="25">
        <f>VLOOKUP($A34,[1]!CurveTable,MATCH($E$4,[1]!CurveType,0))</f>
        <v>3.7025000000000001</v>
      </c>
      <c r="F34" s="31">
        <f>E34-Inputs!$B$16</f>
        <v>3.7575000000000003</v>
      </c>
      <c r="G34" s="43">
        <f t="shared" si="51"/>
        <v>3.7575000000000003</v>
      </c>
      <c r="H34" s="25">
        <f>VLOOKUP($A34,[1]!CurveTable,MATCH($H$4,[1]!CurveType,0))</f>
        <v>0.9</v>
      </c>
      <c r="I34" s="31">
        <f>H34+Inputs!$B$22</f>
        <v>0.9</v>
      </c>
      <c r="J34" s="44">
        <f t="shared" si="52"/>
        <v>0.9</v>
      </c>
      <c r="K34" s="25">
        <f>VLOOKUP($A34,[1]!CurveTable,MATCH($K$4,[1]!CurveType,0))</f>
        <v>0</v>
      </c>
      <c r="L34" s="31">
        <v>0</v>
      </c>
      <c r="M34" s="45">
        <f t="shared" si="53"/>
        <v>0</v>
      </c>
      <c r="N34" s="25">
        <f>VLOOKUP($A34,[1]!CurveTable,MATCH($N$4,[1]!CurveType,0))</f>
        <v>0.01</v>
      </c>
      <c r="O34" s="31">
        <f>N34+Inputs!$E$22</f>
        <v>0.01</v>
      </c>
      <c r="P34" s="45">
        <f t="shared" si="54"/>
        <v>0.01</v>
      </c>
      <c r="Q34" s="25">
        <f>VLOOKUP($A34,[1]!CurveTable,MATCH($Q$4,[1]!CurveType,0))</f>
        <v>0.01</v>
      </c>
      <c r="R34" s="31">
        <v>0</v>
      </c>
      <c r="S34" s="45">
        <f t="shared" si="55"/>
        <v>0</v>
      </c>
      <c r="T34" s="4"/>
      <c r="U34" s="159">
        <f t="shared" si="25"/>
        <v>4.6575000000000006</v>
      </c>
      <c r="V34" s="160"/>
      <c r="W34" s="100">
        <f>VLOOKUP($A34,[1]!CurveTable,MATCH($W$4,[1]!CurveType,0))+$W$9</f>
        <v>0.47499999999999998</v>
      </c>
      <c r="X34" s="100">
        <f>VLOOKUP($A34,[1]!CurveTable,MATCH($X$4,[1]!CurveType,0))+$X$9</f>
        <v>0.48</v>
      </c>
      <c r="Y34" s="158">
        <f t="shared" ca="1" si="12"/>
        <v>0.48676821362494532</v>
      </c>
      <c r="Z34" s="4"/>
      <c r="AA34" s="159">
        <f t="shared" si="26"/>
        <v>3.7675000000000001</v>
      </c>
      <c r="AB34" s="160"/>
      <c r="AC34" s="100">
        <f>VLOOKUP($A34,[1]!CurveTable,MATCH($AC$4,[1]!CurveType,0))+$AC$9</f>
        <v>0.23749999999999999</v>
      </c>
      <c r="AD34" s="100">
        <f>VLOOKUP($A34,[1]!CurveTable,MATCH($AD$4,[1]!CurveType,0))+$AD$9</f>
        <v>0.24249999999999999</v>
      </c>
      <c r="AE34" s="158">
        <f t="shared" ca="1" si="13"/>
        <v>0.24589744359720356</v>
      </c>
      <c r="AF34" s="4"/>
      <c r="AG34" s="52">
        <f ca="1">((Inputs!$F$20*(X34*AD34)*(A34-$C$3))+(Inputs!$F$19*W34*AC34*(DAY(EOMONTH(A34,0))/2)))/(AN34*Y34*AE34)</f>
        <v>0.74999965667312396</v>
      </c>
      <c r="AH34" s="4"/>
      <c r="AI34" s="18">
        <f>Inputs!$B$15</f>
        <v>0.06</v>
      </c>
      <c r="AJ34" s="46"/>
      <c r="AK34" s="18">
        <f t="shared" si="14"/>
        <v>0.83000000000000052</v>
      </c>
      <c r="AL34" s="46"/>
      <c r="AM34" s="62">
        <f t="shared" si="15"/>
        <v>38837</v>
      </c>
      <c r="AN34" s="63">
        <f t="shared" ca="1" si="16"/>
        <v>1644</v>
      </c>
      <c r="AO34" s="63">
        <f t="shared" si="47"/>
        <v>1</v>
      </c>
      <c r="AP34" s="19"/>
      <c r="AQ34" s="74">
        <f ca="1">_xll.SPRDOPT(U34,AA34,AI34,AX34,X34,AD34,AG34,AN34,AO34,0)</f>
        <v>1.3470704765719108</v>
      </c>
      <c r="AR34" s="47">
        <f t="shared" ca="1" si="27"/>
        <v>2020605.7148578663</v>
      </c>
      <c r="AS34" s="135">
        <f t="shared" ca="1" si="28"/>
        <v>0.5170704765719103</v>
      </c>
      <c r="AU34" s="5">
        <f t="shared" si="48"/>
        <v>30</v>
      </c>
      <c r="AV34" s="148">
        <f t="shared" si="18"/>
        <v>38883</v>
      </c>
      <c r="AW34" s="41">
        <f t="shared" ca="1" si="19"/>
        <v>1690</v>
      </c>
      <c r="AX34" s="100">
        <f>VLOOKUP($A34,[1]!CurveTable,MATCH(AX$4,[1]!CurveType,0))</f>
        <v>4.5249381694382397E-2</v>
      </c>
      <c r="AY34" s="149">
        <f ca="1">1/(1+CHOOSE(F$3,(AX35+(Inputs!$B$14/10000))/2,(AX34+(Inputs!$B$14/10000))/2))^(2*AW34/365.25)</f>
        <v>0.81299190637782681</v>
      </c>
      <c r="AZ34" s="41">
        <f t="shared" si="49"/>
        <v>1</v>
      </c>
      <c r="BA34" s="72">
        <f t="shared" si="50"/>
        <v>30</v>
      </c>
      <c r="BC34" s="65">
        <f t="shared" ca="1" si="29"/>
        <v>4515153.8000458563</v>
      </c>
      <c r="BD34" s="65">
        <f t="shared" ca="1" si="30"/>
        <v>4582225.6323220264</v>
      </c>
      <c r="BE34" s="65">
        <f t="shared" ca="1" si="31"/>
        <v>4582225.6323220264</v>
      </c>
      <c r="BF34" s="65">
        <f t="shared" ca="1" si="32"/>
        <v>1097539.0736100662</v>
      </c>
      <c r="BG34" s="65">
        <f t="shared" ca="1" si="33"/>
        <v>1097539.0736100662</v>
      </c>
      <c r="BH34" s="65">
        <f t="shared" ca="1" si="34"/>
        <v>1097539.0736100662</v>
      </c>
      <c r="BI34" s="65">
        <f t="shared" ca="1" si="35"/>
        <v>0</v>
      </c>
      <c r="BJ34" s="65">
        <f t="shared" ca="1" si="36"/>
        <v>0</v>
      </c>
      <c r="BK34" s="65">
        <f t="shared" ca="1" si="37"/>
        <v>0</v>
      </c>
      <c r="BL34" s="65">
        <f t="shared" ca="1" si="38"/>
        <v>12194.878595667402</v>
      </c>
      <c r="BM34" s="65">
        <f t="shared" ca="1" si="39"/>
        <v>12194.878595667402</v>
      </c>
      <c r="BN34" s="65">
        <f t="shared" ca="1" si="40"/>
        <v>12194.878595667402</v>
      </c>
      <c r="BO34" s="65">
        <f t="shared" ca="1" si="41"/>
        <v>12194.878595667402</v>
      </c>
      <c r="BP34" s="65">
        <f t="shared" ca="1" si="42"/>
        <v>0</v>
      </c>
      <c r="BQ34" s="65">
        <f t="shared" ca="1" si="43"/>
        <v>0</v>
      </c>
      <c r="BR34" s="65">
        <f t="shared" ca="1" si="44"/>
        <v>5679764.7059320938</v>
      </c>
      <c r="BS34" s="65">
        <f t="shared" ca="1" si="45"/>
        <v>4594420.5109176943</v>
      </c>
      <c r="BT34" s="65">
        <f t="shared" ca="1" si="46"/>
        <v>73169.271574004408</v>
      </c>
      <c r="BU34" s="65">
        <f t="shared" ca="1" si="23"/>
        <v>1012174.923440395</v>
      </c>
    </row>
    <row r="35" spans="1:73">
      <c r="A35" s="42">
        <f t="shared" si="24"/>
        <v>38899</v>
      </c>
      <c r="B35" s="30">
        <f>Inputs!$B$8</f>
        <v>50000</v>
      </c>
      <c r="C35" s="17">
        <f t="shared" si="5"/>
        <v>1550000</v>
      </c>
      <c r="D35" s="17">
        <f t="shared" ca="1" si="6"/>
        <v>1254041.3124753891</v>
      </c>
      <c r="E35" s="25">
        <f>VLOOKUP($A35,[1]!CurveTable,MATCH($E$4,[1]!CurveType,0))</f>
        <v>3.7475000000000001</v>
      </c>
      <c r="F35" s="31">
        <f>E35-Inputs!$B$16</f>
        <v>3.8025000000000002</v>
      </c>
      <c r="G35" s="43">
        <f t="shared" si="51"/>
        <v>3.8025000000000002</v>
      </c>
      <c r="H35" s="25">
        <f>VLOOKUP($A35,[1]!CurveTable,MATCH($H$4,[1]!CurveType,0))</f>
        <v>1.1000000000000001</v>
      </c>
      <c r="I35" s="31">
        <f>H35+Inputs!$B$22</f>
        <v>1.1000000000000001</v>
      </c>
      <c r="J35" s="44">
        <f t="shared" si="52"/>
        <v>1.1000000000000001</v>
      </c>
      <c r="K35" s="25">
        <f>VLOOKUP($A35,[1]!CurveTable,MATCH($K$4,[1]!CurveType,0))</f>
        <v>0</v>
      </c>
      <c r="L35" s="31">
        <v>0</v>
      </c>
      <c r="M35" s="45">
        <f t="shared" si="53"/>
        <v>0</v>
      </c>
      <c r="N35" s="25">
        <f>VLOOKUP($A35,[1]!CurveTable,MATCH($N$4,[1]!CurveType,0))</f>
        <v>7.4999999999999997E-3</v>
      </c>
      <c r="O35" s="31">
        <f>N35+Inputs!$E$22</f>
        <v>7.4999999999999997E-3</v>
      </c>
      <c r="P35" s="45">
        <f t="shared" si="54"/>
        <v>7.4999999999999997E-3</v>
      </c>
      <c r="Q35" s="25">
        <f>VLOOKUP($A35,[1]!CurveTable,MATCH($Q$4,[1]!CurveType,0))</f>
        <v>0.01</v>
      </c>
      <c r="R35" s="31">
        <v>0</v>
      </c>
      <c r="S35" s="45">
        <f t="shared" si="55"/>
        <v>0</v>
      </c>
      <c r="T35" s="4"/>
      <c r="U35" s="159">
        <f t="shared" si="25"/>
        <v>4.9024999999999999</v>
      </c>
      <c r="V35" s="160"/>
      <c r="W35" s="100">
        <f>VLOOKUP($A35,[1]!CurveTable,MATCH($W$4,[1]!CurveType,0))+$W$9</f>
        <v>0.47499999999999998</v>
      </c>
      <c r="X35" s="100">
        <f>VLOOKUP($A35,[1]!CurveTable,MATCH($X$4,[1]!CurveType,0))+$X$9</f>
        <v>0.48</v>
      </c>
      <c r="Y35" s="158">
        <f t="shared" ca="1" si="12"/>
        <v>0.48657167255946315</v>
      </c>
      <c r="Z35" s="4"/>
      <c r="AA35" s="159">
        <f t="shared" si="26"/>
        <v>3.81</v>
      </c>
      <c r="AB35" s="160"/>
      <c r="AC35" s="100">
        <f>VLOOKUP($A35,[1]!CurveTable,MATCH($AC$4,[1]!CurveType,0))+$AC$9</f>
        <v>0.23749999999999999</v>
      </c>
      <c r="AD35" s="100">
        <f>VLOOKUP($A35,[1]!CurveTable,MATCH($AD$4,[1]!CurveType,0))+$AD$9</f>
        <v>0.24249999999999999</v>
      </c>
      <c r="AE35" s="158">
        <f t="shared" ca="1" si="13"/>
        <v>0.24579782904084818</v>
      </c>
      <c r="AF35" s="4"/>
      <c r="AG35" s="52">
        <f ca="1">((Inputs!$F$20*(X35*AD35)*(A35-$C$3))+(Inputs!$F$19*W35*AC35*(DAY(EOMONTH(A35,0))/2)))/(AN35*Y35*AE35)</f>
        <v>0.74999965155841619</v>
      </c>
      <c r="AH35" s="4"/>
      <c r="AI35" s="18">
        <f>Inputs!$B$15</f>
        <v>0.06</v>
      </c>
      <c r="AJ35" s="46"/>
      <c r="AK35" s="18">
        <f t="shared" si="14"/>
        <v>1.0324999999999998</v>
      </c>
      <c r="AL35" s="46"/>
      <c r="AM35" s="62">
        <f t="shared" si="15"/>
        <v>38868</v>
      </c>
      <c r="AN35" s="63">
        <f t="shared" ca="1" si="16"/>
        <v>1675</v>
      </c>
      <c r="AO35" s="63">
        <f t="shared" si="47"/>
        <v>1</v>
      </c>
      <c r="AP35" s="19"/>
      <c r="AQ35" s="74">
        <f ca="1">_xll.SPRDOPT(U35,AA35,AI35,AX35,X35,AD35,AG35,AN35,AO35,0)</f>
        <v>1.4806410527113203</v>
      </c>
      <c r="AR35" s="47">
        <f t="shared" ca="1" si="27"/>
        <v>2294993.6317025465</v>
      </c>
      <c r="AS35" s="135">
        <f t="shared" ca="1" si="28"/>
        <v>0.44814105271132054</v>
      </c>
      <c r="AU35" s="5">
        <f t="shared" si="48"/>
        <v>31</v>
      </c>
      <c r="AV35" s="148">
        <f t="shared" si="18"/>
        <v>38913</v>
      </c>
      <c r="AW35" s="41">
        <f t="shared" ca="1" si="19"/>
        <v>1720</v>
      </c>
      <c r="AX35" s="100">
        <f>VLOOKUP($A35,[1]!CurveTable,MATCH(AX$4,[1]!CurveType,0))</f>
        <v>4.5504398410958199E-2</v>
      </c>
      <c r="AY35" s="149">
        <f ca="1">1/(1+CHOOSE(F$3,(AX36+(Inputs!$B$14/10000))/2,(AX35+(Inputs!$B$14/10000))/2))^(2*AW35/365.25)</f>
        <v>0.80905891127444451</v>
      </c>
      <c r="AZ35" s="41">
        <f t="shared" si="49"/>
        <v>1</v>
      </c>
      <c r="BA35" s="72">
        <f t="shared" si="50"/>
        <v>31</v>
      </c>
      <c r="BC35" s="65">
        <f t="shared" ca="1" si="29"/>
        <v>4699519.8185015209</v>
      </c>
      <c r="BD35" s="65">
        <f t="shared" ca="1" si="30"/>
        <v>4768492.090687667</v>
      </c>
      <c r="BE35" s="65">
        <f t="shared" ca="1" si="31"/>
        <v>4768492.090687667</v>
      </c>
      <c r="BF35" s="65">
        <f t="shared" ca="1" si="32"/>
        <v>1379445.4437229282</v>
      </c>
      <c r="BG35" s="65">
        <f t="shared" ca="1" si="33"/>
        <v>1379445.4437229282</v>
      </c>
      <c r="BH35" s="65">
        <f t="shared" ca="1" si="34"/>
        <v>1379445.4437229282</v>
      </c>
      <c r="BI35" s="65">
        <f t="shared" ca="1" si="35"/>
        <v>0</v>
      </c>
      <c r="BJ35" s="65">
        <f t="shared" ca="1" si="36"/>
        <v>0</v>
      </c>
      <c r="BK35" s="65">
        <f t="shared" ca="1" si="37"/>
        <v>0</v>
      </c>
      <c r="BL35" s="65">
        <f t="shared" ca="1" si="38"/>
        <v>9405.3098435654174</v>
      </c>
      <c r="BM35" s="65">
        <f t="shared" ca="1" si="39"/>
        <v>9405.3098435654174</v>
      </c>
      <c r="BN35" s="65">
        <f t="shared" ca="1" si="40"/>
        <v>9405.3098435654174</v>
      </c>
      <c r="BO35" s="65">
        <f t="shared" ca="1" si="41"/>
        <v>12540.413124753892</v>
      </c>
      <c r="BP35" s="65">
        <f t="shared" ca="1" si="42"/>
        <v>0</v>
      </c>
      <c r="BQ35" s="65">
        <f t="shared" ca="1" si="43"/>
        <v>0</v>
      </c>
      <c r="BR35" s="65">
        <f t="shared" ca="1" si="44"/>
        <v>6147937.534410595</v>
      </c>
      <c r="BS35" s="65">
        <f t="shared" ca="1" si="45"/>
        <v>4777897.4005312324</v>
      </c>
      <c r="BT35" s="65">
        <f t="shared" ca="1" si="46"/>
        <v>75242.478748523339</v>
      </c>
      <c r="BU35" s="65">
        <f t="shared" ca="1" si="23"/>
        <v>1294797.655130839</v>
      </c>
    </row>
    <row r="36" spans="1:73">
      <c r="A36" s="42">
        <f t="shared" si="24"/>
        <v>38930</v>
      </c>
      <c r="B36" s="30">
        <f>Inputs!$B$8</f>
        <v>50000</v>
      </c>
      <c r="C36" s="17">
        <f t="shared" si="5"/>
        <v>1550000</v>
      </c>
      <c r="D36" s="17">
        <f t="shared" ca="1" si="6"/>
        <v>1247719.4462739534</v>
      </c>
      <c r="E36" s="25">
        <f>VLOOKUP($A36,[1]!CurveTable,MATCH($E$4,[1]!CurveType,0))</f>
        <v>3.7855000000000003</v>
      </c>
      <c r="F36" s="31">
        <f>E36-Inputs!$B$16</f>
        <v>3.8405000000000005</v>
      </c>
      <c r="G36" s="43">
        <f t="shared" si="51"/>
        <v>3.8405000000000005</v>
      </c>
      <c r="H36" s="25">
        <f>VLOOKUP($A36,[1]!CurveTable,MATCH($H$4,[1]!CurveType,0))</f>
        <v>1.1000000000000001</v>
      </c>
      <c r="I36" s="31">
        <f>H36+Inputs!$B$22</f>
        <v>1.1000000000000001</v>
      </c>
      <c r="J36" s="44">
        <f t="shared" si="52"/>
        <v>1.1000000000000001</v>
      </c>
      <c r="K36" s="25">
        <f>VLOOKUP($A36,[1]!CurveTable,MATCH($K$4,[1]!CurveType,0))</f>
        <v>0</v>
      </c>
      <c r="L36" s="31">
        <v>0</v>
      </c>
      <c r="M36" s="45">
        <f t="shared" si="53"/>
        <v>0</v>
      </c>
      <c r="N36" s="25">
        <f>VLOOKUP($A36,[1]!CurveTable,MATCH($N$4,[1]!CurveType,0))</f>
        <v>7.4999999999999997E-3</v>
      </c>
      <c r="O36" s="31">
        <f>N36+Inputs!$E$22</f>
        <v>7.4999999999999997E-3</v>
      </c>
      <c r="P36" s="45">
        <f t="shared" si="54"/>
        <v>7.4999999999999997E-3</v>
      </c>
      <c r="Q36" s="25">
        <f>VLOOKUP($A36,[1]!CurveTable,MATCH($Q$4,[1]!CurveType,0))</f>
        <v>0.01</v>
      </c>
      <c r="R36" s="31">
        <v>0</v>
      </c>
      <c r="S36" s="45">
        <f t="shared" si="55"/>
        <v>0</v>
      </c>
      <c r="T36" s="4"/>
      <c r="U36" s="159">
        <f t="shared" si="25"/>
        <v>4.9405000000000001</v>
      </c>
      <c r="V36" s="160"/>
      <c r="W36" s="100">
        <f>VLOOKUP($A36,[1]!CurveTable,MATCH($W$4,[1]!CurveType,0))+$W$9</f>
        <v>0.47499999999999998</v>
      </c>
      <c r="X36" s="100">
        <f>VLOOKUP($A36,[1]!CurveTable,MATCH($X$4,[1]!CurveType,0))+$X$9</f>
        <v>0.48</v>
      </c>
      <c r="Y36" s="158">
        <f t="shared" ca="1" si="12"/>
        <v>0.4865956835377156</v>
      </c>
      <c r="Z36" s="4"/>
      <c r="AA36" s="159">
        <f t="shared" si="26"/>
        <v>3.8480000000000003</v>
      </c>
      <c r="AB36" s="160"/>
      <c r="AC36" s="100">
        <f>VLOOKUP($A36,[1]!CurveTable,MATCH($AC$4,[1]!CurveType,0))+$AC$9</f>
        <v>0.23749999999999999</v>
      </c>
      <c r="AD36" s="100">
        <f>VLOOKUP($A36,[1]!CurveTable,MATCH($AD$4,[1]!CurveType,0))+$AD$9</f>
        <v>0.24249999999999999</v>
      </c>
      <c r="AE36" s="158">
        <f t="shared" ca="1" si="13"/>
        <v>0.245810351908889</v>
      </c>
      <c r="AF36" s="4"/>
      <c r="AG36" s="52">
        <f ca="1">((Inputs!$F$20*(X36*AD36)*(A36-$C$3))+(Inputs!$F$19*W36*AC36*(DAY(EOMONTH(A36,0))/2)))/(AN36*Y36*AE36)</f>
        <v>0.74999965767035315</v>
      </c>
      <c r="AH36" s="4"/>
      <c r="AI36" s="18">
        <f>Inputs!$B$15</f>
        <v>0.06</v>
      </c>
      <c r="AJ36" s="46"/>
      <c r="AK36" s="18">
        <f t="shared" si="14"/>
        <v>1.0324999999999998</v>
      </c>
      <c r="AL36" s="46"/>
      <c r="AM36" s="62">
        <f t="shared" si="15"/>
        <v>38898</v>
      </c>
      <c r="AN36" s="63">
        <f t="shared" ca="1" si="16"/>
        <v>1705</v>
      </c>
      <c r="AO36" s="63">
        <f t="shared" si="47"/>
        <v>1</v>
      </c>
      <c r="AP36" s="19"/>
      <c r="AQ36" s="74">
        <f ca="1">_xll.SPRDOPT(U36,AA36,AI36,AX36,X36,AD36,AG36,AN36,AO36,0)</f>
        <v>1.4897193283484169</v>
      </c>
      <c r="AR36" s="47">
        <f t="shared" ca="1" si="27"/>
        <v>2309064.9589400464</v>
      </c>
      <c r="AS36" s="135">
        <f t="shared" ca="1" si="28"/>
        <v>0.45721932834841716</v>
      </c>
      <c r="AU36" s="5">
        <f t="shared" si="48"/>
        <v>31</v>
      </c>
      <c r="AV36" s="148">
        <f t="shared" si="18"/>
        <v>38944</v>
      </c>
      <c r="AW36" s="41">
        <f t="shared" ca="1" si="19"/>
        <v>1751</v>
      </c>
      <c r="AX36" s="100">
        <f>VLOOKUP($A36,[1]!CurveTable,MATCH(AX$4,[1]!CurveType,0))</f>
        <v>4.5767915707614702E-2</v>
      </c>
      <c r="AY36" s="149">
        <f ca="1">1/(1+CHOOSE(F$3,(AX37+(Inputs!$B$14/10000))/2,(AX36+(Inputs!$B$14/10000))/2))^(2*AW36/365.25)</f>
        <v>0.80498028791867959</v>
      </c>
      <c r="AZ36" s="41">
        <f t="shared" si="49"/>
        <v>1</v>
      </c>
      <c r="BA36" s="72">
        <f t="shared" si="50"/>
        <v>31</v>
      </c>
      <c r="BC36" s="65">
        <f t="shared" ca="1" si="29"/>
        <v>4723241.9638700513</v>
      </c>
      <c r="BD36" s="65">
        <f t="shared" ca="1" si="30"/>
        <v>4791866.5334151192</v>
      </c>
      <c r="BE36" s="65">
        <f t="shared" ca="1" si="31"/>
        <v>4791866.5334151192</v>
      </c>
      <c r="BF36" s="65">
        <f t="shared" ca="1" si="32"/>
        <v>1372491.3909013488</v>
      </c>
      <c r="BG36" s="65">
        <f t="shared" ca="1" si="33"/>
        <v>1372491.3909013488</v>
      </c>
      <c r="BH36" s="65">
        <f t="shared" ca="1" si="34"/>
        <v>1372491.3909013488</v>
      </c>
      <c r="BI36" s="65">
        <f t="shared" ca="1" si="35"/>
        <v>0</v>
      </c>
      <c r="BJ36" s="65">
        <f t="shared" ca="1" si="36"/>
        <v>0</v>
      </c>
      <c r="BK36" s="65">
        <f t="shared" ca="1" si="37"/>
        <v>0</v>
      </c>
      <c r="BL36" s="65">
        <f t="shared" ca="1" si="38"/>
        <v>9357.8958470546495</v>
      </c>
      <c r="BM36" s="65">
        <f t="shared" ca="1" si="39"/>
        <v>9357.8958470546495</v>
      </c>
      <c r="BN36" s="65">
        <f t="shared" ca="1" si="40"/>
        <v>9357.8958470546495</v>
      </c>
      <c r="BO36" s="65">
        <f t="shared" ca="1" si="41"/>
        <v>12477.194462739535</v>
      </c>
      <c r="BP36" s="65">
        <f t="shared" ca="1" si="42"/>
        <v>0</v>
      </c>
      <c r="BQ36" s="65">
        <f t="shared" ca="1" si="43"/>
        <v>0</v>
      </c>
      <c r="BR36" s="65">
        <f t="shared" ca="1" si="44"/>
        <v>6164357.9243164668</v>
      </c>
      <c r="BS36" s="65">
        <f t="shared" ca="1" si="45"/>
        <v>4801224.4292621734</v>
      </c>
      <c r="BT36" s="65">
        <f t="shared" ca="1" si="46"/>
        <v>74863.166776437196</v>
      </c>
      <c r="BU36" s="65">
        <f t="shared" ca="1" si="23"/>
        <v>1288270.3282778566</v>
      </c>
    </row>
    <row r="37" spans="1:73">
      <c r="A37" s="42">
        <f t="shared" si="24"/>
        <v>38961</v>
      </c>
      <c r="B37" s="30">
        <f>Inputs!$B$8</f>
        <v>50000</v>
      </c>
      <c r="C37" s="17">
        <f t="shared" si="5"/>
        <v>1500000</v>
      </c>
      <c r="D37" s="17">
        <f t="shared" ca="1" si="6"/>
        <v>1201330.9936074095</v>
      </c>
      <c r="E37" s="25">
        <f>VLOOKUP($A37,[1]!CurveTable,MATCH($E$4,[1]!CurveType,0))</f>
        <v>3.7795000000000001</v>
      </c>
      <c r="F37" s="31">
        <f>E37-Inputs!$B$16</f>
        <v>3.8345000000000002</v>
      </c>
      <c r="G37" s="43">
        <f t="shared" si="51"/>
        <v>3.8345000000000002</v>
      </c>
      <c r="H37" s="25">
        <f>VLOOKUP($A37,[1]!CurveTable,MATCH($H$4,[1]!CurveType,0))</f>
        <v>0.65</v>
      </c>
      <c r="I37" s="31">
        <f>H37+Inputs!$B$22</f>
        <v>0.65</v>
      </c>
      <c r="J37" s="44">
        <f t="shared" si="52"/>
        <v>0.65</v>
      </c>
      <c r="K37" s="25">
        <f>VLOOKUP($A37,[1]!CurveTable,MATCH($K$4,[1]!CurveType,0))</f>
        <v>0</v>
      </c>
      <c r="L37" s="31">
        <v>0</v>
      </c>
      <c r="M37" s="45">
        <f t="shared" si="53"/>
        <v>0</v>
      </c>
      <c r="N37" s="25">
        <f>VLOOKUP($A37,[1]!CurveTable,MATCH($N$4,[1]!CurveType,0))</f>
        <v>7.4999999999999997E-3</v>
      </c>
      <c r="O37" s="31">
        <f>N37+Inputs!$E$22</f>
        <v>7.4999999999999997E-3</v>
      </c>
      <c r="P37" s="45">
        <f t="shared" si="54"/>
        <v>7.4999999999999997E-3</v>
      </c>
      <c r="Q37" s="25">
        <f>VLOOKUP($A37,[1]!CurveTable,MATCH($Q$4,[1]!CurveType,0))</f>
        <v>0.01</v>
      </c>
      <c r="R37" s="31">
        <v>0</v>
      </c>
      <c r="S37" s="45">
        <f t="shared" si="55"/>
        <v>0</v>
      </c>
      <c r="T37" s="4"/>
      <c r="U37" s="159">
        <f t="shared" si="25"/>
        <v>4.4845000000000006</v>
      </c>
      <c r="V37" s="160"/>
      <c r="W37" s="100">
        <f>VLOOKUP($A37,[1]!CurveTable,MATCH($W$4,[1]!CurveType,0))+$W$9</f>
        <v>0.47499999999999998</v>
      </c>
      <c r="X37" s="100">
        <f>VLOOKUP($A37,[1]!CurveTable,MATCH($X$4,[1]!CurveType,0))+$X$9</f>
        <v>0.48</v>
      </c>
      <c r="Y37" s="158">
        <f t="shared" ca="1" si="12"/>
        <v>0.48641189271838348</v>
      </c>
      <c r="Z37" s="4"/>
      <c r="AA37" s="159">
        <f t="shared" si="26"/>
        <v>3.8420000000000001</v>
      </c>
      <c r="AB37" s="160"/>
      <c r="AC37" s="100">
        <f>VLOOKUP($A37,[1]!CurveTable,MATCH($AC$4,[1]!CurveType,0))+$AC$9</f>
        <v>0.23749999999999999</v>
      </c>
      <c r="AD37" s="100">
        <f>VLOOKUP($A37,[1]!CurveTable,MATCH($AD$4,[1]!CurveType,0))+$AD$9</f>
        <v>0.24249999999999999</v>
      </c>
      <c r="AE37" s="158">
        <f t="shared" ca="1" si="13"/>
        <v>0.2457185735094348</v>
      </c>
      <c r="AF37" s="4"/>
      <c r="AG37" s="52">
        <f ca="1">((Inputs!$F$20*(X37*AD37)*(A37-$C$3))+(Inputs!$F$19*W37*AC37*(DAY(EOMONTH(A37,0))/2)))/(AN37*Y37*AE37)</f>
        <v>0.74999967424706593</v>
      </c>
      <c r="AH37" s="4"/>
      <c r="AI37" s="18">
        <f>Inputs!$B$15</f>
        <v>0.06</v>
      </c>
      <c r="AJ37" s="46"/>
      <c r="AK37" s="18">
        <f t="shared" si="14"/>
        <v>0.58250000000000046</v>
      </c>
      <c r="AL37" s="46"/>
      <c r="AM37" s="62">
        <f t="shared" si="15"/>
        <v>38929</v>
      </c>
      <c r="AN37" s="63">
        <f t="shared" ca="1" si="16"/>
        <v>1736</v>
      </c>
      <c r="AO37" s="63">
        <f t="shared" si="47"/>
        <v>1</v>
      </c>
      <c r="AP37" s="19"/>
      <c r="AQ37" s="74">
        <f ca="1">_xll.SPRDOPT(U37,AA37,AI37,AX37,X37,AD37,AG37,AN37,AO37,0)</f>
        <v>1.2238262754384714</v>
      </c>
      <c r="AR37" s="47">
        <f t="shared" ca="1" si="27"/>
        <v>1835739.4131577071</v>
      </c>
      <c r="AS37" s="135">
        <f t="shared" ca="1" si="28"/>
        <v>0.64132627543847098</v>
      </c>
      <c r="AU37" s="5">
        <f t="shared" si="48"/>
        <v>30</v>
      </c>
      <c r="AV37" s="148">
        <f t="shared" si="18"/>
        <v>38975</v>
      </c>
      <c r="AW37" s="41">
        <f t="shared" ca="1" si="19"/>
        <v>1782</v>
      </c>
      <c r="AX37" s="100">
        <f>VLOOKUP($A37,[1]!CurveTable,MATCH(AX$4,[1]!CurveType,0))</f>
        <v>4.6031433027504697E-2</v>
      </c>
      <c r="AY37" s="149">
        <f ca="1">1/(1+CHOOSE(F$3,(AX38+(Inputs!$B$14/10000))/2,(AX37+(Inputs!$B$14/10000))/2))^(2*AW37/365.25)</f>
        <v>0.80088732907160631</v>
      </c>
      <c r="AZ37" s="41">
        <f t="shared" si="49"/>
        <v>1</v>
      </c>
      <c r="BA37" s="72">
        <f t="shared" si="50"/>
        <v>30</v>
      </c>
      <c r="BC37" s="65">
        <f t="shared" ca="1" si="29"/>
        <v>4540430.4903392047</v>
      </c>
      <c r="BD37" s="65">
        <f t="shared" ca="1" si="30"/>
        <v>4606503.6949876118</v>
      </c>
      <c r="BE37" s="65">
        <f t="shared" ca="1" si="31"/>
        <v>4606503.6949876118</v>
      </c>
      <c r="BF37" s="65">
        <f t="shared" ca="1" si="32"/>
        <v>780865.14584481623</v>
      </c>
      <c r="BG37" s="65">
        <f t="shared" ca="1" si="33"/>
        <v>780865.14584481623</v>
      </c>
      <c r="BH37" s="65">
        <f t="shared" ca="1" si="34"/>
        <v>780865.14584481623</v>
      </c>
      <c r="BI37" s="65">
        <f t="shared" ca="1" si="35"/>
        <v>0</v>
      </c>
      <c r="BJ37" s="65">
        <f t="shared" ca="1" si="36"/>
        <v>0</v>
      </c>
      <c r="BK37" s="65">
        <f t="shared" ca="1" si="37"/>
        <v>0</v>
      </c>
      <c r="BL37" s="65">
        <f t="shared" ca="1" si="38"/>
        <v>9009.9824520555703</v>
      </c>
      <c r="BM37" s="65">
        <f t="shared" ca="1" si="39"/>
        <v>9009.9824520555703</v>
      </c>
      <c r="BN37" s="65">
        <f t="shared" ca="1" si="40"/>
        <v>9009.9824520555703</v>
      </c>
      <c r="BO37" s="65">
        <f t="shared" ca="1" si="41"/>
        <v>12013.309936074096</v>
      </c>
      <c r="BP37" s="65">
        <f t="shared" ca="1" si="42"/>
        <v>0</v>
      </c>
      <c r="BQ37" s="65">
        <f t="shared" ca="1" si="43"/>
        <v>0</v>
      </c>
      <c r="BR37" s="65">
        <f t="shared" ca="1" si="44"/>
        <v>5387368.840832429</v>
      </c>
      <c r="BS37" s="65">
        <f t="shared" ca="1" si="45"/>
        <v>4615513.6774396673</v>
      </c>
      <c r="BT37" s="65">
        <f t="shared" ca="1" si="46"/>
        <v>72079.859616444563</v>
      </c>
      <c r="BU37" s="65">
        <f t="shared" ca="1" si="23"/>
        <v>699775.30377631658</v>
      </c>
    </row>
    <row r="38" spans="1:73">
      <c r="A38" s="42">
        <f t="shared" si="24"/>
        <v>38991</v>
      </c>
      <c r="B38" s="30">
        <f>Inputs!$B$8</f>
        <v>50000</v>
      </c>
      <c r="C38" s="17">
        <f t="shared" si="5"/>
        <v>1550000</v>
      </c>
      <c r="D38" s="17">
        <f t="shared" ca="1" si="6"/>
        <v>1235215.4009573823</v>
      </c>
      <c r="E38" s="25">
        <f>VLOOKUP($A38,[1]!CurveTable,MATCH($E$4,[1]!CurveType,0))</f>
        <v>3.7795000000000001</v>
      </c>
      <c r="F38" s="31">
        <f>E38-Inputs!$B$16</f>
        <v>3.8345000000000002</v>
      </c>
      <c r="G38" s="43">
        <f t="shared" si="51"/>
        <v>3.8345000000000002</v>
      </c>
      <c r="H38" s="25">
        <f>VLOOKUP($A38,[1]!CurveTable,MATCH($H$4,[1]!CurveType,0))</f>
        <v>0.35</v>
      </c>
      <c r="I38" s="31">
        <f>H38+Inputs!$B$22</f>
        <v>0.35</v>
      </c>
      <c r="J38" s="44">
        <f t="shared" si="52"/>
        <v>0.35</v>
      </c>
      <c r="K38" s="25">
        <f>VLOOKUP($A38,[1]!CurveTable,MATCH($K$4,[1]!CurveType,0))</f>
        <v>0</v>
      </c>
      <c r="L38" s="31">
        <v>0</v>
      </c>
      <c r="M38" s="45">
        <f t="shared" si="53"/>
        <v>0</v>
      </c>
      <c r="N38" s="25">
        <f>VLOOKUP($A38,[1]!CurveTable,MATCH($N$4,[1]!CurveType,0))</f>
        <v>6.0000000000000001E-3</v>
      </c>
      <c r="O38" s="31">
        <f>N38+Inputs!$E$22</f>
        <v>6.0000000000000001E-3</v>
      </c>
      <c r="P38" s="45">
        <f t="shared" si="54"/>
        <v>6.0000000000000001E-3</v>
      </c>
      <c r="Q38" s="25">
        <f>VLOOKUP($A38,[1]!CurveTable,MATCH($Q$4,[1]!CurveType,0))</f>
        <v>0.01</v>
      </c>
      <c r="R38" s="31">
        <v>0</v>
      </c>
      <c r="S38" s="45">
        <f t="shared" si="55"/>
        <v>0</v>
      </c>
      <c r="T38" s="4"/>
      <c r="U38" s="159">
        <f t="shared" si="25"/>
        <v>4.1844999999999999</v>
      </c>
      <c r="V38" s="160"/>
      <c r="W38" s="100">
        <f>VLOOKUP($A38,[1]!CurveTable,MATCH($W$4,[1]!CurveType,0))+$W$9</f>
        <v>0.23749999999999999</v>
      </c>
      <c r="X38" s="100">
        <f>VLOOKUP($A38,[1]!CurveTable,MATCH($X$4,[1]!CurveType,0))+$X$9</f>
        <v>0.24249999999999999</v>
      </c>
      <c r="Y38" s="158">
        <f t="shared" ca="1" si="12"/>
        <v>0.24562721808292723</v>
      </c>
      <c r="Z38" s="4"/>
      <c r="AA38" s="159">
        <f t="shared" si="26"/>
        <v>3.8405</v>
      </c>
      <c r="AB38" s="160"/>
      <c r="AC38" s="100">
        <f>VLOOKUP($A38,[1]!CurveTable,MATCH($AC$4,[1]!CurveType,0))+$AC$9</f>
        <v>0.23749999999999999</v>
      </c>
      <c r="AD38" s="100">
        <f>VLOOKUP($A38,[1]!CurveTable,MATCH($AD$4,[1]!CurveType,0))+$AD$9</f>
        <v>0.24249999999999999</v>
      </c>
      <c r="AE38" s="158">
        <f t="shared" ca="1" si="13"/>
        <v>0.24562721808292723</v>
      </c>
      <c r="AF38" s="4"/>
      <c r="AG38" s="52">
        <f ca="1">((Inputs!$F$20*(X38*AD38)*(A38-$C$3))+(Inputs!$F$19*W38*AC38*(DAY(EOMONTH(A38,0))/2)))/(AN38*Y38*AE38)</f>
        <v>0.75000000000000011</v>
      </c>
      <c r="AH38" s="4"/>
      <c r="AI38" s="18">
        <f>Inputs!$B$15</f>
        <v>0.06</v>
      </c>
      <c r="AJ38" s="46"/>
      <c r="AK38" s="18">
        <f t="shared" si="14"/>
        <v>0.28399999999999986</v>
      </c>
      <c r="AL38" s="46"/>
      <c r="AM38" s="62">
        <f t="shared" si="15"/>
        <v>38960</v>
      </c>
      <c r="AN38" s="63">
        <f t="shared" ca="1" si="16"/>
        <v>1767</v>
      </c>
      <c r="AO38" s="63">
        <f t="shared" si="47"/>
        <v>1</v>
      </c>
      <c r="AP38" s="19"/>
      <c r="AQ38" s="74">
        <f ca="1">_xll.SPRDOPT(U38,AA38,AI38,AX38,X38,AD38,AG38,AN38,AO38,0)</f>
        <v>0.60164831083538073</v>
      </c>
      <c r="AR38" s="47">
        <f t="shared" ca="1" si="27"/>
        <v>932554.8817948401</v>
      </c>
      <c r="AS38" s="135">
        <f t="shared" ca="1" si="28"/>
        <v>0.31764831083538086</v>
      </c>
      <c r="AU38" s="5">
        <f t="shared" si="48"/>
        <v>31</v>
      </c>
      <c r="AV38" s="148">
        <f t="shared" si="18"/>
        <v>39005</v>
      </c>
      <c r="AW38" s="41">
        <f t="shared" ca="1" si="19"/>
        <v>1812</v>
      </c>
      <c r="AX38" s="100">
        <f>VLOOKUP($A38,[1]!CurveTable,MATCH(AX$4,[1]!CurveType,0))</f>
        <v>4.6286449810807095E-2</v>
      </c>
      <c r="AY38" s="149">
        <f ca="1">1/(1+CHOOSE(F$3,(AX39+(Inputs!$B$14/10000))/2,(AX38+(Inputs!$B$14/10000))/2))^(2*AW38/365.25)</f>
        <v>0.79691316190798855</v>
      </c>
      <c r="AZ38" s="41">
        <f t="shared" si="49"/>
        <v>1</v>
      </c>
      <c r="BA38" s="72">
        <f t="shared" si="50"/>
        <v>31</v>
      </c>
      <c r="BC38" s="65">
        <f t="shared" ca="1" si="29"/>
        <v>4668496.6079184264</v>
      </c>
      <c r="BD38" s="65">
        <f t="shared" ca="1" si="30"/>
        <v>4736433.4549710825</v>
      </c>
      <c r="BE38" s="65">
        <f t="shared" ca="1" si="31"/>
        <v>4736433.4549710825</v>
      </c>
      <c r="BF38" s="65">
        <f t="shared" ca="1" si="32"/>
        <v>432325.39033508376</v>
      </c>
      <c r="BG38" s="65">
        <f t="shared" ca="1" si="33"/>
        <v>432325.39033508376</v>
      </c>
      <c r="BH38" s="65">
        <f t="shared" ca="1" si="34"/>
        <v>432325.39033508376</v>
      </c>
      <c r="BI38" s="65">
        <f t="shared" ca="1" si="35"/>
        <v>0</v>
      </c>
      <c r="BJ38" s="65">
        <f t="shared" ca="1" si="36"/>
        <v>0</v>
      </c>
      <c r="BK38" s="65">
        <f t="shared" ca="1" si="37"/>
        <v>0</v>
      </c>
      <c r="BL38" s="65">
        <f t="shared" ca="1" si="38"/>
        <v>7411.2924057442942</v>
      </c>
      <c r="BM38" s="65">
        <f t="shared" ca="1" si="39"/>
        <v>7411.2924057442942</v>
      </c>
      <c r="BN38" s="65">
        <f t="shared" ca="1" si="40"/>
        <v>7411.2924057442942</v>
      </c>
      <c r="BO38" s="65">
        <f t="shared" ca="1" si="41"/>
        <v>12352.154009573824</v>
      </c>
      <c r="BP38" s="65">
        <f t="shared" ca="1" si="42"/>
        <v>0</v>
      </c>
      <c r="BQ38" s="65">
        <f t="shared" ca="1" si="43"/>
        <v>0</v>
      </c>
      <c r="BR38" s="65">
        <f t="shared" ca="1" si="44"/>
        <v>5168758.8453061664</v>
      </c>
      <c r="BS38" s="65">
        <f t="shared" ca="1" si="45"/>
        <v>4743844.7473768266</v>
      </c>
      <c r="BT38" s="65">
        <f t="shared" ca="1" si="46"/>
        <v>74112.924057442928</v>
      </c>
      <c r="BU38" s="65">
        <f t="shared" ca="1" si="23"/>
        <v>350801.1738718964</v>
      </c>
    </row>
    <row r="39" spans="1:73">
      <c r="A39" s="42">
        <f t="shared" si="24"/>
        <v>39022</v>
      </c>
      <c r="B39" s="30">
        <f>Inputs!$B$8</f>
        <v>50000</v>
      </c>
      <c r="C39" s="17">
        <f t="shared" si="5"/>
        <v>1500000</v>
      </c>
      <c r="D39" s="17">
        <f t="shared" ca="1" si="6"/>
        <v>1189287.0141019106</v>
      </c>
      <c r="E39" s="25">
        <f>VLOOKUP($A39,[1]!CurveTable,MATCH($E$4,[1]!CurveType,0))</f>
        <v>3.9275000000000002</v>
      </c>
      <c r="F39" s="31">
        <f>E39-Inputs!$B$16</f>
        <v>3.9825000000000004</v>
      </c>
      <c r="G39" s="43">
        <f t="shared" si="51"/>
        <v>3.9825000000000004</v>
      </c>
      <c r="H39" s="25">
        <f>VLOOKUP($A39,[1]!CurveTable,MATCH($H$4,[1]!CurveType,0))</f>
        <v>0.27</v>
      </c>
      <c r="I39" s="31">
        <f>H39+Inputs!$B$22</f>
        <v>0.27</v>
      </c>
      <c r="J39" s="44">
        <f t="shared" si="52"/>
        <v>0.27</v>
      </c>
      <c r="K39" s="25">
        <f>VLOOKUP($A39,[1]!CurveTable,MATCH($K$4,[1]!CurveType,0))</f>
        <v>0</v>
      </c>
      <c r="L39" s="31">
        <v>0</v>
      </c>
      <c r="M39" s="45">
        <f t="shared" si="53"/>
        <v>0</v>
      </c>
      <c r="N39" s="25">
        <f>VLOOKUP($A39,[1]!CurveTable,MATCH($N$4,[1]!CurveType,0))</f>
        <v>7.0000000000000001E-3</v>
      </c>
      <c r="O39" s="31">
        <f>N39+Inputs!$E$22</f>
        <v>7.0000000000000001E-3</v>
      </c>
      <c r="P39" s="45">
        <f t="shared" si="54"/>
        <v>7.0000000000000001E-3</v>
      </c>
      <c r="Q39" s="25">
        <f>VLOOKUP($A39,[1]!CurveTable,MATCH($Q$4,[1]!CurveType,0))</f>
        <v>7.4999999999999997E-3</v>
      </c>
      <c r="R39" s="31">
        <v>0</v>
      </c>
      <c r="S39" s="45">
        <f t="shared" si="55"/>
        <v>0</v>
      </c>
      <c r="T39" s="4"/>
      <c r="U39" s="159">
        <f t="shared" si="25"/>
        <v>4.2525000000000004</v>
      </c>
      <c r="V39" s="160"/>
      <c r="W39" s="100">
        <f>VLOOKUP($A39,[1]!CurveTable,MATCH($W$4,[1]!CurveType,0))+$W$9</f>
        <v>0.23749999999999999</v>
      </c>
      <c r="X39" s="100">
        <f>VLOOKUP($A39,[1]!CurveTable,MATCH($X$4,[1]!CurveType,0))+$X$9</f>
        <v>0.24249999999999999</v>
      </c>
      <c r="Y39" s="158">
        <f t="shared" ca="1" si="12"/>
        <v>0.24561000910399508</v>
      </c>
      <c r="Z39" s="4"/>
      <c r="AA39" s="159">
        <f t="shared" si="26"/>
        <v>3.9895000000000005</v>
      </c>
      <c r="AB39" s="160"/>
      <c r="AC39" s="100">
        <f>VLOOKUP($A39,[1]!CurveTable,MATCH($AC$4,[1]!CurveType,0))+$AC$9</f>
        <v>0.23749999999999999</v>
      </c>
      <c r="AD39" s="100">
        <f>VLOOKUP($A39,[1]!CurveTable,MATCH($AD$4,[1]!CurveType,0))+$AD$9</f>
        <v>0.24249999999999999</v>
      </c>
      <c r="AE39" s="158">
        <f t="shared" ca="1" si="13"/>
        <v>0.24561000910399508</v>
      </c>
      <c r="AF39" s="4"/>
      <c r="AG39" s="52">
        <f ca="1">((Inputs!$F$20*(X39*AD39)*(A39-$C$3))+(Inputs!$F$19*W39*AC39*(DAY(EOMONTH(A39,0))/2)))/(AN39*Y39*AE39)</f>
        <v>0.75</v>
      </c>
      <c r="AH39" s="4"/>
      <c r="AI39" s="18">
        <f>Inputs!$B$15</f>
        <v>0.06</v>
      </c>
      <c r="AJ39" s="46"/>
      <c r="AK39" s="18">
        <f t="shared" si="14"/>
        <v>0.2029999999999999</v>
      </c>
      <c r="AL39" s="46"/>
      <c r="AM39" s="62">
        <f t="shared" si="15"/>
        <v>38990</v>
      </c>
      <c r="AN39" s="63">
        <f t="shared" ca="1" si="16"/>
        <v>1797</v>
      </c>
      <c r="AO39" s="63">
        <f t="shared" si="47"/>
        <v>1</v>
      </c>
      <c r="AP39" s="19"/>
      <c r="AQ39" s="74">
        <f ca="1">_xll.SPRDOPT(U39,AA39,AI39,AX39,X39,AD39,AG39,AN39,AO39,0)</f>
        <v>0.57925144318035859</v>
      </c>
      <c r="AR39" s="47">
        <f t="shared" ca="1" si="27"/>
        <v>868877.16477053787</v>
      </c>
      <c r="AS39" s="135">
        <f t="shared" ca="1" si="28"/>
        <v>0.37625144318035869</v>
      </c>
      <c r="AU39" s="5">
        <f t="shared" si="48"/>
        <v>30</v>
      </c>
      <c r="AV39" s="148">
        <f t="shared" si="18"/>
        <v>39036</v>
      </c>
      <c r="AW39" s="41">
        <f t="shared" ca="1" si="19"/>
        <v>1843</v>
      </c>
      <c r="AX39" s="100">
        <f>VLOOKUP($A39,[1]!CurveTable,MATCH(AX$4,[1]!CurveType,0))</f>
        <v>4.6533406469315204E-2</v>
      </c>
      <c r="AY39" s="149">
        <f ca="1">1/(1+CHOOSE(F$3,(AX40+(Inputs!$B$14/10000))/2,(AX39+(Inputs!$B$14/10000))/2))^(2*AW39/365.25)</f>
        <v>0.79285800940127371</v>
      </c>
      <c r="AZ39" s="41">
        <f t="shared" si="49"/>
        <v>1</v>
      </c>
      <c r="BA39" s="72">
        <f t="shared" si="50"/>
        <v>30</v>
      </c>
      <c r="BC39" s="65">
        <f t="shared" ca="1" si="29"/>
        <v>4670924.7478852542</v>
      </c>
      <c r="BD39" s="65">
        <f t="shared" ca="1" si="30"/>
        <v>4736335.5336608598</v>
      </c>
      <c r="BE39" s="65">
        <f t="shared" ca="1" si="31"/>
        <v>4736335.5336608598</v>
      </c>
      <c r="BF39" s="65">
        <f t="shared" ca="1" si="32"/>
        <v>321107.49380751589</v>
      </c>
      <c r="BG39" s="65">
        <f t="shared" ca="1" si="33"/>
        <v>321107.49380751589</v>
      </c>
      <c r="BH39" s="65">
        <f t="shared" ca="1" si="34"/>
        <v>321107.49380751589</v>
      </c>
      <c r="BI39" s="65">
        <f t="shared" ca="1" si="35"/>
        <v>0</v>
      </c>
      <c r="BJ39" s="65">
        <f t="shared" ca="1" si="36"/>
        <v>0</v>
      </c>
      <c r="BK39" s="65">
        <f t="shared" ca="1" si="37"/>
        <v>0</v>
      </c>
      <c r="BL39" s="65">
        <f t="shared" ca="1" si="38"/>
        <v>8325.0090987133754</v>
      </c>
      <c r="BM39" s="65">
        <f t="shared" ca="1" si="39"/>
        <v>8325.0090987133754</v>
      </c>
      <c r="BN39" s="65">
        <f t="shared" ca="1" si="40"/>
        <v>8325.0090987133754</v>
      </c>
      <c r="BO39" s="65">
        <f t="shared" ca="1" si="41"/>
        <v>8919.6526057643296</v>
      </c>
      <c r="BP39" s="65">
        <f t="shared" ca="1" si="42"/>
        <v>0</v>
      </c>
      <c r="BQ39" s="65">
        <f t="shared" ca="1" si="43"/>
        <v>0</v>
      </c>
      <c r="BR39" s="65">
        <f t="shared" ca="1" si="44"/>
        <v>5057443.0274683759</v>
      </c>
      <c r="BS39" s="65">
        <f t="shared" ca="1" si="45"/>
        <v>4744660.5427595731</v>
      </c>
      <c r="BT39" s="65">
        <f t="shared" ca="1" si="46"/>
        <v>71357.220846114637</v>
      </c>
      <c r="BU39" s="65">
        <f t="shared" ca="1" si="23"/>
        <v>241425.26386268775</v>
      </c>
    </row>
    <row r="40" spans="1:73">
      <c r="A40" s="42">
        <f t="shared" si="24"/>
        <v>39052</v>
      </c>
      <c r="B40" s="30">
        <f>Inputs!$B$8</f>
        <v>50000</v>
      </c>
      <c r="C40" s="17">
        <f t="shared" si="5"/>
        <v>1550000</v>
      </c>
      <c r="D40" s="17">
        <f t="shared" ca="1" si="6"/>
        <v>1223166.8503978946</v>
      </c>
      <c r="E40" s="25">
        <f>VLOOKUP($A40,[1]!CurveTable,MATCH($E$4,[1]!CurveType,0))</f>
        <v>4.0795000000000003</v>
      </c>
      <c r="F40" s="31">
        <f>E40-Inputs!$B$16</f>
        <v>4.1345000000000001</v>
      </c>
      <c r="G40" s="43">
        <f t="shared" si="51"/>
        <v>4.1345000000000001</v>
      </c>
      <c r="H40" s="25">
        <f>VLOOKUP($A40,[1]!CurveTable,MATCH($H$4,[1]!CurveType,0))</f>
        <v>0.25</v>
      </c>
      <c r="I40" s="31">
        <f>H40+Inputs!$B$22</f>
        <v>0.25</v>
      </c>
      <c r="J40" s="44">
        <f t="shared" si="52"/>
        <v>0.25</v>
      </c>
      <c r="K40" s="25">
        <f>VLOOKUP($A40,[1]!CurveTable,MATCH($K$4,[1]!CurveType,0))</f>
        <v>0</v>
      </c>
      <c r="L40" s="31">
        <v>0</v>
      </c>
      <c r="M40" s="45">
        <f t="shared" si="53"/>
        <v>0</v>
      </c>
      <c r="N40" s="25">
        <f>VLOOKUP($A40,[1]!CurveTable,MATCH($N$4,[1]!CurveType,0))</f>
        <v>7.0000000000000001E-3</v>
      </c>
      <c r="O40" s="31">
        <f>N40+Inputs!$E$22</f>
        <v>7.0000000000000001E-3</v>
      </c>
      <c r="P40" s="45">
        <f t="shared" si="54"/>
        <v>7.0000000000000001E-3</v>
      </c>
      <c r="Q40" s="25">
        <f>VLOOKUP($A40,[1]!CurveTable,MATCH($Q$4,[1]!CurveType,0))</f>
        <v>7.4999999999999997E-3</v>
      </c>
      <c r="R40" s="31">
        <v>0</v>
      </c>
      <c r="S40" s="45">
        <f t="shared" si="55"/>
        <v>0</v>
      </c>
      <c r="T40" s="4"/>
      <c r="U40" s="159">
        <f t="shared" si="25"/>
        <v>4.3845000000000001</v>
      </c>
      <c r="V40" s="160"/>
      <c r="W40" s="100">
        <f>VLOOKUP($A40,[1]!CurveTable,MATCH($W$4,[1]!CurveType,0))+$W$9</f>
        <v>0.24</v>
      </c>
      <c r="X40" s="100">
        <f>VLOOKUP($A40,[1]!CurveTable,MATCH($X$4,[1]!CurveType,0))+$X$9</f>
        <v>0.245</v>
      </c>
      <c r="Y40" s="158">
        <f t="shared" ca="1" si="12"/>
        <v>0.24805509883268428</v>
      </c>
      <c r="Z40" s="4"/>
      <c r="AA40" s="159">
        <f t="shared" si="26"/>
        <v>4.1414999999999997</v>
      </c>
      <c r="AB40" s="160"/>
      <c r="AC40" s="100">
        <f>VLOOKUP($A40,[1]!CurveTable,MATCH($AC$4,[1]!CurveType,0))+$AC$9</f>
        <v>0.24</v>
      </c>
      <c r="AD40" s="100">
        <f>VLOOKUP($A40,[1]!CurveTable,MATCH($AD$4,[1]!CurveType,0))+$AD$9</f>
        <v>0.245</v>
      </c>
      <c r="AE40" s="158">
        <f t="shared" ca="1" si="13"/>
        <v>0.24805509883268428</v>
      </c>
      <c r="AF40" s="4"/>
      <c r="AG40" s="52">
        <f ca="1">((Inputs!$F$20*(X40*AD40)*(A40-$C$3))+(Inputs!$F$19*W40*AC40*(DAY(EOMONTH(A40,0))/2)))/(AN40*Y40*AE40)</f>
        <v>0.75000000000000011</v>
      </c>
      <c r="AH40" s="4"/>
      <c r="AI40" s="18">
        <f>Inputs!$B$15</f>
        <v>0.06</v>
      </c>
      <c r="AJ40" s="46"/>
      <c r="AK40" s="18">
        <f t="shared" si="14"/>
        <v>0.18300000000000033</v>
      </c>
      <c r="AL40" s="46"/>
      <c r="AM40" s="62">
        <f t="shared" si="15"/>
        <v>39021</v>
      </c>
      <c r="AN40" s="63">
        <f t="shared" ca="1" si="16"/>
        <v>1828</v>
      </c>
      <c r="AO40" s="63">
        <f t="shared" si="47"/>
        <v>1</v>
      </c>
      <c r="AP40" s="19"/>
      <c r="AQ40" s="74">
        <f ca="1">_xll.SPRDOPT(U40,AA40,AI40,AX40,X40,AD40,AG40,AN40,AO40,0)</f>
        <v>0.59408753089432409</v>
      </c>
      <c r="AR40" s="47">
        <f t="shared" ca="1" si="27"/>
        <v>920835.67288620234</v>
      </c>
      <c r="AS40" s="135">
        <f t="shared" ca="1" si="28"/>
        <v>0.41108753089432376</v>
      </c>
      <c r="AU40" s="5">
        <f t="shared" si="48"/>
        <v>31</v>
      </c>
      <c r="AV40" s="148">
        <f t="shared" si="18"/>
        <v>39066</v>
      </c>
      <c r="AW40" s="41">
        <f t="shared" ca="1" si="19"/>
        <v>1873</v>
      </c>
      <c r="AX40" s="100">
        <f>VLOOKUP($A40,[1]!CurveTable,MATCH(AX$4,[1]!CurveType,0))</f>
        <v>4.6717448831460097E-2</v>
      </c>
      <c r="AY40" s="149">
        <f ca="1">1/(1+CHOOSE(F$3,(AX41+(Inputs!$B$14/10000))/2,(AX40+(Inputs!$B$14/10000))/2))^(2*AW40/365.25)</f>
        <v>0.78913990348251273</v>
      </c>
      <c r="AZ40" s="41">
        <f t="shared" si="49"/>
        <v>1</v>
      </c>
      <c r="BA40" s="72">
        <f t="shared" si="50"/>
        <v>31</v>
      </c>
      <c r="BC40" s="65">
        <f t="shared" ca="1" si="29"/>
        <v>4989909.1661982117</v>
      </c>
      <c r="BD40" s="65">
        <f t="shared" ca="1" si="30"/>
        <v>5057183.3429700956</v>
      </c>
      <c r="BE40" s="65">
        <f t="shared" ca="1" si="31"/>
        <v>5057183.3429700956</v>
      </c>
      <c r="BF40" s="65">
        <f t="shared" ca="1" si="32"/>
        <v>305791.71259947366</v>
      </c>
      <c r="BG40" s="65">
        <f t="shared" ca="1" si="33"/>
        <v>305791.71259947366</v>
      </c>
      <c r="BH40" s="65">
        <f t="shared" ca="1" si="34"/>
        <v>305791.71259947366</v>
      </c>
      <c r="BI40" s="65">
        <f t="shared" ca="1" si="35"/>
        <v>0</v>
      </c>
      <c r="BJ40" s="65">
        <f t="shared" ca="1" si="36"/>
        <v>0</v>
      </c>
      <c r="BK40" s="65">
        <f t="shared" ca="1" si="37"/>
        <v>0</v>
      </c>
      <c r="BL40" s="65">
        <f t="shared" ca="1" si="38"/>
        <v>8562.167952785263</v>
      </c>
      <c r="BM40" s="65">
        <f t="shared" ca="1" si="39"/>
        <v>8562.167952785263</v>
      </c>
      <c r="BN40" s="65">
        <f t="shared" ca="1" si="40"/>
        <v>8562.167952785263</v>
      </c>
      <c r="BO40" s="65">
        <f t="shared" ca="1" si="41"/>
        <v>9173.7513779842102</v>
      </c>
      <c r="BP40" s="65">
        <f t="shared" ca="1" si="42"/>
        <v>0</v>
      </c>
      <c r="BQ40" s="65">
        <f t="shared" ca="1" si="43"/>
        <v>0</v>
      </c>
      <c r="BR40" s="65">
        <f t="shared" ca="1" si="44"/>
        <v>5362975.0555695686</v>
      </c>
      <c r="BS40" s="65">
        <f t="shared" ca="1" si="45"/>
        <v>5065745.5109228799</v>
      </c>
      <c r="BT40" s="65">
        <f t="shared" ca="1" si="46"/>
        <v>73390.011023873682</v>
      </c>
      <c r="BU40" s="65">
        <f t="shared" ca="1" si="23"/>
        <v>223839.53362281513</v>
      </c>
    </row>
    <row r="41" spans="1:73">
      <c r="A41" s="42">
        <f t="shared" si="24"/>
        <v>39083</v>
      </c>
      <c r="B41" s="30">
        <f>Inputs!$B$8</f>
        <v>50000</v>
      </c>
      <c r="C41" s="17">
        <f t="shared" si="5"/>
        <v>1550000</v>
      </c>
      <c r="D41" s="17">
        <f t="shared" ca="1" si="6"/>
        <v>1217202.4027708222</v>
      </c>
      <c r="E41" s="25">
        <f>VLOOKUP($A41,[1]!CurveTable,MATCH($E$4,[1]!CurveType,0))</f>
        <v>4.1444999999999999</v>
      </c>
      <c r="F41" s="31">
        <f>E41-Inputs!$B$16</f>
        <v>4.1994999999999996</v>
      </c>
      <c r="G41" s="43">
        <f t="shared" si="51"/>
        <v>4.1994999999999996</v>
      </c>
      <c r="H41" s="25">
        <f>VLOOKUP($A41,[1]!CurveTable,MATCH($H$4,[1]!CurveType,0))</f>
        <v>7.4999999999999997E-2</v>
      </c>
      <c r="I41" s="31">
        <f>H41+Inputs!$B$22</f>
        <v>7.4999999999999997E-2</v>
      </c>
      <c r="J41" s="44">
        <f t="shared" si="52"/>
        <v>7.4999999999999997E-2</v>
      </c>
      <c r="K41" s="25">
        <f>VLOOKUP($A41,[1]!CurveTable,MATCH($K$4,[1]!CurveType,0))</f>
        <v>0</v>
      </c>
      <c r="L41" s="31">
        <v>0</v>
      </c>
      <c r="M41" s="45">
        <f t="shared" si="53"/>
        <v>0</v>
      </c>
      <c r="N41" s="25">
        <f>VLOOKUP($A41,[1]!CurveTable,MATCH($N$4,[1]!CurveType,0))</f>
        <v>7.0000000000000001E-3</v>
      </c>
      <c r="O41" s="31">
        <f>N41+Inputs!$E$22</f>
        <v>7.0000000000000001E-3</v>
      </c>
      <c r="P41" s="45">
        <f t="shared" si="54"/>
        <v>7.0000000000000001E-3</v>
      </c>
      <c r="Q41" s="25">
        <f>VLOOKUP($A41,[1]!CurveTable,MATCH($Q$4,[1]!CurveType,0))</f>
        <v>7.4999999999999997E-3</v>
      </c>
      <c r="R41" s="31">
        <v>0</v>
      </c>
      <c r="S41" s="45">
        <f t="shared" si="55"/>
        <v>0</v>
      </c>
      <c r="T41" s="4"/>
      <c r="U41" s="159">
        <f t="shared" si="25"/>
        <v>4.2744999999999997</v>
      </c>
      <c r="V41" s="160"/>
      <c r="W41" s="100">
        <f>VLOOKUP($A41,[1]!CurveTable,MATCH($W$4,[1]!CurveType,0))+$W$9</f>
        <v>0.24249999999999999</v>
      </c>
      <c r="X41" s="100">
        <f>VLOOKUP($A41,[1]!CurveTable,MATCH($X$4,[1]!CurveType,0))+$X$9</f>
        <v>0.2475</v>
      </c>
      <c r="Y41" s="158">
        <f t="shared" ca="1" si="12"/>
        <v>0.25060294286061024</v>
      </c>
      <c r="Z41" s="4"/>
      <c r="AA41" s="159">
        <f t="shared" si="26"/>
        <v>4.2064999999999992</v>
      </c>
      <c r="AB41" s="160"/>
      <c r="AC41" s="100">
        <f>VLOOKUP($A41,[1]!CurveTable,MATCH($AC$4,[1]!CurveType,0))+$AC$9</f>
        <v>0.24249999999999999</v>
      </c>
      <c r="AD41" s="100">
        <f>VLOOKUP($A41,[1]!CurveTable,MATCH($AD$4,[1]!CurveType,0))+$AD$9</f>
        <v>0.2475</v>
      </c>
      <c r="AE41" s="158">
        <f t="shared" ca="1" si="13"/>
        <v>0.25060294286061024</v>
      </c>
      <c r="AF41" s="4"/>
      <c r="AG41" s="52">
        <f ca="1">((Inputs!$F$20*(X41*AD41)*(A41-$C$3))+(Inputs!$F$19*W41*AC41*(DAY(EOMONTH(A41,0))/2)))/(AN41*Y41*AE41)</f>
        <v>0.74999999999999978</v>
      </c>
      <c r="AH41" s="4"/>
      <c r="AI41" s="18">
        <f>Inputs!$B$15</f>
        <v>0.06</v>
      </c>
      <c r="AJ41" s="46"/>
      <c r="AK41" s="18">
        <f t="shared" si="14"/>
        <v>8.0000000000005067E-3</v>
      </c>
      <c r="AL41" s="46"/>
      <c r="AM41" s="62">
        <f t="shared" si="15"/>
        <v>39051</v>
      </c>
      <c r="AN41" s="63">
        <f t="shared" ca="1" si="16"/>
        <v>1858</v>
      </c>
      <c r="AO41" s="63">
        <f t="shared" si="47"/>
        <v>1</v>
      </c>
      <c r="AP41" s="19"/>
      <c r="AQ41" s="74">
        <f ca="1">_xll.SPRDOPT(U41,AA41,AI41,AX41,X41,AD41,AG41,AN41,AO41,0)</f>
        <v>0.52586823672055172</v>
      </c>
      <c r="AR41" s="47">
        <f t="shared" ca="1" si="27"/>
        <v>815095.76691685512</v>
      </c>
      <c r="AS41" s="135">
        <f t="shared" ca="1" si="28"/>
        <v>0.51786823672055116</v>
      </c>
      <c r="AU41" s="5">
        <f t="shared" si="48"/>
        <v>31</v>
      </c>
      <c r="AV41" s="148">
        <f t="shared" si="18"/>
        <v>39097</v>
      </c>
      <c r="AW41" s="41">
        <f t="shared" ca="1" si="19"/>
        <v>1904</v>
      </c>
      <c r="AX41" s="100">
        <f>VLOOKUP($A41,[1]!CurveTable,MATCH(AX$4,[1]!CurveType,0))</f>
        <v>4.6907625950909401E-2</v>
      </c>
      <c r="AY41" s="149">
        <f ca="1">1/(1+CHOOSE(F$3,(AX42+(Inputs!$B$14/10000))/2,(AX41+(Inputs!$B$14/10000))/2))^(2*AW41/365.25)</f>
        <v>0.78529187275536916</v>
      </c>
      <c r="AZ41" s="41">
        <f t="shared" si="49"/>
        <v>1</v>
      </c>
      <c r="BA41" s="72">
        <f t="shared" si="50"/>
        <v>31</v>
      </c>
      <c r="BC41" s="65">
        <f t="shared" ca="1" si="29"/>
        <v>5044695.3582836725</v>
      </c>
      <c r="BD41" s="65">
        <f t="shared" ca="1" si="30"/>
        <v>5111641.4904360669</v>
      </c>
      <c r="BE41" s="65">
        <f t="shared" ca="1" si="31"/>
        <v>5111641.4904360669</v>
      </c>
      <c r="BF41" s="65">
        <f t="shared" ca="1" si="32"/>
        <v>91290.18020781166</v>
      </c>
      <c r="BG41" s="65">
        <f t="shared" ca="1" si="33"/>
        <v>91290.18020781166</v>
      </c>
      <c r="BH41" s="65">
        <f t="shared" ca="1" si="34"/>
        <v>91290.18020781166</v>
      </c>
      <c r="BI41" s="65">
        <f t="shared" ca="1" si="35"/>
        <v>0</v>
      </c>
      <c r="BJ41" s="65">
        <f t="shared" ca="1" si="36"/>
        <v>0</v>
      </c>
      <c r="BK41" s="65">
        <f t="shared" ca="1" si="37"/>
        <v>0</v>
      </c>
      <c r="BL41" s="65">
        <f t="shared" ca="1" si="38"/>
        <v>8520.4168193957557</v>
      </c>
      <c r="BM41" s="65">
        <f t="shared" ca="1" si="39"/>
        <v>8520.4168193957557</v>
      </c>
      <c r="BN41" s="65">
        <f t="shared" ca="1" si="40"/>
        <v>8520.4168193957557</v>
      </c>
      <c r="BO41" s="65">
        <f t="shared" ca="1" si="41"/>
        <v>9129.0180207811663</v>
      </c>
      <c r="BP41" s="65">
        <f t="shared" ca="1" si="42"/>
        <v>0</v>
      </c>
      <c r="BQ41" s="65">
        <f t="shared" ca="1" si="43"/>
        <v>0</v>
      </c>
      <c r="BR41" s="65">
        <f t="shared" ca="1" si="44"/>
        <v>5202931.6706438791</v>
      </c>
      <c r="BS41" s="65">
        <f t="shared" ca="1" si="45"/>
        <v>5120161.9072554624</v>
      </c>
      <c r="BT41" s="65">
        <f t="shared" ca="1" si="46"/>
        <v>73032.144166249331</v>
      </c>
      <c r="BU41" s="65">
        <f t="shared" ca="1" si="23"/>
        <v>9737.6192221671936</v>
      </c>
    </row>
    <row r="42" spans="1:73">
      <c r="A42" s="42">
        <f t="shared" si="24"/>
        <v>39114</v>
      </c>
      <c r="B42" s="30">
        <f>Inputs!$B$8</f>
        <v>50000</v>
      </c>
      <c r="C42" s="17">
        <f t="shared" si="5"/>
        <v>1400000</v>
      </c>
      <c r="D42" s="17">
        <f t="shared" ca="1" si="6"/>
        <v>1094013.2385996294</v>
      </c>
      <c r="E42" s="25">
        <f>VLOOKUP($A42,[1]!CurveTable,MATCH($E$4,[1]!CurveType,0))</f>
        <v>4.0575000000000001</v>
      </c>
      <c r="F42" s="31">
        <f>E42-Inputs!$B$16</f>
        <v>4.1124999999999998</v>
      </c>
      <c r="G42" s="43">
        <f t="shared" si="51"/>
        <v>4.1124999999999998</v>
      </c>
      <c r="H42" s="25">
        <f>VLOOKUP($A42,[1]!CurveTable,MATCH($H$4,[1]!CurveType,0))</f>
        <v>7.4999999999999997E-2</v>
      </c>
      <c r="I42" s="31">
        <f>H42+Inputs!$B$22</f>
        <v>7.4999999999999997E-2</v>
      </c>
      <c r="J42" s="44">
        <f t="shared" si="52"/>
        <v>7.4999999999999997E-2</v>
      </c>
      <c r="K42" s="25">
        <f>VLOOKUP($A42,[1]!CurveTable,MATCH($K$4,[1]!CurveType,0))</f>
        <v>0</v>
      </c>
      <c r="L42" s="31">
        <v>0</v>
      </c>
      <c r="M42" s="45">
        <f t="shared" si="53"/>
        <v>0</v>
      </c>
      <c r="N42" s="25">
        <f>VLOOKUP($A42,[1]!CurveTable,MATCH($N$4,[1]!CurveType,0))</f>
        <v>7.0000000000000001E-3</v>
      </c>
      <c r="O42" s="31">
        <f>N42+Inputs!$E$22</f>
        <v>7.0000000000000001E-3</v>
      </c>
      <c r="P42" s="45">
        <f t="shared" si="54"/>
        <v>7.0000000000000001E-3</v>
      </c>
      <c r="Q42" s="25">
        <f>VLOOKUP($A42,[1]!CurveTable,MATCH($Q$4,[1]!CurveType,0))</f>
        <v>7.4999999999999997E-3</v>
      </c>
      <c r="R42" s="31">
        <v>0</v>
      </c>
      <c r="S42" s="45">
        <f t="shared" si="55"/>
        <v>0</v>
      </c>
      <c r="T42" s="4"/>
      <c r="U42" s="159">
        <f t="shared" si="25"/>
        <v>4.1875</v>
      </c>
      <c r="V42" s="160"/>
      <c r="W42" s="100">
        <f>VLOOKUP($A42,[1]!CurveTable,MATCH($W$4,[1]!CurveType,0))+$W$9</f>
        <v>0.23749999999999999</v>
      </c>
      <c r="X42" s="100">
        <f>VLOOKUP($A42,[1]!CurveTable,MATCH($X$4,[1]!CurveType,0))+$X$9</f>
        <v>0.24249999999999999</v>
      </c>
      <c r="Y42" s="158">
        <f t="shared" ca="1" si="12"/>
        <v>0.24539862208567062</v>
      </c>
      <c r="Z42" s="4"/>
      <c r="AA42" s="159">
        <f t="shared" si="26"/>
        <v>4.1194999999999995</v>
      </c>
      <c r="AB42" s="160"/>
      <c r="AC42" s="100">
        <f>VLOOKUP($A42,[1]!CurveTable,MATCH($AC$4,[1]!CurveType,0))+$AC$9</f>
        <v>0.23749999999999999</v>
      </c>
      <c r="AD42" s="100">
        <f>VLOOKUP($A42,[1]!CurveTable,MATCH($AD$4,[1]!CurveType,0))+$AD$9</f>
        <v>0.24249999999999999</v>
      </c>
      <c r="AE42" s="158">
        <f t="shared" ca="1" si="13"/>
        <v>0.24539862208567062</v>
      </c>
      <c r="AF42" s="4"/>
      <c r="AG42" s="52">
        <f ca="1">((Inputs!$F$20*(X42*AD42)*(A42-$C$3))+(Inputs!$F$19*W42*AC42*(DAY(EOMONTH(A42,0))/2)))/(AN42*Y42*AE42)</f>
        <v>0.75</v>
      </c>
      <c r="AH42" s="4"/>
      <c r="AI42" s="18">
        <f>Inputs!$B$15</f>
        <v>0.06</v>
      </c>
      <c r="AJ42" s="46"/>
      <c r="AK42" s="18">
        <f t="shared" si="14"/>
        <v>8.0000000000005067E-3</v>
      </c>
      <c r="AL42" s="46"/>
      <c r="AM42" s="62">
        <f t="shared" si="15"/>
        <v>39082</v>
      </c>
      <c r="AN42" s="63">
        <f t="shared" ca="1" si="16"/>
        <v>1889</v>
      </c>
      <c r="AO42" s="63">
        <f t="shared" si="47"/>
        <v>1</v>
      </c>
      <c r="AP42" s="19"/>
      <c r="AQ42" s="74">
        <f ca="1">_xll.SPRDOPT(U42,AA42,AI42,AX42,X42,AD42,AG42,AN42,AO42,0)</f>
        <v>0.50652983113241934</v>
      </c>
      <c r="AR42" s="47">
        <f t="shared" ca="1" si="27"/>
        <v>709141.76358538703</v>
      </c>
      <c r="AS42" s="135">
        <f t="shared" ca="1" si="28"/>
        <v>0.49852983113241883</v>
      </c>
      <c r="AU42" s="5">
        <f t="shared" si="48"/>
        <v>28</v>
      </c>
      <c r="AV42" s="148">
        <f t="shared" si="18"/>
        <v>39128</v>
      </c>
      <c r="AW42" s="41">
        <f t="shared" ca="1" si="19"/>
        <v>1935</v>
      </c>
      <c r="AX42" s="100">
        <f>VLOOKUP($A42,[1]!CurveTable,MATCH(AX$4,[1]!CurveType,0))</f>
        <v>4.7097803082452899E-2</v>
      </c>
      <c r="AY42" s="149">
        <f ca="1">1/(1+CHOOSE(F$3,(AX43+(Inputs!$B$14/10000))/2,(AX42+(Inputs!$B$14/10000))/2))^(2*AW42/365.25)</f>
        <v>0.78143802757116387</v>
      </c>
      <c r="AZ42" s="41">
        <f t="shared" si="49"/>
        <v>1</v>
      </c>
      <c r="BA42" s="72">
        <f t="shared" si="50"/>
        <v>28</v>
      </c>
      <c r="BC42" s="65">
        <f t="shared" ca="1" si="29"/>
        <v>4438958.7156179966</v>
      </c>
      <c r="BD42" s="65">
        <f t="shared" ca="1" si="30"/>
        <v>4499129.443740976</v>
      </c>
      <c r="BE42" s="65">
        <f t="shared" ca="1" si="31"/>
        <v>4499129.443740976</v>
      </c>
      <c r="BF42" s="65">
        <f t="shared" ca="1" si="32"/>
        <v>82050.992894972194</v>
      </c>
      <c r="BG42" s="65">
        <f t="shared" ca="1" si="33"/>
        <v>82050.992894972194</v>
      </c>
      <c r="BH42" s="65">
        <f t="shared" ca="1" si="34"/>
        <v>82050.992894972194</v>
      </c>
      <c r="BI42" s="65">
        <f t="shared" ca="1" si="35"/>
        <v>0</v>
      </c>
      <c r="BJ42" s="65">
        <f t="shared" ca="1" si="36"/>
        <v>0</v>
      </c>
      <c r="BK42" s="65">
        <f t="shared" ca="1" si="37"/>
        <v>0</v>
      </c>
      <c r="BL42" s="65">
        <f t="shared" ca="1" si="38"/>
        <v>7658.0926701974058</v>
      </c>
      <c r="BM42" s="65">
        <f t="shared" ca="1" si="39"/>
        <v>7658.0926701974058</v>
      </c>
      <c r="BN42" s="65">
        <f t="shared" ca="1" si="40"/>
        <v>7658.0926701974058</v>
      </c>
      <c r="BO42" s="65">
        <f t="shared" ca="1" si="41"/>
        <v>8205.0992894972205</v>
      </c>
      <c r="BP42" s="65">
        <f t="shared" ca="1" si="42"/>
        <v>0</v>
      </c>
      <c r="BQ42" s="65">
        <f t="shared" ca="1" si="43"/>
        <v>0</v>
      </c>
      <c r="BR42" s="65">
        <f t="shared" ca="1" si="44"/>
        <v>4581180.4366359478</v>
      </c>
      <c r="BS42" s="65">
        <f t="shared" ca="1" si="45"/>
        <v>4506787.5364111727</v>
      </c>
      <c r="BT42" s="65">
        <f t="shared" ca="1" si="46"/>
        <v>65640.794315977764</v>
      </c>
      <c r="BU42" s="65">
        <f t="shared" ca="1" si="23"/>
        <v>8752.10590879759</v>
      </c>
    </row>
    <row r="43" spans="1:73">
      <c r="A43" s="42">
        <f t="shared" si="24"/>
        <v>39142</v>
      </c>
      <c r="B43" s="30">
        <f>Inputs!$B$8</f>
        <v>50000</v>
      </c>
      <c r="C43" s="17">
        <f t="shared" si="5"/>
        <v>1550000</v>
      </c>
      <c r="D43" s="17">
        <f t="shared" ca="1" si="6"/>
        <v>1205826.1661042143</v>
      </c>
      <c r="E43" s="25">
        <f>VLOOKUP($A43,[1]!CurveTable,MATCH($E$4,[1]!CurveType,0))</f>
        <v>3.9185000000000003</v>
      </c>
      <c r="F43" s="31">
        <f>E43-Inputs!$B$16</f>
        <v>3.9735000000000005</v>
      </c>
      <c r="G43" s="43">
        <f t="shared" si="51"/>
        <v>3.9735000000000005</v>
      </c>
      <c r="H43" s="25">
        <f>VLOOKUP($A43,[1]!CurveTable,MATCH($H$4,[1]!CurveType,0))</f>
        <v>0.2</v>
      </c>
      <c r="I43" s="31">
        <f>H43+Inputs!$B$22</f>
        <v>0.2</v>
      </c>
      <c r="J43" s="44">
        <f t="shared" si="52"/>
        <v>0.2</v>
      </c>
      <c r="K43" s="25">
        <f>VLOOKUP($A43,[1]!CurveTable,MATCH($K$4,[1]!CurveType,0))</f>
        <v>0</v>
      </c>
      <c r="L43" s="31">
        <v>0</v>
      </c>
      <c r="M43" s="45">
        <f t="shared" si="53"/>
        <v>0</v>
      </c>
      <c r="N43" s="25">
        <f>VLOOKUP($A43,[1]!CurveTable,MATCH($N$4,[1]!CurveType,0))</f>
        <v>1.1000000000000001E-2</v>
      </c>
      <c r="O43" s="31">
        <f>N43+Inputs!$E$22</f>
        <v>1.1000000000000001E-2</v>
      </c>
      <c r="P43" s="45">
        <f t="shared" si="54"/>
        <v>1.1000000000000001E-2</v>
      </c>
      <c r="Q43" s="25">
        <f>VLOOKUP($A43,[1]!CurveTable,MATCH($Q$4,[1]!CurveType,0))</f>
        <v>7.4999999999999997E-3</v>
      </c>
      <c r="R43" s="31">
        <v>0</v>
      </c>
      <c r="S43" s="45">
        <f t="shared" si="55"/>
        <v>0</v>
      </c>
      <c r="T43" s="4"/>
      <c r="U43" s="159">
        <f t="shared" si="25"/>
        <v>4.1735000000000007</v>
      </c>
      <c r="V43" s="160"/>
      <c r="W43" s="100">
        <f>VLOOKUP($A43,[1]!CurveTable,MATCH($W$4,[1]!CurveType,0))+$W$9</f>
        <v>0.23250000000000001</v>
      </c>
      <c r="X43" s="100">
        <f>VLOOKUP($A43,[1]!CurveTable,MATCH($X$4,[1]!CurveType,0))+$X$9</f>
        <v>0.23750000000000002</v>
      </c>
      <c r="Y43" s="158">
        <f t="shared" ca="1" si="12"/>
        <v>0.24019702538250587</v>
      </c>
      <c r="Z43" s="4"/>
      <c r="AA43" s="159">
        <f t="shared" si="26"/>
        <v>3.9845000000000006</v>
      </c>
      <c r="AB43" s="160"/>
      <c r="AC43" s="100">
        <f>VLOOKUP($A43,[1]!CurveTable,MATCH($AC$4,[1]!CurveType,0))+$AC$9</f>
        <v>0.23250000000000001</v>
      </c>
      <c r="AD43" s="100">
        <f>VLOOKUP($A43,[1]!CurveTable,MATCH($AD$4,[1]!CurveType,0))+$AD$9</f>
        <v>0.23750000000000002</v>
      </c>
      <c r="AE43" s="158">
        <f t="shared" ca="1" si="13"/>
        <v>0.24019702538250587</v>
      </c>
      <c r="AF43" s="4"/>
      <c r="AG43" s="52">
        <f ca="1">((Inputs!$F$20*(X43*AD43)*(A43-$C$3))+(Inputs!$F$19*W43*AC43*(DAY(EOMONTH(A43,0))/2)))/(AN43*Y43*AE43)</f>
        <v>0.75000000000000011</v>
      </c>
      <c r="AH43" s="4"/>
      <c r="AI43" s="18">
        <f>Inputs!$B$15</f>
        <v>0.06</v>
      </c>
      <c r="AJ43" s="46"/>
      <c r="AK43" s="18">
        <f t="shared" si="14"/>
        <v>0.12900000000000006</v>
      </c>
      <c r="AL43" s="46"/>
      <c r="AM43" s="62">
        <f t="shared" si="15"/>
        <v>39113</v>
      </c>
      <c r="AN43" s="63">
        <f t="shared" ca="1" si="16"/>
        <v>1920</v>
      </c>
      <c r="AO43" s="63">
        <f t="shared" si="47"/>
        <v>1</v>
      </c>
      <c r="AP43" s="19"/>
      <c r="AQ43" s="74">
        <f ca="1">_xll.SPRDOPT(U43,AA43,AI43,AX43,X43,AD43,AG43,AN43,AO43,0)</f>
        <v>0.53771694721979013</v>
      </c>
      <c r="AR43" s="47">
        <f t="shared" ca="1" si="27"/>
        <v>833461.26819067472</v>
      </c>
      <c r="AS43" s="135">
        <f t="shared" ca="1" si="28"/>
        <v>0.40871694721979007</v>
      </c>
      <c r="AU43" s="5">
        <f t="shared" si="48"/>
        <v>31</v>
      </c>
      <c r="AV43" s="148">
        <f t="shared" si="18"/>
        <v>39156</v>
      </c>
      <c r="AW43" s="41">
        <f t="shared" ca="1" si="19"/>
        <v>1963</v>
      </c>
      <c r="AX43" s="100">
        <f>VLOOKUP($A43,[1]!CurveTable,MATCH(AX$4,[1]!CurveType,0))</f>
        <v>4.7269575985853705E-2</v>
      </c>
      <c r="AY43" s="149">
        <f ca="1">1/(1+CHOOSE(F$3,(AX44+(Inputs!$B$14/10000))/2,(AX43+(Inputs!$B$14/10000))/2))^(2*AW43/365.25)</f>
        <v>0.7779523652285254</v>
      </c>
      <c r="AZ43" s="41">
        <f t="shared" si="49"/>
        <v>1</v>
      </c>
      <c r="BA43" s="72">
        <f t="shared" si="50"/>
        <v>31</v>
      </c>
      <c r="BC43" s="65">
        <f t="shared" ca="1" si="29"/>
        <v>4725029.8318793643</v>
      </c>
      <c r="BD43" s="65">
        <f t="shared" ca="1" si="30"/>
        <v>4791350.2710150955</v>
      </c>
      <c r="BE43" s="65">
        <f t="shared" ca="1" si="31"/>
        <v>4791350.2710150955</v>
      </c>
      <c r="BF43" s="65">
        <f t="shared" ca="1" si="32"/>
        <v>241165.23322084287</v>
      </c>
      <c r="BG43" s="65">
        <f t="shared" ca="1" si="33"/>
        <v>241165.23322084287</v>
      </c>
      <c r="BH43" s="65">
        <f t="shared" ca="1" si="34"/>
        <v>241165.23322084287</v>
      </c>
      <c r="BI43" s="65">
        <f t="shared" ca="1" si="35"/>
        <v>0</v>
      </c>
      <c r="BJ43" s="65">
        <f t="shared" ca="1" si="36"/>
        <v>0</v>
      </c>
      <c r="BK43" s="65">
        <f t="shared" ca="1" si="37"/>
        <v>0</v>
      </c>
      <c r="BL43" s="65">
        <f t="shared" ca="1" si="38"/>
        <v>13264.087827146359</v>
      </c>
      <c r="BM43" s="65">
        <f t="shared" ca="1" si="39"/>
        <v>13264.087827146359</v>
      </c>
      <c r="BN43" s="65">
        <f t="shared" ca="1" si="40"/>
        <v>13264.087827146359</v>
      </c>
      <c r="BO43" s="65">
        <f t="shared" ca="1" si="41"/>
        <v>9043.6962457816062</v>
      </c>
      <c r="BP43" s="65">
        <f t="shared" ca="1" si="42"/>
        <v>0</v>
      </c>
      <c r="BQ43" s="65">
        <f t="shared" ca="1" si="43"/>
        <v>0</v>
      </c>
      <c r="BR43" s="65">
        <f t="shared" ca="1" si="44"/>
        <v>5032515.5042359391</v>
      </c>
      <c r="BS43" s="65">
        <f t="shared" ca="1" si="45"/>
        <v>4804614.3588422425</v>
      </c>
      <c r="BT43" s="65">
        <f t="shared" ca="1" si="46"/>
        <v>72349.56996625285</v>
      </c>
      <c r="BU43" s="65">
        <f t="shared" ca="1" si="23"/>
        <v>155551.57542744372</v>
      </c>
    </row>
    <row r="44" spans="1:73">
      <c r="A44" s="42">
        <f t="shared" si="24"/>
        <v>39173</v>
      </c>
      <c r="B44" s="30">
        <f>Inputs!$B$8</f>
        <v>50000</v>
      </c>
      <c r="C44" s="17">
        <f t="shared" si="5"/>
        <v>1500000</v>
      </c>
      <c r="D44" s="17">
        <f t="shared" ca="1" si="6"/>
        <v>1161132.3141396607</v>
      </c>
      <c r="E44" s="25">
        <f>VLOOKUP($A44,[1]!CurveTable,MATCH($E$4,[1]!CurveType,0))</f>
        <v>3.7645000000000004</v>
      </c>
      <c r="F44" s="31">
        <f>E44-Inputs!$B$16</f>
        <v>3.8195000000000006</v>
      </c>
      <c r="G44" s="43">
        <f t="shared" si="51"/>
        <v>3.8195000000000006</v>
      </c>
      <c r="H44" s="25">
        <f>VLOOKUP($A44,[1]!CurveTable,MATCH($H$4,[1]!CurveType,0))</f>
        <v>0.6</v>
      </c>
      <c r="I44" s="31">
        <f>H44+Inputs!$B$22</f>
        <v>0.6</v>
      </c>
      <c r="J44" s="44">
        <f t="shared" si="52"/>
        <v>0.6</v>
      </c>
      <c r="K44" s="25">
        <f>VLOOKUP($A44,[1]!CurveTable,MATCH($K$4,[1]!CurveType,0))</f>
        <v>0</v>
      </c>
      <c r="L44" s="31">
        <v>0</v>
      </c>
      <c r="M44" s="45">
        <f t="shared" si="53"/>
        <v>0</v>
      </c>
      <c r="N44" s="25">
        <f>VLOOKUP($A44,[1]!CurveTable,MATCH($N$4,[1]!CurveType,0))</f>
        <v>1.1000000000000001E-2</v>
      </c>
      <c r="O44" s="31">
        <f>N44+Inputs!$E$22</f>
        <v>1.1000000000000001E-2</v>
      </c>
      <c r="P44" s="45">
        <f t="shared" si="54"/>
        <v>1.1000000000000001E-2</v>
      </c>
      <c r="Q44" s="25">
        <f>VLOOKUP($A44,[1]!CurveTable,MATCH($Q$4,[1]!CurveType,0))</f>
        <v>0.01</v>
      </c>
      <c r="R44" s="31">
        <v>0</v>
      </c>
      <c r="S44" s="45">
        <f t="shared" si="55"/>
        <v>0</v>
      </c>
      <c r="T44" s="4"/>
      <c r="U44" s="159">
        <f t="shared" si="25"/>
        <v>4.4195000000000002</v>
      </c>
      <c r="V44" s="160"/>
      <c r="W44" s="100">
        <f>VLOOKUP($A44,[1]!CurveTable,MATCH($W$4,[1]!CurveType,0))+$W$9</f>
        <v>0.23250000000000001</v>
      </c>
      <c r="X44" s="100">
        <f>VLOOKUP($A44,[1]!CurveTable,MATCH($X$4,[1]!CurveType,0))+$X$9</f>
        <v>0.23750000000000002</v>
      </c>
      <c r="Y44" s="158">
        <f t="shared" ca="1" si="12"/>
        <v>0.24031039428334353</v>
      </c>
      <c r="Z44" s="4"/>
      <c r="AA44" s="159">
        <f t="shared" si="26"/>
        <v>3.8305000000000007</v>
      </c>
      <c r="AB44" s="160"/>
      <c r="AC44" s="100">
        <f>VLOOKUP($A44,[1]!CurveTable,MATCH($AC$4,[1]!CurveType,0))+$AC$9</f>
        <v>0.23250000000000001</v>
      </c>
      <c r="AD44" s="100">
        <f>VLOOKUP($A44,[1]!CurveTable,MATCH($AD$4,[1]!CurveType,0))+$AD$9</f>
        <v>0.23750000000000002</v>
      </c>
      <c r="AE44" s="158">
        <f t="shared" ca="1" si="13"/>
        <v>0.24031039428334353</v>
      </c>
      <c r="AF44" s="4"/>
      <c r="AG44" s="52">
        <f ca="1">((Inputs!$F$20*(X44*AD44)*(A44-$C$3))+(Inputs!$F$19*W44*AC44*(DAY(EOMONTH(A44,0))/2)))/(AN44*Y44*AE44)</f>
        <v>0.75000000000000011</v>
      </c>
      <c r="AH44" s="4"/>
      <c r="AI44" s="18">
        <f>Inputs!$B$15</f>
        <v>0.06</v>
      </c>
      <c r="AJ44" s="46"/>
      <c r="AK44" s="18">
        <f t="shared" si="14"/>
        <v>0.52899999999999947</v>
      </c>
      <c r="AL44" s="46"/>
      <c r="AM44" s="62">
        <f t="shared" si="15"/>
        <v>39141</v>
      </c>
      <c r="AN44" s="63">
        <f t="shared" ca="1" si="16"/>
        <v>1948</v>
      </c>
      <c r="AO44" s="63">
        <f t="shared" si="47"/>
        <v>1</v>
      </c>
      <c r="AP44" s="19"/>
      <c r="AQ44" s="74">
        <f ca="1">_xll.SPRDOPT(U44,AA44,AI44,AX44,X44,AD44,AG44,AN44,AO44,0)</f>
        <v>0.72413985976283468</v>
      </c>
      <c r="AR44" s="47">
        <f t="shared" ca="1" si="27"/>
        <v>1086209.789644252</v>
      </c>
      <c r="AS44" s="135">
        <f t="shared" ca="1" si="28"/>
        <v>0.19513985976283521</v>
      </c>
      <c r="AU44" s="5">
        <f t="shared" si="48"/>
        <v>30</v>
      </c>
      <c r="AV44" s="148">
        <f t="shared" si="18"/>
        <v>39187</v>
      </c>
      <c r="AW44" s="41">
        <f t="shared" ca="1" si="19"/>
        <v>1994</v>
      </c>
      <c r="AX44" s="100">
        <f>VLOOKUP($A44,[1]!CurveTable,MATCH(AX$4,[1]!CurveType,0))</f>
        <v>4.7459753140411703E-2</v>
      </c>
      <c r="AY44" s="149">
        <f ca="1">1/(1+CHOOSE(F$3,(AX45+(Inputs!$B$14/10000))/2,(AX44+(Inputs!$B$14/10000))/2))^(2*AW44/365.25)</f>
        <v>0.77408820942644041</v>
      </c>
      <c r="AZ44" s="41">
        <f t="shared" si="49"/>
        <v>1</v>
      </c>
      <c r="BA44" s="72">
        <f t="shared" si="50"/>
        <v>30</v>
      </c>
      <c r="BC44" s="65">
        <f t="shared" ca="1" si="29"/>
        <v>4371082.5965787536</v>
      </c>
      <c r="BD44" s="65">
        <f t="shared" ca="1" si="30"/>
        <v>4434944.8738564346</v>
      </c>
      <c r="BE44" s="65">
        <f t="shared" ca="1" si="31"/>
        <v>4434944.8738564346</v>
      </c>
      <c r="BF44" s="65">
        <f t="shared" ca="1" si="32"/>
        <v>696679.38848379639</v>
      </c>
      <c r="BG44" s="65">
        <f t="shared" ca="1" si="33"/>
        <v>696679.38848379639</v>
      </c>
      <c r="BH44" s="65">
        <f t="shared" ca="1" si="34"/>
        <v>696679.38848379639</v>
      </c>
      <c r="BI44" s="65">
        <f t="shared" ca="1" si="35"/>
        <v>0</v>
      </c>
      <c r="BJ44" s="65">
        <f t="shared" ca="1" si="36"/>
        <v>0</v>
      </c>
      <c r="BK44" s="65">
        <f t="shared" ca="1" si="37"/>
        <v>0</v>
      </c>
      <c r="BL44" s="65">
        <f t="shared" ca="1" si="38"/>
        <v>12772.455455536268</v>
      </c>
      <c r="BM44" s="65">
        <f t="shared" ca="1" si="39"/>
        <v>12772.455455536268</v>
      </c>
      <c r="BN44" s="65">
        <f t="shared" ca="1" si="40"/>
        <v>12772.455455536268</v>
      </c>
      <c r="BO44" s="65">
        <f t="shared" ca="1" si="41"/>
        <v>11611.323141396608</v>
      </c>
      <c r="BP44" s="65">
        <f t="shared" ca="1" si="42"/>
        <v>0</v>
      </c>
      <c r="BQ44" s="65">
        <f t="shared" ca="1" si="43"/>
        <v>0</v>
      </c>
      <c r="BR44" s="65">
        <f t="shared" ca="1" si="44"/>
        <v>5131624.2623402309</v>
      </c>
      <c r="BS44" s="65">
        <f t="shared" ca="1" si="45"/>
        <v>4447717.3293119706</v>
      </c>
      <c r="BT44" s="65">
        <f t="shared" ca="1" si="46"/>
        <v>69667.938848379636</v>
      </c>
      <c r="BU44" s="65">
        <f t="shared" ca="1" si="23"/>
        <v>614238.9941798799</v>
      </c>
    </row>
    <row r="45" spans="1:73">
      <c r="A45" s="42">
        <f t="shared" si="24"/>
        <v>39203</v>
      </c>
      <c r="B45" s="30">
        <f>Inputs!$B$8</f>
        <v>50000</v>
      </c>
      <c r="C45" s="17">
        <f t="shared" si="5"/>
        <v>1550000</v>
      </c>
      <c r="D45" s="17">
        <f t="shared" ca="1" si="6"/>
        <v>1194033.0749349706</v>
      </c>
      <c r="E45" s="25">
        <f>VLOOKUP($A45,[1]!CurveTable,MATCH($E$4,[1]!CurveType,0))</f>
        <v>3.7695000000000003</v>
      </c>
      <c r="F45" s="31">
        <f>E45-Inputs!$B$16</f>
        <v>3.8245000000000005</v>
      </c>
      <c r="G45" s="43">
        <f t="shared" si="51"/>
        <v>3.8245000000000005</v>
      </c>
      <c r="H45" s="25">
        <f>VLOOKUP($A45,[1]!CurveTable,MATCH($H$4,[1]!CurveType,0))</f>
        <v>0.75</v>
      </c>
      <c r="I45" s="31">
        <f>H45+Inputs!$B$22</f>
        <v>0.75</v>
      </c>
      <c r="J45" s="44">
        <f t="shared" si="52"/>
        <v>0.75</v>
      </c>
      <c r="K45" s="25">
        <f>VLOOKUP($A45,[1]!CurveTable,MATCH($K$4,[1]!CurveType,0))</f>
        <v>0</v>
      </c>
      <c r="L45" s="31">
        <v>0</v>
      </c>
      <c r="M45" s="45">
        <f t="shared" si="53"/>
        <v>0</v>
      </c>
      <c r="N45" s="25">
        <f>VLOOKUP($A45,[1]!CurveTable,MATCH($N$4,[1]!CurveType,0))</f>
        <v>1.35E-2</v>
      </c>
      <c r="O45" s="31">
        <f>N45+Inputs!$E$22</f>
        <v>1.35E-2</v>
      </c>
      <c r="P45" s="45">
        <f t="shared" si="54"/>
        <v>1.35E-2</v>
      </c>
      <c r="Q45" s="25">
        <f>VLOOKUP($A45,[1]!CurveTable,MATCH($Q$4,[1]!CurveType,0))</f>
        <v>0.01</v>
      </c>
      <c r="R45" s="31">
        <v>0</v>
      </c>
      <c r="S45" s="45">
        <f t="shared" si="55"/>
        <v>0</v>
      </c>
      <c r="T45" s="4"/>
      <c r="U45" s="159">
        <f t="shared" si="25"/>
        <v>4.5745000000000005</v>
      </c>
      <c r="V45" s="160"/>
      <c r="W45" s="100">
        <f>VLOOKUP($A45,[1]!CurveTable,MATCH($W$4,[1]!CurveType,0))+$W$9</f>
        <v>0.46500000000000002</v>
      </c>
      <c r="X45" s="100">
        <f>VLOOKUP($A45,[1]!CurveTable,MATCH($X$4,[1]!CurveType,0))+$X$9</f>
        <v>0.47000000000000003</v>
      </c>
      <c r="Y45" s="158">
        <f t="shared" ca="1" si="12"/>
        <v>0.4754511633614843</v>
      </c>
      <c r="Z45" s="4"/>
      <c r="AA45" s="159">
        <f t="shared" si="26"/>
        <v>3.8380000000000005</v>
      </c>
      <c r="AB45" s="160"/>
      <c r="AC45" s="100">
        <f>VLOOKUP($A45,[1]!CurveTable,MATCH($AC$4,[1]!CurveType,0))+$AC$9</f>
        <v>0.23250000000000001</v>
      </c>
      <c r="AD45" s="100">
        <f>VLOOKUP($A45,[1]!CurveTable,MATCH($AD$4,[1]!CurveType,0))+$AD$9</f>
        <v>0.23750000000000002</v>
      </c>
      <c r="AE45" s="158">
        <f t="shared" ca="1" si="13"/>
        <v>0.24023572975082952</v>
      </c>
      <c r="AF45" s="4"/>
      <c r="AG45" s="52">
        <f ca="1">((Inputs!$F$20*(X45*AD45)*(A45-$C$3))+(Inputs!$F$19*W45*AC45*(DAY(EOMONTH(A45,0))/2)))/(AN45*Y45*AE45)</f>
        <v>0.7499996909943506</v>
      </c>
      <c r="AH45" s="4"/>
      <c r="AI45" s="18">
        <f>Inputs!$B$15</f>
        <v>0.06</v>
      </c>
      <c r="AJ45" s="46"/>
      <c r="AK45" s="18">
        <f t="shared" si="14"/>
        <v>0.67649999999999988</v>
      </c>
      <c r="AL45" s="46"/>
      <c r="AM45" s="62">
        <f t="shared" si="15"/>
        <v>39172</v>
      </c>
      <c r="AN45" s="63">
        <f t="shared" ca="1" si="16"/>
        <v>1979</v>
      </c>
      <c r="AO45" s="63">
        <f t="shared" si="47"/>
        <v>1</v>
      </c>
      <c r="AP45" s="19"/>
      <c r="AQ45" s="74">
        <f ca="1">_xll.SPRDOPT(U45,AA45,AI45,AX45,X45,AD45,AG45,AN45,AO45,0)</f>
        <v>1.267576953235199</v>
      </c>
      <c r="AR45" s="47">
        <f t="shared" ca="1" si="27"/>
        <v>1964744.2775145585</v>
      </c>
      <c r="AS45" s="135">
        <f t="shared" ca="1" si="28"/>
        <v>0.59107695323519915</v>
      </c>
      <c r="AU45" s="5">
        <f t="shared" si="48"/>
        <v>31</v>
      </c>
      <c r="AV45" s="148">
        <f t="shared" si="18"/>
        <v>39217</v>
      </c>
      <c r="AW45" s="41">
        <f t="shared" ca="1" si="19"/>
        <v>2024</v>
      </c>
      <c r="AX45" s="100">
        <f>VLOOKUP($A45,[1]!CurveTable,MATCH(AX$4,[1]!CurveType,0))</f>
        <v>4.7643795559560297E-2</v>
      </c>
      <c r="AY45" s="149">
        <f ca="1">1/(1+CHOOSE(F$3,(AX46+(Inputs!$B$14/10000))/2,(AX45+(Inputs!$B$14/10000))/2))^(2*AW45/365.25)</f>
        <v>0.77034391931288426</v>
      </c>
      <c r="AZ45" s="41">
        <f t="shared" si="49"/>
        <v>1</v>
      </c>
      <c r="BA45" s="72">
        <f t="shared" si="50"/>
        <v>31</v>
      </c>
      <c r="BC45" s="65">
        <f t="shared" ca="1" si="29"/>
        <v>4500907.675967372</v>
      </c>
      <c r="BD45" s="65">
        <f t="shared" ca="1" si="30"/>
        <v>4566579.4950887952</v>
      </c>
      <c r="BE45" s="65">
        <f t="shared" ca="1" si="31"/>
        <v>4566579.4950887952</v>
      </c>
      <c r="BF45" s="65">
        <f t="shared" ca="1" si="32"/>
        <v>895524.80620122794</v>
      </c>
      <c r="BG45" s="65">
        <f t="shared" ca="1" si="33"/>
        <v>895524.80620122794</v>
      </c>
      <c r="BH45" s="65">
        <f t="shared" ca="1" si="34"/>
        <v>895524.80620122794</v>
      </c>
      <c r="BI45" s="65">
        <f t="shared" ca="1" si="35"/>
        <v>0</v>
      </c>
      <c r="BJ45" s="65">
        <f t="shared" ca="1" si="36"/>
        <v>0</v>
      </c>
      <c r="BK45" s="65">
        <f t="shared" ca="1" si="37"/>
        <v>0</v>
      </c>
      <c r="BL45" s="65">
        <f t="shared" ca="1" si="38"/>
        <v>16119.446511622104</v>
      </c>
      <c r="BM45" s="65">
        <f t="shared" ca="1" si="39"/>
        <v>16119.446511622104</v>
      </c>
      <c r="BN45" s="65">
        <f t="shared" ca="1" si="40"/>
        <v>16119.446511622104</v>
      </c>
      <c r="BO45" s="65">
        <f t="shared" ca="1" si="41"/>
        <v>11940.330749349707</v>
      </c>
      <c r="BP45" s="65">
        <f t="shared" ca="1" si="42"/>
        <v>0</v>
      </c>
      <c r="BQ45" s="65">
        <f t="shared" ca="1" si="43"/>
        <v>0</v>
      </c>
      <c r="BR45" s="65">
        <f t="shared" ca="1" si="44"/>
        <v>5462104.3012900231</v>
      </c>
      <c r="BS45" s="65">
        <f t="shared" ca="1" si="45"/>
        <v>4582698.9416004177</v>
      </c>
      <c r="BT45" s="65">
        <f t="shared" ca="1" si="46"/>
        <v>71641.98449609823</v>
      </c>
      <c r="BU45" s="65">
        <f t="shared" ca="1" si="23"/>
        <v>807763.37519350741</v>
      </c>
    </row>
    <row r="46" spans="1:73">
      <c r="A46" s="42">
        <f t="shared" si="24"/>
        <v>39234</v>
      </c>
      <c r="B46" s="30">
        <f>Inputs!$B$8</f>
        <v>50000</v>
      </c>
      <c r="C46" s="17">
        <f t="shared" si="5"/>
        <v>1500000</v>
      </c>
      <c r="D46" s="17">
        <f t="shared" ca="1" si="6"/>
        <v>1149705.209178128</v>
      </c>
      <c r="E46" s="25">
        <f>VLOOKUP($A46,[1]!CurveTable,MATCH($E$4,[1]!CurveType,0))</f>
        <v>3.8075000000000001</v>
      </c>
      <c r="F46" s="31">
        <f>E46-Inputs!$B$16</f>
        <v>3.8625000000000003</v>
      </c>
      <c r="G46" s="43">
        <f t="shared" si="51"/>
        <v>3.8625000000000003</v>
      </c>
      <c r="H46" s="25">
        <f>VLOOKUP($A46,[1]!CurveTable,MATCH($H$4,[1]!CurveType,0))</f>
        <v>0.85</v>
      </c>
      <c r="I46" s="31">
        <f>H46+Inputs!$B$22</f>
        <v>0.85</v>
      </c>
      <c r="J46" s="44">
        <f t="shared" si="52"/>
        <v>0.85</v>
      </c>
      <c r="K46" s="25">
        <f>VLOOKUP($A46,[1]!CurveTable,MATCH($K$4,[1]!CurveType,0))</f>
        <v>0</v>
      </c>
      <c r="L46" s="31">
        <v>0</v>
      </c>
      <c r="M46" s="45">
        <f t="shared" si="53"/>
        <v>0</v>
      </c>
      <c r="N46" s="25">
        <f>VLOOKUP($A46,[1]!CurveTable,MATCH($N$4,[1]!CurveType,0))</f>
        <v>1.1000000000000001E-2</v>
      </c>
      <c r="O46" s="31">
        <f>N46+Inputs!$E$22</f>
        <v>1.1000000000000001E-2</v>
      </c>
      <c r="P46" s="45">
        <f t="shared" si="54"/>
        <v>1.1000000000000001E-2</v>
      </c>
      <c r="Q46" s="25">
        <f>VLOOKUP($A46,[1]!CurveTable,MATCH($Q$4,[1]!CurveType,0))</f>
        <v>0.01</v>
      </c>
      <c r="R46" s="31">
        <v>0</v>
      </c>
      <c r="S46" s="45">
        <f t="shared" si="55"/>
        <v>0</v>
      </c>
      <c r="T46" s="4"/>
      <c r="U46" s="159">
        <f t="shared" si="25"/>
        <v>4.7125000000000004</v>
      </c>
      <c r="V46" s="160"/>
      <c r="W46" s="100">
        <f>VLOOKUP($A46,[1]!CurveTable,MATCH($W$4,[1]!CurveType,0))+$W$9</f>
        <v>0.46500000000000002</v>
      </c>
      <c r="X46" s="100">
        <f>VLOOKUP($A46,[1]!CurveTable,MATCH($X$4,[1]!CurveType,0))+$X$9</f>
        <v>0.47000000000000003</v>
      </c>
      <c r="Y46" s="158">
        <f t="shared" ca="1" si="12"/>
        <v>0.47542926818747533</v>
      </c>
      <c r="Z46" s="4"/>
      <c r="AA46" s="159">
        <f t="shared" si="26"/>
        <v>3.8735000000000004</v>
      </c>
      <c r="AB46" s="160"/>
      <c r="AC46" s="100">
        <f>VLOOKUP($A46,[1]!CurveTable,MATCH($AC$4,[1]!CurveType,0))+$AC$9</f>
        <v>0.23250000000000001</v>
      </c>
      <c r="AD46" s="100">
        <f>VLOOKUP($A46,[1]!CurveTable,MATCH($AD$4,[1]!CurveType,0))+$AD$9</f>
        <v>0.23750000000000002</v>
      </c>
      <c r="AE46" s="158">
        <f t="shared" ca="1" si="13"/>
        <v>0.24022554525555775</v>
      </c>
      <c r="AF46" s="4"/>
      <c r="AG46" s="52">
        <f ca="1">((Inputs!$F$20*(X46*AD46)*(A46-$C$3))+(Inputs!$F$19*W46*AC46*(DAY(EOMONTH(A46,0))/2)))/(AN46*Y46*AE46)</f>
        <v>0.74999970529909954</v>
      </c>
      <c r="AH46" s="4"/>
      <c r="AI46" s="18">
        <f>Inputs!$B$15</f>
        <v>0.06</v>
      </c>
      <c r="AJ46" s="46"/>
      <c r="AK46" s="18">
        <f t="shared" si="14"/>
        <v>0.77899999999999991</v>
      </c>
      <c r="AL46" s="46"/>
      <c r="AM46" s="62">
        <f t="shared" si="15"/>
        <v>39202</v>
      </c>
      <c r="AN46" s="63">
        <f t="shared" ca="1" si="16"/>
        <v>2009</v>
      </c>
      <c r="AO46" s="63">
        <f t="shared" si="47"/>
        <v>1</v>
      </c>
      <c r="AP46" s="19"/>
      <c r="AQ46" s="74">
        <f ca="1">_xll.SPRDOPT(U46,AA46,AI46,AX46,X46,AD46,AG46,AN46,AO46,0)</f>
        <v>1.3336577384233865</v>
      </c>
      <c r="AR46" s="47">
        <f t="shared" ca="1" si="27"/>
        <v>2000486.6076350799</v>
      </c>
      <c r="AS46" s="135">
        <f t="shared" ca="1" si="28"/>
        <v>0.55465773842338661</v>
      </c>
      <c r="AU46" s="5">
        <f t="shared" si="48"/>
        <v>30</v>
      </c>
      <c r="AV46" s="148">
        <f t="shared" si="18"/>
        <v>39248</v>
      </c>
      <c r="AW46" s="41">
        <f t="shared" ca="1" si="19"/>
        <v>2055</v>
      </c>
      <c r="AX46" s="100">
        <f>VLOOKUP($A46,[1]!CurveTable,MATCH(AX$4,[1]!CurveType,0))</f>
        <v>4.7833972737908202E-2</v>
      </c>
      <c r="AY46" s="149">
        <f ca="1">1/(1+CHOOSE(F$3,(AX47+(Inputs!$B$14/10000))/2,(AX46+(Inputs!$B$14/10000))/2))^(2*AW46/365.25)</f>
        <v>0.76647013945208542</v>
      </c>
      <c r="AZ46" s="41">
        <f t="shared" si="49"/>
        <v>1</v>
      </c>
      <c r="BA46" s="72">
        <f t="shared" si="50"/>
        <v>30</v>
      </c>
      <c r="BC46" s="65">
        <f t="shared" ca="1" si="29"/>
        <v>4377502.5839457223</v>
      </c>
      <c r="BD46" s="65">
        <f t="shared" ca="1" si="30"/>
        <v>4440736.37045052</v>
      </c>
      <c r="BE46" s="65">
        <f t="shared" ca="1" si="31"/>
        <v>4440736.37045052</v>
      </c>
      <c r="BF46" s="65">
        <f t="shared" ca="1" si="32"/>
        <v>977249.4278014088</v>
      </c>
      <c r="BG46" s="65">
        <f t="shared" ca="1" si="33"/>
        <v>977249.4278014088</v>
      </c>
      <c r="BH46" s="65">
        <f t="shared" ca="1" si="34"/>
        <v>977249.4278014088</v>
      </c>
      <c r="BI46" s="65">
        <f t="shared" ca="1" si="35"/>
        <v>0</v>
      </c>
      <c r="BJ46" s="65">
        <f t="shared" ca="1" si="36"/>
        <v>0</v>
      </c>
      <c r="BK46" s="65">
        <f t="shared" ca="1" si="37"/>
        <v>0</v>
      </c>
      <c r="BL46" s="65">
        <f t="shared" ca="1" si="38"/>
        <v>12646.757300959409</v>
      </c>
      <c r="BM46" s="65">
        <f t="shared" ca="1" si="39"/>
        <v>12646.757300959409</v>
      </c>
      <c r="BN46" s="65">
        <f t="shared" ca="1" si="40"/>
        <v>12646.757300959409</v>
      </c>
      <c r="BO46" s="65">
        <f t="shared" ca="1" si="41"/>
        <v>11497.052091781281</v>
      </c>
      <c r="BP46" s="65">
        <f t="shared" ca="1" si="42"/>
        <v>0</v>
      </c>
      <c r="BQ46" s="65">
        <f t="shared" ca="1" si="43"/>
        <v>0</v>
      </c>
      <c r="BR46" s="65">
        <f t="shared" ca="1" si="44"/>
        <v>5417985.7982519288</v>
      </c>
      <c r="BS46" s="65">
        <f t="shared" ca="1" si="45"/>
        <v>4453383.1277514799</v>
      </c>
      <c r="BT46" s="65">
        <f t="shared" ca="1" si="46"/>
        <v>68982.312550687682</v>
      </c>
      <c r="BU46" s="65">
        <f t="shared" ca="1" si="23"/>
        <v>895620.35794976167</v>
      </c>
    </row>
    <row r="47" spans="1:73">
      <c r="A47" s="42">
        <f t="shared" si="24"/>
        <v>39264</v>
      </c>
      <c r="B47" s="30">
        <f>Inputs!$B$8</f>
        <v>50000</v>
      </c>
      <c r="C47" s="17">
        <f t="shared" si="5"/>
        <v>1550000</v>
      </c>
      <c r="D47" s="17">
        <f t="shared" ca="1" si="6"/>
        <v>1182211.4164306629</v>
      </c>
      <c r="E47" s="25">
        <f>VLOOKUP($A47,[1]!CurveTable,MATCH($E$4,[1]!CurveType,0))</f>
        <v>3.8525</v>
      </c>
      <c r="F47" s="31">
        <f>E47-Inputs!$B$16</f>
        <v>3.9075000000000002</v>
      </c>
      <c r="G47" s="43">
        <f t="shared" si="51"/>
        <v>3.9075000000000002</v>
      </c>
      <c r="H47" s="25">
        <f>VLOOKUP($A47,[1]!CurveTable,MATCH($H$4,[1]!CurveType,0))</f>
        <v>1.05</v>
      </c>
      <c r="I47" s="31">
        <f>H47+Inputs!$B$22</f>
        <v>1.05</v>
      </c>
      <c r="J47" s="44">
        <f t="shared" si="52"/>
        <v>1.05</v>
      </c>
      <c r="K47" s="25">
        <f>VLOOKUP($A47,[1]!CurveTable,MATCH($K$4,[1]!CurveType,0))</f>
        <v>0</v>
      </c>
      <c r="L47" s="31">
        <v>0</v>
      </c>
      <c r="M47" s="45">
        <f t="shared" si="53"/>
        <v>0</v>
      </c>
      <c r="N47" s="25">
        <f>VLOOKUP($A47,[1]!CurveTable,MATCH($N$4,[1]!CurveType,0))</f>
        <v>8.5000000000000006E-3</v>
      </c>
      <c r="O47" s="31">
        <f>N47+Inputs!$E$22</f>
        <v>8.5000000000000006E-3</v>
      </c>
      <c r="P47" s="45">
        <f t="shared" si="54"/>
        <v>8.5000000000000006E-3</v>
      </c>
      <c r="Q47" s="25">
        <f>VLOOKUP($A47,[1]!CurveTable,MATCH($Q$4,[1]!CurveType,0))</f>
        <v>0.01</v>
      </c>
      <c r="R47" s="31">
        <v>0</v>
      </c>
      <c r="S47" s="45">
        <f t="shared" si="55"/>
        <v>0</v>
      </c>
      <c r="T47" s="4"/>
      <c r="U47" s="159">
        <f t="shared" si="25"/>
        <v>4.9575000000000005</v>
      </c>
      <c r="V47" s="160"/>
      <c r="W47" s="100">
        <f>VLOOKUP($A47,[1]!CurveTable,MATCH($W$4,[1]!CurveType,0))+$W$9</f>
        <v>0.46500000000000002</v>
      </c>
      <c r="X47" s="100">
        <f>VLOOKUP($A47,[1]!CurveTable,MATCH($X$4,[1]!CurveType,0))+$X$9</f>
        <v>0.47000000000000003</v>
      </c>
      <c r="Y47" s="158">
        <f t="shared" ca="1" si="12"/>
        <v>0.47528906967749851</v>
      </c>
      <c r="Z47" s="4"/>
      <c r="AA47" s="159">
        <f t="shared" si="26"/>
        <v>3.9160000000000004</v>
      </c>
      <c r="AB47" s="160"/>
      <c r="AC47" s="100">
        <f>VLOOKUP($A47,[1]!CurveTable,MATCH($AC$4,[1]!CurveType,0))+$AC$9</f>
        <v>0.23250000000000001</v>
      </c>
      <c r="AD47" s="100">
        <f>VLOOKUP($A47,[1]!CurveTable,MATCH($AD$4,[1]!CurveType,0))+$AD$9</f>
        <v>0.23750000000000002</v>
      </c>
      <c r="AE47" s="158">
        <f t="shared" ca="1" si="13"/>
        <v>0.2401543780703832</v>
      </c>
      <c r="AF47" s="4"/>
      <c r="AG47" s="52">
        <f ca="1">((Inputs!$F$20*(X47*AD47)*(A47-$C$3))+(Inputs!$F$19*W47*AC47*(DAY(EOMONTH(A47,0))/2)))/(AN47*Y47*AE47)</f>
        <v>0.74999969996489624</v>
      </c>
      <c r="AH47" s="4"/>
      <c r="AI47" s="18">
        <f>Inputs!$B$15</f>
        <v>0.06</v>
      </c>
      <c r="AJ47" s="46"/>
      <c r="AK47" s="18">
        <f t="shared" si="14"/>
        <v>0.98150000000000004</v>
      </c>
      <c r="AL47" s="46"/>
      <c r="AM47" s="62">
        <f t="shared" si="15"/>
        <v>39233</v>
      </c>
      <c r="AN47" s="63">
        <f t="shared" ca="1" si="16"/>
        <v>2040</v>
      </c>
      <c r="AO47" s="63">
        <f t="shared" si="47"/>
        <v>1</v>
      </c>
      <c r="AP47" s="19"/>
      <c r="AQ47" s="74">
        <f ca="1">_xll.SPRDOPT(U47,AA47,AI47,AX47,X47,AD47,AG47,AN47,AO47,0)</f>
        <v>1.4584656890270449</v>
      </c>
      <c r="AR47" s="47">
        <f t="shared" ca="1" si="27"/>
        <v>2260621.8179919193</v>
      </c>
      <c r="AS47" s="135">
        <f t="shared" ca="1" si="28"/>
        <v>0.47696568902704484</v>
      </c>
      <c r="AU47" s="5">
        <f t="shared" si="48"/>
        <v>31</v>
      </c>
      <c r="AV47" s="148">
        <f t="shared" si="18"/>
        <v>39278</v>
      </c>
      <c r="AW47" s="41">
        <f t="shared" ca="1" si="19"/>
        <v>2085</v>
      </c>
      <c r="AX47" s="100">
        <f>VLOOKUP($A47,[1]!CurveTable,MATCH(AX$4,[1]!CurveType,0))</f>
        <v>4.8018015180077998E-2</v>
      </c>
      <c r="AY47" s="149">
        <f ca="1">1/(1+CHOOSE(F$3,(AX48+(Inputs!$B$14/10000))/2,(AX47+(Inputs!$B$14/10000))/2))^(2*AW47/365.25)</f>
        <v>0.76271704285849218</v>
      </c>
      <c r="AZ47" s="41">
        <f t="shared" si="49"/>
        <v>1</v>
      </c>
      <c r="BA47" s="72">
        <f t="shared" si="50"/>
        <v>31</v>
      </c>
      <c r="BC47" s="65">
        <f t="shared" ca="1" si="29"/>
        <v>4554469.4817991285</v>
      </c>
      <c r="BD47" s="65">
        <f t="shared" ca="1" si="30"/>
        <v>4619491.1097028153</v>
      </c>
      <c r="BE47" s="65">
        <f t="shared" ca="1" si="31"/>
        <v>4619491.1097028153</v>
      </c>
      <c r="BF47" s="65">
        <f t="shared" ca="1" si="32"/>
        <v>1241321.9872521961</v>
      </c>
      <c r="BG47" s="65">
        <f t="shared" ca="1" si="33"/>
        <v>1241321.9872521961</v>
      </c>
      <c r="BH47" s="65">
        <f t="shared" ca="1" si="34"/>
        <v>1241321.9872521961</v>
      </c>
      <c r="BI47" s="65">
        <f t="shared" ca="1" si="35"/>
        <v>0</v>
      </c>
      <c r="BJ47" s="65">
        <f t="shared" ca="1" si="36"/>
        <v>0</v>
      </c>
      <c r="BK47" s="65">
        <f t="shared" ca="1" si="37"/>
        <v>0</v>
      </c>
      <c r="BL47" s="65">
        <f t="shared" ca="1" si="38"/>
        <v>10048.797039660634</v>
      </c>
      <c r="BM47" s="65">
        <f t="shared" ca="1" si="39"/>
        <v>10048.797039660634</v>
      </c>
      <c r="BN47" s="65">
        <f t="shared" ca="1" si="40"/>
        <v>10048.797039660634</v>
      </c>
      <c r="BO47" s="65">
        <f t="shared" ca="1" si="41"/>
        <v>11822.114164306629</v>
      </c>
      <c r="BP47" s="65">
        <f t="shared" ca="1" si="42"/>
        <v>0</v>
      </c>
      <c r="BQ47" s="65">
        <f t="shared" ca="1" si="43"/>
        <v>0</v>
      </c>
      <c r="BR47" s="65">
        <f t="shared" ca="1" si="44"/>
        <v>5860813.0969550116</v>
      </c>
      <c r="BS47" s="65">
        <f t="shared" ca="1" si="45"/>
        <v>4629539.9067424759</v>
      </c>
      <c r="BT47" s="65">
        <f t="shared" ca="1" si="46"/>
        <v>70932.684985839762</v>
      </c>
      <c r="BU47" s="65">
        <f t="shared" ca="1" si="23"/>
        <v>1160340.5052266957</v>
      </c>
    </row>
    <row r="48" spans="1:73">
      <c r="A48" s="42">
        <f t="shared" si="24"/>
        <v>39295</v>
      </c>
      <c r="B48" s="30">
        <f>Inputs!$B$8</f>
        <v>50000</v>
      </c>
      <c r="C48" s="17">
        <f t="shared" si="5"/>
        <v>1550000</v>
      </c>
      <c r="D48" s="17">
        <f t="shared" ca="1" si="6"/>
        <v>1176193.7619442102</v>
      </c>
      <c r="E48" s="25">
        <f>VLOOKUP($A48,[1]!CurveTable,MATCH($E$4,[1]!CurveType,0))</f>
        <v>3.8905000000000003</v>
      </c>
      <c r="F48" s="31">
        <f>E48-Inputs!$B$16</f>
        <v>3.9455000000000005</v>
      </c>
      <c r="G48" s="43">
        <f t="shared" si="51"/>
        <v>3.9455000000000005</v>
      </c>
      <c r="H48" s="25">
        <f>VLOOKUP($A48,[1]!CurveTable,MATCH($H$4,[1]!CurveType,0))</f>
        <v>1.05</v>
      </c>
      <c r="I48" s="31">
        <f>H48+Inputs!$B$22</f>
        <v>1.05</v>
      </c>
      <c r="J48" s="44">
        <f t="shared" si="52"/>
        <v>1.05</v>
      </c>
      <c r="K48" s="25">
        <f>VLOOKUP($A48,[1]!CurveTable,MATCH($K$4,[1]!CurveType,0))</f>
        <v>0</v>
      </c>
      <c r="L48" s="31">
        <v>0</v>
      </c>
      <c r="M48" s="45">
        <f t="shared" si="53"/>
        <v>0</v>
      </c>
      <c r="N48" s="25">
        <f>VLOOKUP($A48,[1]!CurveTable,MATCH($N$4,[1]!CurveType,0))</f>
        <v>8.5000000000000006E-3</v>
      </c>
      <c r="O48" s="31">
        <f>N48+Inputs!$E$22</f>
        <v>8.5000000000000006E-3</v>
      </c>
      <c r="P48" s="45">
        <f t="shared" si="54"/>
        <v>8.5000000000000006E-3</v>
      </c>
      <c r="Q48" s="25">
        <f>VLOOKUP($A48,[1]!CurveTable,MATCH($Q$4,[1]!CurveType,0))</f>
        <v>0.01</v>
      </c>
      <c r="R48" s="31">
        <v>0</v>
      </c>
      <c r="S48" s="45">
        <f t="shared" si="55"/>
        <v>0</v>
      </c>
      <c r="T48" s="4"/>
      <c r="U48" s="159">
        <f t="shared" si="25"/>
        <v>4.9955000000000007</v>
      </c>
      <c r="V48" s="160"/>
      <c r="W48" s="100">
        <f>VLOOKUP($A48,[1]!CurveTable,MATCH($W$4,[1]!CurveType,0))+$W$9</f>
        <v>0.46500000000000002</v>
      </c>
      <c r="X48" s="100">
        <f>VLOOKUP($A48,[1]!CurveTable,MATCH($X$4,[1]!CurveType,0))+$X$9</f>
        <v>0.47000000000000003</v>
      </c>
      <c r="Y48" s="158">
        <f t="shared" ca="1" si="12"/>
        <v>0.47532510486403906</v>
      </c>
      <c r="Z48" s="4"/>
      <c r="AA48" s="159">
        <f t="shared" si="26"/>
        <v>3.9540000000000006</v>
      </c>
      <c r="AB48" s="160"/>
      <c r="AC48" s="100">
        <f>VLOOKUP($A48,[1]!CurveTable,MATCH($AC$4,[1]!CurveType,0))+$AC$9</f>
        <v>0.23250000000000001</v>
      </c>
      <c r="AD48" s="100">
        <f>VLOOKUP($A48,[1]!CurveTable,MATCH($AD$4,[1]!CurveType,0))+$AD$9</f>
        <v>0.23750000000000002</v>
      </c>
      <c r="AE48" s="158">
        <f t="shared" ca="1" si="13"/>
        <v>0.24017285379090544</v>
      </c>
      <c r="AF48" s="4"/>
      <c r="AG48" s="52">
        <f ca="1">((Inputs!$F$20*(X48*AD48)*(A48-$C$3))+(Inputs!$F$19*W48*AC48*(DAY(EOMONTH(A48,0))/2)))/(AN48*Y48*AE48)</f>
        <v>0.74999970432700991</v>
      </c>
      <c r="AH48" s="4"/>
      <c r="AI48" s="18">
        <f>Inputs!$B$15</f>
        <v>0.06</v>
      </c>
      <c r="AJ48" s="46"/>
      <c r="AK48" s="18">
        <f t="shared" si="14"/>
        <v>0.98150000000000004</v>
      </c>
      <c r="AL48" s="46"/>
      <c r="AM48" s="62">
        <f t="shared" si="15"/>
        <v>39263</v>
      </c>
      <c r="AN48" s="63">
        <f t="shared" ca="1" si="16"/>
        <v>2070</v>
      </c>
      <c r="AO48" s="63">
        <f t="shared" si="47"/>
        <v>1</v>
      </c>
      <c r="AP48" s="19"/>
      <c r="AQ48" s="74">
        <f ca="1">_xll.SPRDOPT(U48,AA48,AI48,AX48,X48,AD48,AG48,AN48,AO48,0)</f>
        <v>1.4666136855230891</v>
      </c>
      <c r="AR48" s="47">
        <f t="shared" ca="1" si="27"/>
        <v>2273251.2125607883</v>
      </c>
      <c r="AS48" s="135">
        <f t="shared" ca="1" si="28"/>
        <v>0.48511368552308909</v>
      </c>
      <c r="AU48" s="5">
        <f t="shared" si="48"/>
        <v>31</v>
      </c>
      <c r="AV48" s="148">
        <f t="shared" si="18"/>
        <v>39309</v>
      </c>
      <c r="AW48" s="41">
        <f t="shared" ca="1" si="19"/>
        <v>2116</v>
      </c>
      <c r="AX48" s="100">
        <f>VLOOKUP($A48,[1]!CurveTable,MATCH(AX$4,[1]!CurveType,0))</f>
        <v>4.8208192382211697E-2</v>
      </c>
      <c r="AY48" s="149">
        <f ca="1">1/(1+CHOOSE(F$3,(AX49+(Inputs!$B$14/10000))/2,(AX48+(Inputs!$B$14/10000))/2))^(2*AW48/365.25)</f>
        <v>0.75883468512529684</v>
      </c>
      <c r="AZ48" s="41">
        <f t="shared" si="49"/>
        <v>1</v>
      </c>
      <c r="BA48" s="72">
        <f t="shared" si="50"/>
        <v>31</v>
      </c>
      <c r="BC48" s="65">
        <f t="shared" ca="1" si="29"/>
        <v>4575981.8308439497</v>
      </c>
      <c r="BD48" s="65">
        <f t="shared" ca="1" si="30"/>
        <v>4640672.4877508814</v>
      </c>
      <c r="BE48" s="65">
        <f t="shared" ca="1" si="31"/>
        <v>4640672.4877508814</v>
      </c>
      <c r="BF48" s="65">
        <f t="shared" ca="1" si="32"/>
        <v>1235003.4500414208</v>
      </c>
      <c r="BG48" s="65">
        <f t="shared" ca="1" si="33"/>
        <v>1235003.4500414208</v>
      </c>
      <c r="BH48" s="65">
        <f t="shared" ca="1" si="34"/>
        <v>1235003.4500414208</v>
      </c>
      <c r="BI48" s="65">
        <f t="shared" ca="1" si="35"/>
        <v>0</v>
      </c>
      <c r="BJ48" s="65">
        <f t="shared" ca="1" si="36"/>
        <v>0</v>
      </c>
      <c r="BK48" s="65">
        <f t="shared" ca="1" si="37"/>
        <v>0</v>
      </c>
      <c r="BL48" s="65">
        <f t="shared" ca="1" si="38"/>
        <v>9997.6469765257862</v>
      </c>
      <c r="BM48" s="65">
        <f t="shared" ca="1" si="39"/>
        <v>9997.6469765257862</v>
      </c>
      <c r="BN48" s="65">
        <f t="shared" ca="1" si="40"/>
        <v>9997.6469765257862</v>
      </c>
      <c r="BO48" s="65">
        <f t="shared" ca="1" si="41"/>
        <v>11761.937619442102</v>
      </c>
      <c r="BP48" s="65">
        <f t="shared" ca="1" si="42"/>
        <v>0</v>
      </c>
      <c r="BQ48" s="65">
        <f t="shared" ca="1" si="43"/>
        <v>0</v>
      </c>
      <c r="BR48" s="65">
        <f t="shared" ca="1" si="44"/>
        <v>5875675.937792303</v>
      </c>
      <c r="BS48" s="65">
        <f t="shared" ca="1" si="45"/>
        <v>4650670.1347274072</v>
      </c>
      <c r="BT48" s="65">
        <f t="shared" ca="1" si="46"/>
        <v>70571.625716652605</v>
      </c>
      <c r="BU48" s="65">
        <f t="shared" ca="1" si="23"/>
        <v>1154434.1773482424</v>
      </c>
    </row>
    <row r="49" spans="1:73">
      <c r="A49" s="42">
        <f t="shared" si="24"/>
        <v>39326</v>
      </c>
      <c r="B49" s="30">
        <f>Inputs!$B$8</f>
        <v>50000</v>
      </c>
      <c r="C49" s="17">
        <f t="shared" si="5"/>
        <v>1500000</v>
      </c>
      <c r="D49" s="17">
        <f t="shared" ca="1" si="6"/>
        <v>1132422.5499549888</v>
      </c>
      <c r="E49" s="25">
        <f>VLOOKUP($A49,[1]!CurveTable,MATCH($E$4,[1]!CurveType,0))</f>
        <v>3.8845000000000001</v>
      </c>
      <c r="F49" s="31">
        <f>E49-Inputs!$B$16</f>
        <v>3.9395000000000002</v>
      </c>
      <c r="G49" s="43">
        <f t="shared" si="51"/>
        <v>3.9395000000000002</v>
      </c>
      <c r="H49" s="25">
        <f>VLOOKUP($A49,[1]!CurveTable,MATCH($H$4,[1]!CurveType,0))</f>
        <v>0.6</v>
      </c>
      <c r="I49" s="31">
        <f>H49+Inputs!$B$22</f>
        <v>0.6</v>
      </c>
      <c r="J49" s="44">
        <f t="shared" si="52"/>
        <v>0.6</v>
      </c>
      <c r="K49" s="25">
        <f>VLOOKUP($A49,[1]!CurveTable,MATCH($K$4,[1]!CurveType,0))</f>
        <v>0</v>
      </c>
      <c r="L49" s="31">
        <v>0</v>
      </c>
      <c r="M49" s="45">
        <f t="shared" si="53"/>
        <v>0</v>
      </c>
      <c r="N49" s="25">
        <f>VLOOKUP($A49,[1]!CurveTable,MATCH($N$4,[1]!CurveType,0))</f>
        <v>8.5000000000000006E-3</v>
      </c>
      <c r="O49" s="31">
        <f>N49+Inputs!$E$22</f>
        <v>8.5000000000000006E-3</v>
      </c>
      <c r="P49" s="45">
        <f t="shared" si="54"/>
        <v>8.5000000000000006E-3</v>
      </c>
      <c r="Q49" s="25">
        <f>VLOOKUP($A49,[1]!CurveTable,MATCH($Q$4,[1]!CurveType,0))</f>
        <v>0.01</v>
      </c>
      <c r="R49" s="31">
        <v>0</v>
      </c>
      <c r="S49" s="45">
        <f t="shared" si="55"/>
        <v>0</v>
      </c>
      <c r="T49" s="4"/>
      <c r="U49" s="159">
        <f t="shared" si="25"/>
        <v>4.5395000000000003</v>
      </c>
      <c r="V49" s="160"/>
      <c r="W49" s="100">
        <f>VLOOKUP($A49,[1]!CurveTable,MATCH($W$4,[1]!CurveType,0))+$W$9</f>
        <v>0.46500000000000002</v>
      </c>
      <c r="X49" s="100">
        <f>VLOOKUP($A49,[1]!CurveTable,MATCH($X$4,[1]!CurveType,0))+$X$9</f>
        <v>0.47000000000000003</v>
      </c>
      <c r="Y49" s="158">
        <f t="shared" ca="1" si="12"/>
        <v>0.47519282641376975</v>
      </c>
      <c r="Z49" s="4"/>
      <c r="AA49" s="159">
        <f t="shared" si="26"/>
        <v>3.9480000000000004</v>
      </c>
      <c r="AB49" s="160"/>
      <c r="AC49" s="100">
        <f>VLOOKUP($A49,[1]!CurveTable,MATCH($AC$4,[1]!CurveType,0))+$AC$9</f>
        <v>0.23250000000000001</v>
      </c>
      <c r="AD49" s="100">
        <f>VLOOKUP($A49,[1]!CurveTable,MATCH($AD$4,[1]!CurveType,0))+$AD$9</f>
        <v>0.23750000000000002</v>
      </c>
      <c r="AE49" s="158">
        <f t="shared" ca="1" si="13"/>
        <v>0.24010684496995896</v>
      </c>
      <c r="AF49" s="4"/>
      <c r="AG49" s="52">
        <f ca="1">((Inputs!$F$20*(X49*AD49)*(A49-$C$3))+(Inputs!$F$19*W49*AC49*(DAY(EOMONTH(A49,0))/2)))/(AN49*Y49*AE49)</f>
        <v>0.74999971783804986</v>
      </c>
      <c r="AH49" s="4"/>
      <c r="AI49" s="18">
        <f>Inputs!$B$15</f>
        <v>0.06</v>
      </c>
      <c r="AJ49" s="46"/>
      <c r="AK49" s="18">
        <f t="shared" si="14"/>
        <v>0.53149999999999986</v>
      </c>
      <c r="AL49" s="46"/>
      <c r="AM49" s="62">
        <f t="shared" si="15"/>
        <v>39294</v>
      </c>
      <c r="AN49" s="63">
        <f t="shared" ca="1" si="16"/>
        <v>2101</v>
      </c>
      <c r="AO49" s="63">
        <f t="shared" si="47"/>
        <v>1</v>
      </c>
      <c r="AP49" s="19"/>
      <c r="AQ49" s="74">
        <f ca="1">_xll.SPRDOPT(U49,AA49,AI49,AX49,X49,AD49,AG49,AN49,AO49,0)</f>
        <v>1.2158408989820735</v>
      </c>
      <c r="AR49" s="47">
        <f t="shared" ca="1" si="27"/>
        <v>1823761.3484731102</v>
      </c>
      <c r="AS49" s="135">
        <f t="shared" ca="1" si="28"/>
        <v>0.68434089898207362</v>
      </c>
      <c r="AU49" s="5">
        <f t="shared" si="48"/>
        <v>30</v>
      </c>
      <c r="AV49" s="148">
        <f t="shared" si="18"/>
        <v>39340</v>
      </c>
      <c r="AW49" s="41">
        <f t="shared" ca="1" si="19"/>
        <v>2147</v>
      </c>
      <c r="AX49" s="100">
        <f>VLOOKUP($A49,[1]!CurveTable,MATCH(AX$4,[1]!CurveType,0))</f>
        <v>4.8398369596431803E-2</v>
      </c>
      <c r="AY49" s="149">
        <f ca="1">1/(1+CHOOSE(F$3,(AX50+(Inputs!$B$14/10000))/2,(AX49+(Inputs!$B$14/10000))/2))^(2*AW49/365.25)</f>
        <v>0.75494836663665921</v>
      </c>
      <c r="AZ49" s="41">
        <f t="shared" si="49"/>
        <v>1</v>
      </c>
      <c r="BA49" s="72">
        <f t="shared" si="50"/>
        <v>30</v>
      </c>
      <c r="BC49" s="65">
        <f t="shared" ca="1" si="29"/>
        <v>4398895.3953001536</v>
      </c>
      <c r="BD49" s="65">
        <f t="shared" ca="1" si="30"/>
        <v>4461178.6355476789</v>
      </c>
      <c r="BE49" s="65">
        <f t="shared" ca="1" si="31"/>
        <v>4461178.6355476789</v>
      </c>
      <c r="BF49" s="65">
        <f t="shared" ca="1" si="32"/>
        <v>679453.52997299319</v>
      </c>
      <c r="BG49" s="65">
        <f t="shared" ca="1" si="33"/>
        <v>679453.52997299319</v>
      </c>
      <c r="BH49" s="65">
        <f t="shared" ca="1" si="34"/>
        <v>679453.52997299319</v>
      </c>
      <c r="BI49" s="65">
        <f t="shared" ca="1" si="35"/>
        <v>0</v>
      </c>
      <c r="BJ49" s="65">
        <f t="shared" ca="1" si="36"/>
        <v>0</v>
      </c>
      <c r="BK49" s="65">
        <f t="shared" ca="1" si="37"/>
        <v>0</v>
      </c>
      <c r="BL49" s="65">
        <f t="shared" ca="1" si="38"/>
        <v>9625.5916746174044</v>
      </c>
      <c r="BM49" s="65">
        <f t="shared" ca="1" si="39"/>
        <v>9625.5916746174044</v>
      </c>
      <c r="BN49" s="65">
        <f t="shared" ca="1" si="40"/>
        <v>9625.5916746174044</v>
      </c>
      <c r="BO49" s="65">
        <f t="shared" ca="1" si="41"/>
        <v>11324.225499549888</v>
      </c>
      <c r="BP49" s="65">
        <f t="shared" ca="1" si="42"/>
        <v>0</v>
      </c>
      <c r="BQ49" s="65">
        <f t="shared" ca="1" si="43"/>
        <v>0</v>
      </c>
      <c r="BR49" s="65">
        <f t="shared" ca="1" si="44"/>
        <v>5140632.1655206718</v>
      </c>
      <c r="BS49" s="65">
        <f t="shared" ca="1" si="45"/>
        <v>4470804.2272222964</v>
      </c>
      <c r="BT49" s="65">
        <f t="shared" ca="1" si="46"/>
        <v>67945.352997299327</v>
      </c>
      <c r="BU49" s="65">
        <f t="shared" ca="1" si="23"/>
        <v>601882.58530107641</v>
      </c>
    </row>
    <row r="50" spans="1:73">
      <c r="A50" s="42">
        <f t="shared" si="24"/>
        <v>39356</v>
      </c>
      <c r="B50" s="30">
        <f>Inputs!$B$8</f>
        <v>50000</v>
      </c>
      <c r="C50" s="17">
        <f t="shared" si="5"/>
        <v>1550000</v>
      </c>
      <c r="D50" s="17">
        <f t="shared" ca="1" si="6"/>
        <v>1164335.0353104493</v>
      </c>
      <c r="E50" s="25">
        <f>VLOOKUP($A50,[1]!CurveTable,MATCH($E$4,[1]!CurveType,0))</f>
        <v>3.8845000000000001</v>
      </c>
      <c r="F50" s="31">
        <f>E50-Inputs!$B$16</f>
        <v>3.9395000000000002</v>
      </c>
      <c r="G50" s="43">
        <f t="shared" ref="G50:G69" si="56">F50</f>
        <v>3.9395000000000002</v>
      </c>
      <c r="H50" s="25">
        <f>VLOOKUP($A50,[1]!CurveTable,MATCH($H$4,[1]!CurveType,0))</f>
        <v>0.3</v>
      </c>
      <c r="I50" s="31">
        <f>H50+Inputs!$B$22</f>
        <v>0.3</v>
      </c>
      <c r="J50" s="44">
        <f t="shared" ref="J50:J69" si="57">I50</f>
        <v>0.3</v>
      </c>
      <c r="K50" s="25">
        <f>VLOOKUP($A50,[1]!CurveTable,MATCH($K$4,[1]!CurveType,0))</f>
        <v>0</v>
      </c>
      <c r="L50" s="31">
        <v>0</v>
      </c>
      <c r="M50" s="45">
        <f t="shared" ref="M50:M69" si="58">L50</f>
        <v>0</v>
      </c>
      <c r="N50" s="25">
        <f>VLOOKUP($A50,[1]!CurveTable,MATCH($N$4,[1]!CurveType,0))</f>
        <v>7.0000000000000001E-3</v>
      </c>
      <c r="O50" s="31">
        <f>N50+Inputs!$E$22</f>
        <v>7.0000000000000001E-3</v>
      </c>
      <c r="P50" s="45">
        <f t="shared" ref="P50:P69" si="59">O50</f>
        <v>7.0000000000000001E-3</v>
      </c>
      <c r="Q50" s="25">
        <f>VLOOKUP($A50,[1]!CurveTable,MATCH($Q$4,[1]!CurveType,0))</f>
        <v>0.01</v>
      </c>
      <c r="R50" s="31">
        <v>0</v>
      </c>
      <c r="S50" s="45">
        <f t="shared" ref="S50:S69" si="60">R50</f>
        <v>0</v>
      </c>
      <c r="T50" s="4"/>
      <c r="U50" s="159">
        <f t="shared" si="25"/>
        <v>4.2395000000000005</v>
      </c>
      <c r="V50" s="160"/>
      <c r="W50" s="100">
        <f>VLOOKUP($A50,[1]!CurveTable,MATCH($W$4,[1]!CurveType,0))+$W$9</f>
        <v>0.23250000000000001</v>
      </c>
      <c r="X50" s="100">
        <f>VLOOKUP($A50,[1]!CurveTable,MATCH($X$4,[1]!CurveType,0))+$X$9</f>
        <v>0.23750000000000002</v>
      </c>
      <c r="Y50" s="158">
        <f t="shared" ca="1" si="12"/>
        <v>0.24004044240338338</v>
      </c>
      <c r="Z50" s="4"/>
      <c r="AA50" s="159">
        <f t="shared" si="26"/>
        <v>3.9465000000000003</v>
      </c>
      <c r="AB50" s="160"/>
      <c r="AC50" s="100">
        <f>VLOOKUP($A50,[1]!CurveTable,MATCH($AC$4,[1]!CurveType,0))+$AC$9</f>
        <v>0.23250000000000001</v>
      </c>
      <c r="AD50" s="100">
        <f>VLOOKUP($A50,[1]!CurveTable,MATCH($AD$4,[1]!CurveType,0))+$AD$9</f>
        <v>0.23750000000000002</v>
      </c>
      <c r="AE50" s="158">
        <f t="shared" ca="1" si="13"/>
        <v>0.24004044240338338</v>
      </c>
      <c r="AF50" s="4"/>
      <c r="AG50" s="52">
        <f ca="1">((Inputs!$F$20*(X50*AD50)*(A50-$C$3))+(Inputs!$F$19*W50*AC50*(DAY(EOMONTH(A50,0))/2)))/(AN50*Y50*AE50)</f>
        <v>0.75000000000000022</v>
      </c>
      <c r="AH50" s="4"/>
      <c r="AI50" s="18">
        <f>Inputs!$B$15</f>
        <v>0.06</v>
      </c>
      <c r="AJ50" s="46"/>
      <c r="AK50" s="18">
        <f t="shared" si="14"/>
        <v>0.23300000000000015</v>
      </c>
      <c r="AL50" s="46"/>
      <c r="AM50" s="62">
        <f t="shared" si="15"/>
        <v>39325</v>
      </c>
      <c r="AN50" s="63">
        <f t="shared" ca="1" si="16"/>
        <v>2132</v>
      </c>
      <c r="AO50" s="63">
        <f t="shared" si="47"/>
        <v>1</v>
      </c>
      <c r="AP50" s="19"/>
      <c r="AQ50" s="74">
        <f ca="1">_xll.SPRDOPT(U50,AA50,AI50,AX50,X50,AD50,AG50,AN50,AO50,0)</f>
        <v>0.58812817665877148</v>
      </c>
      <c r="AR50" s="47">
        <f t="shared" ca="1" si="27"/>
        <v>911598.67382109584</v>
      </c>
      <c r="AS50" s="135">
        <f t="shared" ca="1" si="28"/>
        <v>0.35512817665877133</v>
      </c>
      <c r="AU50" s="5">
        <f t="shared" si="48"/>
        <v>31</v>
      </c>
      <c r="AV50" s="148">
        <f t="shared" si="18"/>
        <v>39370</v>
      </c>
      <c r="AW50" s="41">
        <f t="shared" ca="1" si="19"/>
        <v>2177</v>
      </c>
      <c r="AX50" s="100">
        <f>VLOOKUP($A50,[1]!CurveTable,MATCH(AX$4,[1]!CurveType,0))</f>
        <v>4.8582412073313402E-2</v>
      </c>
      <c r="AY50" s="149">
        <f ca="1">1/(1+CHOOSE(F$3,(AX51+(Inputs!$B$14/10000))/2,(AX50+(Inputs!$B$14/10000))/2))^(2*AW50/365.25)</f>
        <v>0.751183893748677</v>
      </c>
      <c r="AZ50" s="41">
        <f t="shared" si="49"/>
        <v>1</v>
      </c>
      <c r="BA50" s="72">
        <f t="shared" si="50"/>
        <v>31</v>
      </c>
      <c r="BC50" s="65">
        <f t="shared" ca="1" si="29"/>
        <v>4522859.4446634408</v>
      </c>
      <c r="BD50" s="65">
        <f t="shared" ca="1" si="30"/>
        <v>4586897.8716055155</v>
      </c>
      <c r="BE50" s="65">
        <f t="shared" ca="1" si="31"/>
        <v>4586897.8716055155</v>
      </c>
      <c r="BF50" s="65">
        <f t="shared" ca="1" si="32"/>
        <v>349300.51059313479</v>
      </c>
      <c r="BG50" s="65">
        <f t="shared" ca="1" si="33"/>
        <v>349300.51059313479</v>
      </c>
      <c r="BH50" s="65">
        <f t="shared" ca="1" si="34"/>
        <v>349300.51059313479</v>
      </c>
      <c r="BI50" s="65">
        <f t="shared" ca="1" si="35"/>
        <v>0</v>
      </c>
      <c r="BJ50" s="65">
        <f t="shared" ca="1" si="36"/>
        <v>0</v>
      </c>
      <c r="BK50" s="65">
        <f t="shared" ca="1" si="37"/>
        <v>0</v>
      </c>
      <c r="BL50" s="65">
        <f t="shared" ca="1" si="38"/>
        <v>8150.3452471731453</v>
      </c>
      <c r="BM50" s="65">
        <f t="shared" ca="1" si="39"/>
        <v>8150.3452471731453</v>
      </c>
      <c r="BN50" s="65">
        <f t="shared" ca="1" si="40"/>
        <v>8150.3452471731453</v>
      </c>
      <c r="BO50" s="65">
        <f t="shared" ca="1" si="41"/>
        <v>11643.350353104493</v>
      </c>
      <c r="BP50" s="65">
        <f t="shared" ca="1" si="42"/>
        <v>0</v>
      </c>
      <c r="BQ50" s="65">
        <f t="shared" ca="1" si="43"/>
        <v>0</v>
      </c>
      <c r="BR50" s="65">
        <f t="shared" ca="1" si="44"/>
        <v>4936198.3821986504</v>
      </c>
      <c r="BS50" s="65">
        <f t="shared" ca="1" si="45"/>
        <v>4595048.2168526882</v>
      </c>
      <c r="BT50" s="65">
        <f t="shared" ca="1" si="46"/>
        <v>69860.10211862695</v>
      </c>
      <c r="BU50" s="65">
        <f t="shared" ca="1" si="23"/>
        <v>271290.06322733487</v>
      </c>
    </row>
    <row r="51" spans="1:73">
      <c r="A51" s="42">
        <f t="shared" si="24"/>
        <v>39387</v>
      </c>
      <c r="B51" s="30">
        <f>Inputs!$B$8</f>
        <v>50000</v>
      </c>
      <c r="C51" s="17">
        <f t="shared" si="5"/>
        <v>1500000</v>
      </c>
      <c r="D51" s="17">
        <f t="shared" ca="1" si="6"/>
        <v>1120935.8409093162</v>
      </c>
      <c r="E51" s="25">
        <f>VLOOKUP($A51,[1]!CurveTable,MATCH($E$4,[1]!CurveType,0))</f>
        <v>4.0324999999999998</v>
      </c>
      <c r="F51" s="31">
        <f>E51-Inputs!$B$16</f>
        <v>4.0874999999999995</v>
      </c>
      <c r="G51" s="43">
        <f t="shared" si="56"/>
        <v>4.0874999999999995</v>
      </c>
      <c r="H51" s="25">
        <f>VLOOKUP($A51,[1]!CurveTable,MATCH($H$4,[1]!CurveType,0))</f>
        <v>0.22</v>
      </c>
      <c r="I51" s="31">
        <f>H51+Inputs!$B$22</f>
        <v>0.22</v>
      </c>
      <c r="J51" s="44">
        <f t="shared" si="57"/>
        <v>0.22</v>
      </c>
      <c r="K51" s="25">
        <f>VLOOKUP($A51,[1]!CurveTable,MATCH($K$4,[1]!CurveType,0))</f>
        <v>0</v>
      </c>
      <c r="L51" s="31">
        <v>0</v>
      </c>
      <c r="M51" s="45">
        <f t="shared" si="58"/>
        <v>0</v>
      </c>
      <c r="N51" s="25">
        <f>VLOOKUP($A51,[1]!CurveTable,MATCH($N$4,[1]!CurveType,0))</f>
        <v>8.0000000000000002E-3</v>
      </c>
      <c r="O51" s="31">
        <f>N51+Inputs!$E$22</f>
        <v>8.0000000000000002E-3</v>
      </c>
      <c r="P51" s="45">
        <f t="shared" si="59"/>
        <v>8.0000000000000002E-3</v>
      </c>
      <c r="Q51" s="25">
        <f>VLOOKUP($A51,[1]!CurveTable,MATCH($Q$4,[1]!CurveType,0))</f>
        <v>7.4999999999999997E-3</v>
      </c>
      <c r="R51" s="31">
        <v>0</v>
      </c>
      <c r="S51" s="45">
        <f t="shared" si="60"/>
        <v>0</v>
      </c>
      <c r="T51" s="4"/>
      <c r="U51" s="159">
        <f t="shared" si="25"/>
        <v>4.3074999999999992</v>
      </c>
      <c r="V51" s="160"/>
      <c r="W51" s="100">
        <f>VLOOKUP($A51,[1]!CurveTable,MATCH($W$4,[1]!CurveType,0))+$W$9</f>
        <v>0.23250000000000001</v>
      </c>
      <c r="X51" s="100">
        <f>VLOOKUP($A51,[1]!CurveTable,MATCH($X$4,[1]!CurveType,0))+$X$9</f>
        <v>0.23750000000000002</v>
      </c>
      <c r="Y51" s="158">
        <f t="shared" ca="1" si="12"/>
        <v>0.24003368196622091</v>
      </c>
      <c r="Z51" s="4"/>
      <c r="AA51" s="159">
        <f t="shared" si="26"/>
        <v>4.0954999999999995</v>
      </c>
      <c r="AB51" s="160"/>
      <c r="AC51" s="100">
        <f>VLOOKUP($A51,[1]!CurveTable,MATCH($AC$4,[1]!CurveType,0))+$AC$9</f>
        <v>0.23250000000000001</v>
      </c>
      <c r="AD51" s="100">
        <f>VLOOKUP($A51,[1]!CurveTable,MATCH($AD$4,[1]!CurveType,0))+$AD$9</f>
        <v>0.23750000000000002</v>
      </c>
      <c r="AE51" s="158">
        <f t="shared" ca="1" si="13"/>
        <v>0.24003368196622091</v>
      </c>
      <c r="AF51" s="4"/>
      <c r="AG51" s="52">
        <f ca="1">((Inputs!$F$20*(X51*AD51)*(A51-$C$3))+(Inputs!$F$19*W51*AC51*(DAY(EOMONTH(A51,0))/2)))/(AN51*Y51*AE51)</f>
        <v>0.74999999999999989</v>
      </c>
      <c r="AH51" s="4"/>
      <c r="AI51" s="18">
        <f>Inputs!$B$15</f>
        <v>0.06</v>
      </c>
      <c r="AJ51" s="46"/>
      <c r="AK51" s="18">
        <f t="shared" si="14"/>
        <v>0.15199999999999975</v>
      </c>
      <c r="AL51" s="46"/>
      <c r="AM51" s="62">
        <f t="shared" si="15"/>
        <v>39355</v>
      </c>
      <c r="AN51" s="63">
        <f t="shared" ca="1" si="16"/>
        <v>2162</v>
      </c>
      <c r="AO51" s="63">
        <f t="shared" si="47"/>
        <v>1</v>
      </c>
      <c r="AP51" s="19"/>
      <c r="AQ51" s="74">
        <f ca="1">_xll.SPRDOPT(U51,AA51,AI51,AX51,X51,AD51,AG51,AN51,AO51,0)</f>
        <v>0.5685570425527432</v>
      </c>
      <c r="AR51" s="47">
        <f t="shared" ca="1" si="27"/>
        <v>852835.56382911478</v>
      </c>
      <c r="AS51" s="135">
        <f t="shared" ca="1" si="28"/>
        <v>0.41655704255274345</v>
      </c>
      <c r="AU51" s="5">
        <f t="shared" si="48"/>
        <v>30</v>
      </c>
      <c r="AV51" s="148">
        <f t="shared" si="18"/>
        <v>39401</v>
      </c>
      <c r="AW51" s="41">
        <f t="shared" ca="1" si="19"/>
        <v>2208</v>
      </c>
      <c r="AX51" s="100">
        <f>VLOOKUP($A51,[1]!CurveTable,MATCH(AX$4,[1]!CurveType,0))</f>
        <v>4.8772589311313105E-2</v>
      </c>
      <c r="AY51" s="149">
        <f ca="1">1/(1+CHOOSE(F$3,(AX52+(Inputs!$B$14/10000))/2,(AX51+(Inputs!$B$14/10000))/2))^(2*AW51/365.25)</f>
        <v>0.7472905606062108</v>
      </c>
      <c r="AZ51" s="41">
        <f t="shared" si="49"/>
        <v>1</v>
      </c>
      <c r="BA51" s="72">
        <f t="shared" si="50"/>
        <v>30</v>
      </c>
      <c r="BC51" s="65">
        <f t="shared" ca="1" si="29"/>
        <v>4520173.778466817</v>
      </c>
      <c r="BD51" s="65">
        <f t="shared" ca="1" si="30"/>
        <v>4581825.2497168295</v>
      </c>
      <c r="BE51" s="65">
        <f t="shared" ca="1" si="31"/>
        <v>4581825.2497168295</v>
      </c>
      <c r="BF51" s="65">
        <f t="shared" ca="1" si="32"/>
        <v>246605.88500004957</v>
      </c>
      <c r="BG51" s="65">
        <f t="shared" ca="1" si="33"/>
        <v>246605.88500004957</v>
      </c>
      <c r="BH51" s="65">
        <f t="shared" ca="1" si="34"/>
        <v>246605.88500004957</v>
      </c>
      <c r="BI51" s="65">
        <f t="shared" ca="1" si="35"/>
        <v>0</v>
      </c>
      <c r="BJ51" s="65">
        <f t="shared" ca="1" si="36"/>
        <v>0</v>
      </c>
      <c r="BK51" s="65">
        <f t="shared" ca="1" si="37"/>
        <v>0</v>
      </c>
      <c r="BL51" s="65">
        <f t="shared" ca="1" si="38"/>
        <v>8967.4867272745305</v>
      </c>
      <c r="BM51" s="65">
        <f t="shared" ca="1" si="39"/>
        <v>8967.4867272745305</v>
      </c>
      <c r="BN51" s="65">
        <f t="shared" ca="1" si="40"/>
        <v>8967.4867272745305</v>
      </c>
      <c r="BO51" s="65">
        <f t="shared" ca="1" si="41"/>
        <v>8407.0188068198713</v>
      </c>
      <c r="BP51" s="65">
        <f t="shared" ca="1" si="42"/>
        <v>0</v>
      </c>
      <c r="BQ51" s="65">
        <f t="shared" ca="1" si="43"/>
        <v>0</v>
      </c>
      <c r="BR51" s="65">
        <f t="shared" ca="1" si="44"/>
        <v>4828431.1347168786</v>
      </c>
      <c r="BS51" s="65">
        <f t="shared" ca="1" si="45"/>
        <v>4590792.7364441035</v>
      </c>
      <c r="BT51" s="65">
        <f t="shared" ca="1" si="46"/>
        <v>67256.150454558971</v>
      </c>
      <c r="BU51" s="65">
        <f t="shared" ca="1" si="23"/>
        <v>170382.24781821578</v>
      </c>
    </row>
    <row r="52" spans="1:73">
      <c r="A52" s="42">
        <f t="shared" si="24"/>
        <v>39417</v>
      </c>
      <c r="B52" s="30">
        <f>Inputs!$B$8</f>
        <v>50000</v>
      </c>
      <c r="C52" s="17">
        <f t="shared" si="5"/>
        <v>1550000</v>
      </c>
      <c r="D52" s="17">
        <f t="shared" ca="1" si="6"/>
        <v>1152455.6852032249</v>
      </c>
      <c r="E52" s="25">
        <f>VLOOKUP($A52,[1]!CurveTable,MATCH($E$4,[1]!CurveType,0))</f>
        <v>4.1844999999999999</v>
      </c>
      <c r="F52" s="31">
        <f>E52-Inputs!$B$16</f>
        <v>4.2394999999999996</v>
      </c>
      <c r="G52" s="43">
        <f t="shared" si="56"/>
        <v>4.2394999999999996</v>
      </c>
      <c r="H52" s="25">
        <f>VLOOKUP($A52,[1]!CurveTable,MATCH($H$4,[1]!CurveType,0))</f>
        <v>0.2</v>
      </c>
      <c r="I52" s="31">
        <f>H52+Inputs!$B$22</f>
        <v>0.2</v>
      </c>
      <c r="J52" s="44">
        <f t="shared" si="57"/>
        <v>0.2</v>
      </c>
      <c r="K52" s="25">
        <f>VLOOKUP($A52,[1]!CurveTable,MATCH($K$4,[1]!CurveType,0))</f>
        <v>0</v>
      </c>
      <c r="L52" s="31">
        <v>0</v>
      </c>
      <c r="M52" s="45">
        <f t="shared" si="58"/>
        <v>0</v>
      </c>
      <c r="N52" s="25">
        <f>VLOOKUP($A52,[1]!CurveTable,MATCH($N$4,[1]!CurveType,0))</f>
        <v>8.0000000000000002E-3</v>
      </c>
      <c r="O52" s="31">
        <f>N52+Inputs!$E$22</f>
        <v>8.0000000000000002E-3</v>
      </c>
      <c r="P52" s="45">
        <f t="shared" si="59"/>
        <v>8.0000000000000002E-3</v>
      </c>
      <c r="Q52" s="25">
        <f>VLOOKUP($A52,[1]!CurveTable,MATCH($Q$4,[1]!CurveType,0))</f>
        <v>7.4999999999999997E-3</v>
      </c>
      <c r="R52" s="31">
        <v>0</v>
      </c>
      <c r="S52" s="45">
        <f t="shared" si="60"/>
        <v>0</v>
      </c>
      <c r="T52" s="4"/>
      <c r="U52" s="159">
        <f t="shared" si="25"/>
        <v>4.4394999999999998</v>
      </c>
      <c r="V52" s="160"/>
      <c r="W52" s="100">
        <f>VLOOKUP($A52,[1]!CurveTable,MATCH($W$4,[1]!CurveType,0))+$W$9</f>
        <v>0.23250000000000001</v>
      </c>
      <c r="X52" s="100">
        <f>VLOOKUP($A52,[1]!CurveTable,MATCH($X$4,[1]!CurveType,0))+$X$9</f>
        <v>0.23750000000000002</v>
      </c>
      <c r="Y52" s="158">
        <f t="shared" ca="1" si="12"/>
        <v>0.23997014166276789</v>
      </c>
      <c r="Z52" s="4"/>
      <c r="AA52" s="159">
        <f t="shared" si="26"/>
        <v>4.2474999999999996</v>
      </c>
      <c r="AB52" s="160"/>
      <c r="AC52" s="100">
        <f>VLOOKUP($A52,[1]!CurveTable,MATCH($AC$4,[1]!CurveType,0))+$AC$9</f>
        <v>0.23250000000000001</v>
      </c>
      <c r="AD52" s="100">
        <f>VLOOKUP($A52,[1]!CurveTable,MATCH($AD$4,[1]!CurveType,0))+$AD$9</f>
        <v>0.23750000000000002</v>
      </c>
      <c r="AE52" s="158">
        <f t="shared" ca="1" si="13"/>
        <v>0.23997014166276789</v>
      </c>
      <c r="AF52" s="4"/>
      <c r="AG52" s="52">
        <f ca="1">((Inputs!$F$20*(X52*AD52)*(A52-$C$3))+(Inputs!$F$19*W52*AC52*(DAY(EOMONTH(A52,0))/2)))/(AN52*Y52*AE52)</f>
        <v>0.74999999999999989</v>
      </c>
      <c r="AH52" s="4"/>
      <c r="AI52" s="18">
        <f>Inputs!$B$15</f>
        <v>0.06</v>
      </c>
      <c r="AJ52" s="46"/>
      <c r="AK52" s="18">
        <f t="shared" si="14"/>
        <v>0.13200000000000017</v>
      </c>
      <c r="AL52" s="46"/>
      <c r="AM52" s="62">
        <f t="shared" si="15"/>
        <v>39386</v>
      </c>
      <c r="AN52" s="63">
        <f t="shared" ca="1" si="16"/>
        <v>2193</v>
      </c>
      <c r="AO52" s="63">
        <f t="shared" si="47"/>
        <v>1</v>
      </c>
      <c r="AP52" s="19"/>
      <c r="AQ52" s="74">
        <f ca="1">_xll.SPRDOPT(U52,AA52,AI52,AX52,X52,AD52,AG52,AN52,AO52,0)</f>
        <v>0.57841567802373761</v>
      </c>
      <c r="AR52" s="47">
        <f t="shared" ca="1" si="27"/>
        <v>896544.30093679333</v>
      </c>
      <c r="AS52" s="135">
        <f t="shared" ca="1" si="28"/>
        <v>0.44641567802373744</v>
      </c>
      <c r="AU52" s="5">
        <f t="shared" si="48"/>
        <v>31</v>
      </c>
      <c r="AV52" s="148">
        <f t="shared" si="18"/>
        <v>39431</v>
      </c>
      <c r="AW52" s="41">
        <f t="shared" ca="1" si="19"/>
        <v>2238</v>
      </c>
      <c r="AX52" s="100">
        <f>VLOOKUP($A52,[1]!CurveTable,MATCH(AX$4,[1]!CurveType,0))</f>
        <v>4.8956631811204701E-2</v>
      </c>
      <c r="AY52" s="149">
        <f ca="1">1/(1+CHOOSE(F$3,(AX53+(Inputs!$B$14/10000))/2,(AX52+(Inputs!$B$14/10000))/2))^(2*AW52/365.25)</f>
        <v>0.74351979690530634</v>
      </c>
      <c r="AZ52" s="41">
        <f t="shared" si="49"/>
        <v>1</v>
      </c>
      <c r="BA52" s="72">
        <f t="shared" si="50"/>
        <v>31</v>
      </c>
      <c r="BC52" s="65">
        <f t="shared" ca="1" si="29"/>
        <v>4822450.8147328943</v>
      </c>
      <c r="BD52" s="65">
        <f t="shared" ca="1" si="30"/>
        <v>4885835.8774190713</v>
      </c>
      <c r="BE52" s="65">
        <f t="shared" ca="1" si="31"/>
        <v>4885835.8774190713</v>
      </c>
      <c r="BF52" s="65">
        <f t="shared" ca="1" si="32"/>
        <v>230491.137040645</v>
      </c>
      <c r="BG52" s="65">
        <f t="shared" ca="1" si="33"/>
        <v>230491.137040645</v>
      </c>
      <c r="BH52" s="65">
        <f t="shared" ca="1" si="34"/>
        <v>230491.137040645</v>
      </c>
      <c r="BI52" s="65">
        <f t="shared" ca="1" si="35"/>
        <v>0</v>
      </c>
      <c r="BJ52" s="65">
        <f t="shared" ca="1" si="36"/>
        <v>0</v>
      </c>
      <c r="BK52" s="65">
        <f t="shared" ca="1" si="37"/>
        <v>0</v>
      </c>
      <c r="BL52" s="65">
        <f t="shared" ca="1" si="38"/>
        <v>9219.6454816257992</v>
      </c>
      <c r="BM52" s="65">
        <f t="shared" ca="1" si="39"/>
        <v>9219.6454816257992</v>
      </c>
      <c r="BN52" s="65">
        <f t="shared" ca="1" si="40"/>
        <v>9219.6454816257992</v>
      </c>
      <c r="BO52" s="65">
        <f t="shared" ca="1" si="41"/>
        <v>8643.4176390241864</v>
      </c>
      <c r="BP52" s="65">
        <f t="shared" ca="1" si="42"/>
        <v>0</v>
      </c>
      <c r="BQ52" s="65">
        <f t="shared" ca="1" si="43"/>
        <v>0</v>
      </c>
      <c r="BR52" s="65">
        <f t="shared" ca="1" si="44"/>
        <v>5116327.0144597171</v>
      </c>
      <c r="BS52" s="65">
        <f t="shared" ca="1" si="45"/>
        <v>4895055.5229006968</v>
      </c>
      <c r="BT52" s="65">
        <f t="shared" ca="1" si="46"/>
        <v>69147.341112193491</v>
      </c>
      <c r="BU52" s="65">
        <f t="shared" ca="1" si="23"/>
        <v>152124.15044682589</v>
      </c>
    </row>
    <row r="53" spans="1:73">
      <c r="A53" s="42">
        <f t="shared" si="24"/>
        <v>39448</v>
      </c>
      <c r="B53" s="30">
        <f>Inputs!$B$8</f>
        <v>50000</v>
      </c>
      <c r="C53" s="17">
        <f t="shared" si="5"/>
        <v>1550000</v>
      </c>
      <c r="D53" s="17">
        <f t="shared" ca="1" si="6"/>
        <v>1146411.7366574018</v>
      </c>
      <c r="E53" s="25">
        <f>VLOOKUP($A53,[1]!CurveTable,MATCH($E$4,[1]!CurveType,0))</f>
        <v>4.2519999999999998</v>
      </c>
      <c r="F53" s="31">
        <f>E53-Inputs!$B$16</f>
        <v>4.3069999999999995</v>
      </c>
      <c r="G53" s="43">
        <f t="shared" si="56"/>
        <v>4.3069999999999995</v>
      </c>
      <c r="H53" s="25">
        <f>VLOOKUP($A53,[1]!CurveTable,MATCH($H$4,[1]!CurveType,0))</f>
        <v>7.4999999999999997E-2</v>
      </c>
      <c r="I53" s="31">
        <f>H53+Inputs!$B$22</f>
        <v>7.4999999999999997E-2</v>
      </c>
      <c r="J53" s="44">
        <f t="shared" si="57"/>
        <v>7.4999999999999997E-2</v>
      </c>
      <c r="K53" s="25">
        <f>VLOOKUP($A53,[1]!CurveTable,MATCH($K$4,[1]!CurveType,0))</f>
        <v>0</v>
      </c>
      <c r="L53" s="31">
        <v>0</v>
      </c>
      <c r="M53" s="45">
        <f t="shared" si="58"/>
        <v>0</v>
      </c>
      <c r="N53" s="25">
        <f>VLOOKUP($A53,[1]!CurveTable,MATCH($N$4,[1]!CurveType,0))</f>
        <v>8.0000000000000002E-3</v>
      </c>
      <c r="O53" s="31">
        <f>N53+Inputs!$E$22</f>
        <v>8.0000000000000002E-3</v>
      </c>
      <c r="P53" s="45">
        <f t="shared" si="59"/>
        <v>8.0000000000000002E-3</v>
      </c>
      <c r="Q53" s="25">
        <f>VLOOKUP($A53,[1]!CurveTable,MATCH($Q$4,[1]!CurveType,0))</f>
        <v>7.4999999999999997E-3</v>
      </c>
      <c r="R53" s="31">
        <v>0</v>
      </c>
      <c r="S53" s="45">
        <f t="shared" si="60"/>
        <v>0</v>
      </c>
      <c r="T53" s="4"/>
      <c r="U53" s="159">
        <f t="shared" si="25"/>
        <v>4.3819999999999997</v>
      </c>
      <c r="V53" s="160"/>
      <c r="W53" s="100">
        <f>VLOOKUP($A53,[1]!CurveTable,MATCH($W$4,[1]!CurveType,0))+$W$9</f>
        <v>0.23250000000000001</v>
      </c>
      <c r="X53" s="100">
        <f>VLOOKUP($A53,[1]!CurveTable,MATCH($X$4,[1]!CurveType,0))+$X$9</f>
        <v>0.23750000000000002</v>
      </c>
      <c r="Y53" s="158">
        <f t="shared" ca="1" si="12"/>
        <v>0.23998984611242832</v>
      </c>
      <c r="Z53" s="4"/>
      <c r="AA53" s="159">
        <f t="shared" si="26"/>
        <v>4.3149999999999995</v>
      </c>
      <c r="AB53" s="160"/>
      <c r="AC53" s="100">
        <f>VLOOKUP($A53,[1]!CurveTable,MATCH($AC$4,[1]!CurveType,0))+$AC$9</f>
        <v>0.23250000000000001</v>
      </c>
      <c r="AD53" s="100">
        <f>VLOOKUP($A53,[1]!CurveTable,MATCH($AD$4,[1]!CurveType,0))+$AD$9</f>
        <v>0.23750000000000002</v>
      </c>
      <c r="AE53" s="158">
        <f t="shared" ca="1" si="13"/>
        <v>0.23998984611242832</v>
      </c>
      <c r="AF53" s="4"/>
      <c r="AG53" s="52">
        <f ca="1">((Inputs!$F$20*(X53*AD53)*(A53-$C$3))+(Inputs!$F$19*W53*AC53*(DAY(EOMONTH(A53,0))/2)))/(AN53*Y53*AE53)</f>
        <v>0.75000000000000022</v>
      </c>
      <c r="AH53" s="4"/>
      <c r="AI53" s="18">
        <f>Inputs!$B$15</f>
        <v>0.06</v>
      </c>
      <c r="AJ53" s="46"/>
      <c r="AK53" s="18">
        <f t="shared" si="14"/>
        <v>7.0000000000001728E-3</v>
      </c>
      <c r="AL53" s="46"/>
      <c r="AM53" s="62">
        <f t="shared" si="15"/>
        <v>39416</v>
      </c>
      <c r="AN53" s="63">
        <f t="shared" ca="1" si="16"/>
        <v>2223</v>
      </c>
      <c r="AO53" s="63">
        <f t="shared" si="47"/>
        <v>1</v>
      </c>
      <c r="AP53" s="19"/>
      <c r="AQ53" s="74">
        <f ca="1">_xll.SPRDOPT(U53,AA53,AI53,AX53,X53,AD53,AG53,AN53,AO53,0)</f>
        <v>0.53184241649225483</v>
      </c>
      <c r="AR53" s="47">
        <f t="shared" ca="1" si="27"/>
        <v>824355.74556299497</v>
      </c>
      <c r="AS53" s="135">
        <f t="shared" ca="1" si="28"/>
        <v>0.52484241649225472</v>
      </c>
      <c r="AU53" s="5">
        <f t="shared" si="48"/>
        <v>31</v>
      </c>
      <c r="AV53" s="148">
        <f t="shared" si="18"/>
        <v>39462</v>
      </c>
      <c r="AW53" s="41">
        <f t="shared" ca="1" si="19"/>
        <v>2269</v>
      </c>
      <c r="AX53" s="100">
        <f>VLOOKUP($A53,[1]!CurveTable,MATCH(AX$4,[1]!CurveType,0))</f>
        <v>4.9146809072979601E-2</v>
      </c>
      <c r="AY53" s="149">
        <f ca="1">1/(1+CHOOSE(F$3,(AX54+(Inputs!$B$14/10000))/2,(AX53+(Inputs!$B$14/10000))/2))^(2*AW53/365.25)</f>
        <v>0.7396204752628398</v>
      </c>
      <c r="AZ53" s="41">
        <f t="shared" si="49"/>
        <v>1</v>
      </c>
      <c r="BA53" s="72">
        <f t="shared" si="50"/>
        <v>31</v>
      </c>
      <c r="BC53" s="65">
        <f t="shared" ca="1" si="29"/>
        <v>4874542.7042672718</v>
      </c>
      <c r="BD53" s="65">
        <f t="shared" ca="1" si="30"/>
        <v>4937595.3497834289</v>
      </c>
      <c r="BE53" s="65">
        <f t="shared" ca="1" si="31"/>
        <v>4937595.3497834289</v>
      </c>
      <c r="BF53" s="65">
        <f t="shared" ca="1" si="32"/>
        <v>85980.880249305133</v>
      </c>
      <c r="BG53" s="65">
        <f t="shared" ca="1" si="33"/>
        <v>85980.880249305133</v>
      </c>
      <c r="BH53" s="65">
        <f t="shared" ca="1" si="34"/>
        <v>85980.880249305133</v>
      </c>
      <c r="BI53" s="65">
        <f t="shared" ca="1" si="35"/>
        <v>0</v>
      </c>
      <c r="BJ53" s="65">
        <f t="shared" ca="1" si="36"/>
        <v>0</v>
      </c>
      <c r="BK53" s="65">
        <f t="shared" ca="1" si="37"/>
        <v>0</v>
      </c>
      <c r="BL53" s="65">
        <f t="shared" ca="1" si="38"/>
        <v>9171.2938932592151</v>
      </c>
      <c r="BM53" s="65">
        <f t="shared" ca="1" si="39"/>
        <v>9171.2938932592151</v>
      </c>
      <c r="BN53" s="65">
        <f t="shared" ca="1" si="40"/>
        <v>9171.2938932592151</v>
      </c>
      <c r="BO53" s="65">
        <f t="shared" ca="1" si="41"/>
        <v>8598.0880249305137</v>
      </c>
      <c r="BP53" s="65">
        <f t="shared" ca="1" si="42"/>
        <v>0</v>
      </c>
      <c r="BQ53" s="65">
        <f t="shared" ca="1" si="43"/>
        <v>0</v>
      </c>
      <c r="BR53" s="65">
        <f t="shared" ca="1" si="44"/>
        <v>5023576.2300327346</v>
      </c>
      <c r="BS53" s="65">
        <f t="shared" ca="1" si="45"/>
        <v>4946766.643676688</v>
      </c>
      <c r="BT53" s="65">
        <f t="shared" ca="1" si="46"/>
        <v>68784.70419944411</v>
      </c>
      <c r="BU53" s="65">
        <f t="shared" ca="1" si="23"/>
        <v>8024.8821566020106</v>
      </c>
    </row>
    <row r="54" spans="1:73">
      <c r="A54" s="42">
        <f t="shared" si="24"/>
        <v>39479</v>
      </c>
      <c r="B54" s="30">
        <f>Inputs!$B$8</f>
        <v>50000</v>
      </c>
      <c r="C54" s="17">
        <f t="shared" si="5"/>
        <v>1450000</v>
      </c>
      <c r="D54" s="17">
        <f t="shared" ca="1" si="6"/>
        <v>1066791.8261014472</v>
      </c>
      <c r="E54" s="25">
        <f>VLOOKUP($A54,[1]!CurveTable,MATCH($E$4,[1]!CurveType,0))</f>
        <v>4.165</v>
      </c>
      <c r="F54" s="31">
        <f>E54-Inputs!$B$16</f>
        <v>4.22</v>
      </c>
      <c r="G54" s="43">
        <f t="shared" si="56"/>
        <v>4.22</v>
      </c>
      <c r="H54" s="25">
        <f>VLOOKUP($A54,[1]!CurveTable,MATCH($H$4,[1]!CurveType,0))</f>
        <v>7.4999999999999997E-2</v>
      </c>
      <c r="I54" s="31">
        <f>H54+Inputs!$B$22</f>
        <v>7.4999999999999997E-2</v>
      </c>
      <c r="J54" s="44">
        <f t="shared" si="57"/>
        <v>7.4999999999999997E-2</v>
      </c>
      <c r="K54" s="25">
        <f>VLOOKUP($A54,[1]!CurveTable,MATCH($K$4,[1]!CurveType,0))</f>
        <v>0</v>
      </c>
      <c r="L54" s="31">
        <v>0</v>
      </c>
      <c r="M54" s="45">
        <f t="shared" si="58"/>
        <v>0</v>
      </c>
      <c r="N54" s="25">
        <f>VLOOKUP($A54,[1]!CurveTable,MATCH($N$4,[1]!CurveType,0))</f>
        <v>8.0000000000000002E-3</v>
      </c>
      <c r="O54" s="31">
        <f>N54+Inputs!$E$22</f>
        <v>8.0000000000000002E-3</v>
      </c>
      <c r="P54" s="45">
        <f t="shared" si="59"/>
        <v>8.0000000000000002E-3</v>
      </c>
      <c r="Q54" s="25">
        <f>VLOOKUP($A54,[1]!CurveTable,MATCH($Q$4,[1]!CurveType,0))</f>
        <v>7.4999999999999997E-3</v>
      </c>
      <c r="R54" s="31">
        <v>0</v>
      </c>
      <c r="S54" s="45">
        <f t="shared" si="60"/>
        <v>0</v>
      </c>
      <c r="T54" s="4"/>
      <c r="U54" s="159">
        <f t="shared" si="25"/>
        <v>4.2949999999999999</v>
      </c>
      <c r="V54" s="160"/>
      <c r="W54" s="100">
        <f>VLOOKUP($A54,[1]!CurveTable,MATCH($W$4,[1]!CurveType,0))+$W$9</f>
        <v>0.23250000000000001</v>
      </c>
      <c r="X54" s="100">
        <f>VLOOKUP($A54,[1]!CurveTable,MATCH($X$4,[1]!CurveType,0))+$X$9</f>
        <v>0.23750000000000002</v>
      </c>
      <c r="Y54" s="158">
        <f t="shared" ca="1" si="12"/>
        <v>0.2399057999887336</v>
      </c>
      <c r="Z54" s="4"/>
      <c r="AA54" s="159">
        <f t="shared" si="26"/>
        <v>4.2279999999999998</v>
      </c>
      <c r="AB54" s="160"/>
      <c r="AC54" s="100">
        <f>VLOOKUP($A54,[1]!CurveTable,MATCH($AC$4,[1]!CurveType,0))+$AC$9</f>
        <v>0.23250000000000001</v>
      </c>
      <c r="AD54" s="100">
        <f>VLOOKUP($A54,[1]!CurveTable,MATCH($AD$4,[1]!CurveType,0))+$AD$9</f>
        <v>0.23750000000000002</v>
      </c>
      <c r="AE54" s="158">
        <f t="shared" ca="1" si="13"/>
        <v>0.2399057999887336</v>
      </c>
      <c r="AF54" s="4"/>
      <c r="AG54" s="52">
        <f ca="1">((Inputs!$F$20*(X54*AD54)*(A54-$C$3))+(Inputs!$F$19*W54*AC54*(DAY(EOMONTH(A54,0))/2)))/(AN54*Y54*AE54)</f>
        <v>0.75000000000000011</v>
      </c>
      <c r="AH54" s="4"/>
      <c r="AI54" s="18">
        <f>Inputs!$B$15</f>
        <v>0.06</v>
      </c>
      <c r="AJ54" s="46"/>
      <c r="AK54" s="18">
        <f t="shared" si="14"/>
        <v>7.0000000000001728E-3</v>
      </c>
      <c r="AL54" s="46"/>
      <c r="AM54" s="62">
        <f t="shared" si="15"/>
        <v>39447</v>
      </c>
      <c r="AN54" s="63">
        <f t="shared" ca="1" si="16"/>
        <v>2254</v>
      </c>
      <c r="AO54" s="63">
        <f t="shared" si="47"/>
        <v>1</v>
      </c>
      <c r="AP54" s="19"/>
      <c r="AQ54" s="74">
        <f ca="1">_xll.SPRDOPT(U54,AA54,AI54,AX54,X54,AD54,AG54,AN54,AO54,0)</f>
        <v>0.52201297038271011</v>
      </c>
      <c r="AR54" s="47">
        <f t="shared" ca="1" si="27"/>
        <v>756918.80705492967</v>
      </c>
      <c r="AS54" s="135">
        <f t="shared" ca="1" si="28"/>
        <v>0.51501297038270999</v>
      </c>
      <c r="AU54" s="5">
        <f t="shared" si="48"/>
        <v>29</v>
      </c>
      <c r="AV54" s="148">
        <f t="shared" si="18"/>
        <v>39493</v>
      </c>
      <c r="AW54" s="41">
        <f t="shared" ca="1" si="19"/>
        <v>2300</v>
      </c>
      <c r="AX54" s="100">
        <f>VLOOKUP($A54,[1]!CurveTable,MATCH(AX$4,[1]!CurveType,0))</f>
        <v>4.9336986346835102E-2</v>
      </c>
      <c r="AY54" s="149">
        <f ca="1">1/(1+CHOOSE(F$3,(AX55+(Inputs!$B$14/10000))/2,(AX54+(Inputs!$B$14/10000))/2))^(2*AW54/365.25)</f>
        <v>0.73571850075961875</v>
      </c>
      <c r="AZ54" s="41">
        <f t="shared" si="49"/>
        <v>1</v>
      </c>
      <c r="BA54" s="72">
        <f t="shared" si="50"/>
        <v>29</v>
      </c>
      <c r="BC54" s="65">
        <f t="shared" ca="1" si="29"/>
        <v>4443187.955712528</v>
      </c>
      <c r="BD54" s="65">
        <f t="shared" ca="1" si="30"/>
        <v>4501861.5061481073</v>
      </c>
      <c r="BE54" s="65">
        <f t="shared" ca="1" si="31"/>
        <v>4501861.5061481073</v>
      </c>
      <c r="BF54" s="65">
        <f t="shared" ca="1" si="32"/>
        <v>80009.386957608542</v>
      </c>
      <c r="BG54" s="65">
        <f t="shared" ca="1" si="33"/>
        <v>80009.386957608542</v>
      </c>
      <c r="BH54" s="65">
        <f t="shared" ca="1" si="34"/>
        <v>80009.386957608542</v>
      </c>
      <c r="BI54" s="65">
        <f t="shared" ca="1" si="35"/>
        <v>0</v>
      </c>
      <c r="BJ54" s="65">
        <f t="shared" ca="1" si="36"/>
        <v>0</v>
      </c>
      <c r="BK54" s="65">
        <f t="shared" ca="1" si="37"/>
        <v>0</v>
      </c>
      <c r="BL54" s="65">
        <f t="shared" ca="1" si="38"/>
        <v>8534.3346088115777</v>
      </c>
      <c r="BM54" s="65">
        <f t="shared" ca="1" si="39"/>
        <v>8534.3346088115777</v>
      </c>
      <c r="BN54" s="65">
        <f t="shared" ca="1" si="40"/>
        <v>8534.3346088115777</v>
      </c>
      <c r="BO54" s="65">
        <f t="shared" ca="1" si="41"/>
        <v>8000.938695760854</v>
      </c>
      <c r="BP54" s="65">
        <f t="shared" ca="1" si="42"/>
        <v>0</v>
      </c>
      <c r="BQ54" s="65">
        <f t="shared" ca="1" si="43"/>
        <v>0</v>
      </c>
      <c r="BR54" s="65">
        <f t="shared" ca="1" si="44"/>
        <v>4581870.8931057155</v>
      </c>
      <c r="BS54" s="65">
        <f t="shared" ca="1" si="45"/>
        <v>4510395.8407569183</v>
      </c>
      <c r="BT54" s="65">
        <f t="shared" ca="1" si="46"/>
        <v>64007.509566086832</v>
      </c>
      <c r="BU54" s="65">
        <f t="shared" ca="1" si="23"/>
        <v>7467.5427827103149</v>
      </c>
    </row>
    <row r="55" spans="1:73">
      <c r="A55" s="42">
        <f t="shared" si="24"/>
        <v>39508</v>
      </c>
      <c r="B55" s="30">
        <f>Inputs!$B$8</f>
        <v>50000</v>
      </c>
      <c r="C55" s="17">
        <f t="shared" si="5"/>
        <v>1550000</v>
      </c>
      <c r="D55" s="17">
        <f t="shared" ca="1" si="6"/>
        <v>1134702.4497851687</v>
      </c>
      <c r="E55" s="25">
        <f>VLOOKUP($A55,[1]!CurveTable,MATCH($E$4,[1]!CurveType,0))</f>
        <v>4.0259999999999998</v>
      </c>
      <c r="F55" s="31">
        <f>E55-Inputs!$B$16</f>
        <v>4.0809999999999995</v>
      </c>
      <c r="G55" s="43">
        <f t="shared" si="56"/>
        <v>4.0809999999999995</v>
      </c>
      <c r="H55" s="25">
        <f>VLOOKUP($A55,[1]!CurveTable,MATCH($H$4,[1]!CurveType,0))</f>
        <v>0.18</v>
      </c>
      <c r="I55" s="31">
        <f>H55+Inputs!$B$22</f>
        <v>0.18</v>
      </c>
      <c r="J55" s="44">
        <f t="shared" si="57"/>
        <v>0.18</v>
      </c>
      <c r="K55" s="25">
        <f>VLOOKUP($A55,[1]!CurveTable,MATCH($K$4,[1]!CurveType,0))</f>
        <v>0</v>
      </c>
      <c r="L55" s="31">
        <v>0</v>
      </c>
      <c r="M55" s="45">
        <f t="shared" si="58"/>
        <v>0</v>
      </c>
      <c r="N55" s="25">
        <f>VLOOKUP($A55,[1]!CurveTable,MATCH($N$4,[1]!CurveType,0))</f>
        <v>1.2E-2</v>
      </c>
      <c r="O55" s="31">
        <f>N55+Inputs!$E$22</f>
        <v>1.2E-2</v>
      </c>
      <c r="P55" s="45">
        <f t="shared" si="59"/>
        <v>1.2E-2</v>
      </c>
      <c r="Q55" s="25">
        <f>VLOOKUP($A55,[1]!CurveTable,MATCH($Q$4,[1]!CurveType,0))</f>
        <v>7.4999999999999997E-3</v>
      </c>
      <c r="R55" s="31">
        <v>0</v>
      </c>
      <c r="S55" s="45">
        <f t="shared" si="60"/>
        <v>0</v>
      </c>
      <c r="T55" s="4"/>
      <c r="U55" s="159">
        <f t="shared" si="25"/>
        <v>4.2609999999999992</v>
      </c>
      <c r="V55" s="160"/>
      <c r="W55" s="100">
        <f>VLOOKUP($A55,[1]!CurveTable,MATCH($W$4,[1]!CurveType,0))+$W$9</f>
        <v>0.2225</v>
      </c>
      <c r="X55" s="100">
        <f>VLOOKUP($A55,[1]!CurveTable,MATCH($X$4,[1]!CurveType,0))+$X$9</f>
        <v>0.22750000000000001</v>
      </c>
      <c r="Y55" s="158">
        <f t="shared" ca="1" si="12"/>
        <v>0.22972066152267573</v>
      </c>
      <c r="Z55" s="4"/>
      <c r="AA55" s="159">
        <f t="shared" si="26"/>
        <v>4.0929999999999991</v>
      </c>
      <c r="AB55" s="160"/>
      <c r="AC55" s="100">
        <f>VLOOKUP($A55,[1]!CurveTable,MATCH($AC$4,[1]!CurveType,0))+$AC$9</f>
        <v>0.2225</v>
      </c>
      <c r="AD55" s="100">
        <f>VLOOKUP($A55,[1]!CurveTable,MATCH($AD$4,[1]!CurveType,0))+$AD$9</f>
        <v>0.22750000000000001</v>
      </c>
      <c r="AE55" s="158">
        <f t="shared" ca="1" si="13"/>
        <v>0.22972066152267573</v>
      </c>
      <c r="AF55" s="4"/>
      <c r="AG55" s="52">
        <f ca="1">((Inputs!$F$20*(X55*AD55)*(A55-$C$3))+(Inputs!$F$19*W55*AC55*(DAY(EOMONTH(A55,0))/2)))/(AN55*Y55*AE55)</f>
        <v>0.75000000000000022</v>
      </c>
      <c r="AH55" s="4"/>
      <c r="AI55" s="18">
        <f>Inputs!$B$15</f>
        <v>0.06</v>
      </c>
      <c r="AJ55" s="46"/>
      <c r="AK55" s="18">
        <f t="shared" si="14"/>
        <v>0.10800000000000015</v>
      </c>
      <c r="AL55" s="46"/>
      <c r="AM55" s="62">
        <f t="shared" si="15"/>
        <v>39478</v>
      </c>
      <c r="AN55" s="63">
        <f t="shared" ca="1" si="16"/>
        <v>2285</v>
      </c>
      <c r="AO55" s="63">
        <f t="shared" si="47"/>
        <v>1</v>
      </c>
      <c r="AP55" s="19"/>
      <c r="AQ55" s="74">
        <f ca="1">_xll.SPRDOPT(U55,AA55,AI55,AX55,X55,AD55,AG55,AN55,AO55,0)</f>
        <v>0.52927550282902069</v>
      </c>
      <c r="AR55" s="47">
        <f t="shared" ca="1" si="27"/>
        <v>820377.02938498207</v>
      </c>
      <c r="AS55" s="135">
        <f t="shared" ca="1" si="28"/>
        <v>0.42127550282902054</v>
      </c>
      <c r="AU55" s="5">
        <f t="shared" si="48"/>
        <v>31</v>
      </c>
      <c r="AV55" s="148">
        <f t="shared" si="18"/>
        <v>39522</v>
      </c>
      <c r="AW55" s="41">
        <f t="shared" ca="1" si="19"/>
        <v>2329</v>
      </c>
      <c r="AX55" s="100">
        <f>VLOOKUP($A55,[1]!CurveTable,MATCH(AX$4,[1]!CurveType,0))</f>
        <v>4.9514894130087098E-2</v>
      </c>
      <c r="AY55" s="149">
        <f ca="1">1/(1+CHOOSE(F$3,(AX56+(Inputs!$B$14/10000))/2,(AX55+(Inputs!$B$14/10000))/2))^(2*AW55/365.25)</f>
        <v>0.73206609663559274</v>
      </c>
      <c r="AZ55" s="41">
        <f t="shared" si="49"/>
        <v>1</v>
      </c>
      <c r="BA55" s="72">
        <f t="shared" si="50"/>
        <v>31</v>
      </c>
      <c r="BC55" s="65">
        <f t="shared" ca="1" si="29"/>
        <v>4568312.0628350889</v>
      </c>
      <c r="BD55" s="65">
        <f t="shared" ca="1" si="30"/>
        <v>4630720.6975732734</v>
      </c>
      <c r="BE55" s="65">
        <f t="shared" ca="1" si="31"/>
        <v>4630720.6975732734</v>
      </c>
      <c r="BF55" s="65">
        <f t="shared" ca="1" si="32"/>
        <v>204246.44096133037</v>
      </c>
      <c r="BG55" s="65">
        <f t="shared" ca="1" si="33"/>
        <v>204246.44096133037</v>
      </c>
      <c r="BH55" s="65">
        <f t="shared" ca="1" si="34"/>
        <v>204246.44096133037</v>
      </c>
      <c r="BI55" s="65">
        <f t="shared" ca="1" si="35"/>
        <v>0</v>
      </c>
      <c r="BJ55" s="65">
        <f t="shared" ca="1" si="36"/>
        <v>0</v>
      </c>
      <c r="BK55" s="65">
        <f t="shared" ca="1" si="37"/>
        <v>0</v>
      </c>
      <c r="BL55" s="65">
        <f t="shared" ca="1" si="38"/>
        <v>13616.429397422025</v>
      </c>
      <c r="BM55" s="65">
        <f t="shared" ca="1" si="39"/>
        <v>13616.429397422025</v>
      </c>
      <c r="BN55" s="65">
        <f t="shared" ca="1" si="40"/>
        <v>13616.429397422025</v>
      </c>
      <c r="BO55" s="65">
        <f t="shared" ca="1" si="41"/>
        <v>8510.2683733887661</v>
      </c>
      <c r="BP55" s="65">
        <f t="shared" ca="1" si="42"/>
        <v>0</v>
      </c>
      <c r="BQ55" s="65">
        <f t="shared" ca="1" si="43"/>
        <v>0</v>
      </c>
      <c r="BR55" s="65">
        <f t="shared" ca="1" si="44"/>
        <v>4834967.1385346027</v>
      </c>
      <c r="BS55" s="65">
        <f t="shared" ca="1" si="45"/>
        <v>4644337.1269706944</v>
      </c>
      <c r="BT55" s="65">
        <f t="shared" ca="1" si="46"/>
        <v>68082.146987110129</v>
      </c>
      <c r="BU55" s="65">
        <f t="shared" ca="1" si="23"/>
        <v>122547.8645767984</v>
      </c>
    </row>
    <row r="56" spans="1:73">
      <c r="A56" s="42">
        <f t="shared" si="24"/>
        <v>39539</v>
      </c>
      <c r="B56" s="30">
        <f>Inputs!$B$8</f>
        <v>50000</v>
      </c>
      <c r="C56" s="17">
        <f t="shared" si="5"/>
        <v>1500000</v>
      </c>
      <c r="D56" s="17">
        <f t="shared" ca="1" si="6"/>
        <v>1092239.5944119643</v>
      </c>
      <c r="E56" s="25">
        <f>VLOOKUP($A56,[1]!CurveTable,MATCH($E$4,[1]!CurveType,0))</f>
        <v>3.8720000000000003</v>
      </c>
      <c r="F56" s="31">
        <f>E56-Inputs!$B$16</f>
        <v>3.9270000000000005</v>
      </c>
      <c r="G56" s="43">
        <f t="shared" si="56"/>
        <v>3.9270000000000005</v>
      </c>
      <c r="H56" s="25">
        <f>VLOOKUP($A56,[1]!CurveTable,MATCH($H$4,[1]!CurveType,0))</f>
        <v>0.55000000000000004</v>
      </c>
      <c r="I56" s="31">
        <f>H56+Inputs!$B$22</f>
        <v>0.55000000000000004</v>
      </c>
      <c r="J56" s="44">
        <f t="shared" si="57"/>
        <v>0.55000000000000004</v>
      </c>
      <c r="K56" s="25">
        <f>VLOOKUP($A56,[1]!CurveTable,MATCH($K$4,[1]!CurveType,0))</f>
        <v>0</v>
      </c>
      <c r="L56" s="31">
        <v>0</v>
      </c>
      <c r="M56" s="45">
        <f t="shared" si="58"/>
        <v>0</v>
      </c>
      <c r="N56" s="25">
        <f>VLOOKUP($A56,[1]!CurveTable,MATCH($N$4,[1]!CurveType,0))</f>
        <v>1.2E-2</v>
      </c>
      <c r="O56" s="31">
        <f>N56+Inputs!$E$22</f>
        <v>1.2E-2</v>
      </c>
      <c r="P56" s="45">
        <f t="shared" si="59"/>
        <v>1.2E-2</v>
      </c>
      <c r="Q56" s="25">
        <f>VLOOKUP($A56,[1]!CurveTable,MATCH($Q$4,[1]!CurveType,0))</f>
        <v>0.01</v>
      </c>
      <c r="R56" s="31">
        <v>0</v>
      </c>
      <c r="S56" s="45">
        <f t="shared" si="60"/>
        <v>0</v>
      </c>
      <c r="T56" s="4"/>
      <c r="U56" s="159">
        <f t="shared" si="25"/>
        <v>4.4770000000000003</v>
      </c>
      <c r="V56" s="160"/>
      <c r="W56" s="100">
        <f>VLOOKUP($A56,[1]!CurveTable,MATCH($W$4,[1]!CurveType,0))+$W$9</f>
        <v>0.2225</v>
      </c>
      <c r="X56" s="100">
        <f>VLOOKUP($A56,[1]!CurveTable,MATCH($X$4,[1]!CurveType,0))+$X$9</f>
        <v>0.22750000000000001</v>
      </c>
      <c r="Y56" s="158">
        <f t="shared" ca="1" si="12"/>
        <v>0.22976704245521617</v>
      </c>
      <c r="Z56" s="4"/>
      <c r="AA56" s="159">
        <f t="shared" si="26"/>
        <v>3.9390000000000005</v>
      </c>
      <c r="AB56" s="160"/>
      <c r="AC56" s="100">
        <f>VLOOKUP($A56,[1]!CurveTable,MATCH($AC$4,[1]!CurveType,0))+$AC$9</f>
        <v>0.2225</v>
      </c>
      <c r="AD56" s="100">
        <f>VLOOKUP($A56,[1]!CurveTable,MATCH($AD$4,[1]!CurveType,0))+$AD$9</f>
        <v>0.22750000000000001</v>
      </c>
      <c r="AE56" s="158">
        <f t="shared" ca="1" si="13"/>
        <v>0.22976704245521617</v>
      </c>
      <c r="AF56" s="4"/>
      <c r="AG56" s="52">
        <f ca="1">((Inputs!$F$20*(X56*AD56)*(A56-$C$3))+(Inputs!$F$19*W56*AC56*(DAY(EOMONTH(A56,0))/2)))/(AN56*Y56*AE56)</f>
        <v>0.75000000000000011</v>
      </c>
      <c r="AH56" s="4"/>
      <c r="AI56" s="18">
        <f>Inputs!$B$15</f>
        <v>0.06</v>
      </c>
      <c r="AJ56" s="46"/>
      <c r="AK56" s="18">
        <f t="shared" si="14"/>
        <v>0.47799999999999981</v>
      </c>
      <c r="AL56" s="46"/>
      <c r="AM56" s="62">
        <f t="shared" si="15"/>
        <v>39507</v>
      </c>
      <c r="AN56" s="63">
        <f t="shared" ca="1" si="16"/>
        <v>2314</v>
      </c>
      <c r="AO56" s="63">
        <f t="shared" si="47"/>
        <v>1</v>
      </c>
      <c r="AP56" s="19"/>
      <c r="AQ56" s="74">
        <f ca="1">_xll.SPRDOPT(U56,AA56,AI56,AX56,X56,AD56,AG56,AN56,AO56,0)</f>
        <v>0.68620282455304582</v>
      </c>
      <c r="AR56" s="47">
        <f t="shared" ca="1" si="27"/>
        <v>1029304.2368295687</v>
      </c>
      <c r="AS56" s="135">
        <f t="shared" ca="1" si="28"/>
        <v>0.20820282455304601</v>
      </c>
      <c r="AU56" s="5">
        <f t="shared" si="48"/>
        <v>30</v>
      </c>
      <c r="AV56" s="148">
        <f t="shared" si="18"/>
        <v>39553</v>
      </c>
      <c r="AW56" s="41">
        <f t="shared" ca="1" si="19"/>
        <v>2360</v>
      </c>
      <c r="AX56" s="100">
        <f>VLOOKUP($A56,[1]!CurveTable,MATCH(AX$4,[1]!CurveType,0))</f>
        <v>4.9705071427322202E-2</v>
      </c>
      <c r="AY56" s="149">
        <f ca="1">1/(1+CHOOSE(F$3,(AX57+(Inputs!$B$14/10000))/2,(AX56+(Inputs!$B$14/10000))/2))^(2*AW56/365.25)</f>
        <v>0.72815972960797626</v>
      </c>
      <c r="AZ56" s="41">
        <f t="shared" si="49"/>
        <v>1</v>
      </c>
      <c r="BA56" s="72">
        <f t="shared" si="50"/>
        <v>30</v>
      </c>
      <c r="BC56" s="65">
        <f t="shared" ca="1" si="29"/>
        <v>4229151.7095631259</v>
      </c>
      <c r="BD56" s="65">
        <f t="shared" ca="1" si="30"/>
        <v>4289224.8872557841</v>
      </c>
      <c r="BE56" s="65">
        <f t="shared" ca="1" si="31"/>
        <v>4289224.8872557841</v>
      </c>
      <c r="BF56" s="65">
        <f t="shared" ca="1" si="32"/>
        <v>600731.77692658047</v>
      </c>
      <c r="BG56" s="65">
        <f t="shared" ca="1" si="33"/>
        <v>600731.77692658047</v>
      </c>
      <c r="BH56" s="65">
        <f t="shared" ca="1" si="34"/>
        <v>600731.77692658047</v>
      </c>
      <c r="BI56" s="65">
        <f t="shared" ca="1" si="35"/>
        <v>0</v>
      </c>
      <c r="BJ56" s="65">
        <f t="shared" ca="1" si="36"/>
        <v>0</v>
      </c>
      <c r="BK56" s="65">
        <f t="shared" ca="1" si="37"/>
        <v>0</v>
      </c>
      <c r="BL56" s="65">
        <f t="shared" ca="1" si="38"/>
        <v>13106.875132943573</v>
      </c>
      <c r="BM56" s="65">
        <f t="shared" ca="1" si="39"/>
        <v>13106.875132943573</v>
      </c>
      <c r="BN56" s="65">
        <f t="shared" ca="1" si="40"/>
        <v>13106.875132943573</v>
      </c>
      <c r="BO56" s="65">
        <f t="shared" ca="1" si="41"/>
        <v>10922.395944119644</v>
      </c>
      <c r="BP56" s="65">
        <f t="shared" ca="1" si="42"/>
        <v>0</v>
      </c>
      <c r="BQ56" s="65">
        <f t="shared" ca="1" si="43"/>
        <v>0</v>
      </c>
      <c r="BR56" s="65">
        <f t="shared" ca="1" si="44"/>
        <v>4889956.6641823649</v>
      </c>
      <c r="BS56" s="65">
        <f t="shared" ca="1" si="45"/>
        <v>4302331.7623887276</v>
      </c>
      <c r="BT56" s="65">
        <f t="shared" ca="1" si="46"/>
        <v>65534.375664717852</v>
      </c>
      <c r="BU56" s="65">
        <f t="shared" ca="1" si="23"/>
        <v>522090.52612891875</v>
      </c>
    </row>
    <row r="57" spans="1:73">
      <c r="A57" s="42">
        <f t="shared" si="24"/>
        <v>39569</v>
      </c>
      <c r="B57" s="30">
        <f>Inputs!$B$8</f>
        <v>50000</v>
      </c>
      <c r="C57" s="17">
        <f t="shared" si="5"/>
        <v>1550000</v>
      </c>
      <c r="D57" s="17">
        <f t="shared" ca="1" si="6"/>
        <v>1122785.2392848984</v>
      </c>
      <c r="E57" s="25">
        <f>VLOOKUP($A57,[1]!CurveTable,MATCH($E$4,[1]!CurveType,0))</f>
        <v>3.8770000000000002</v>
      </c>
      <c r="F57" s="31">
        <f>E57-Inputs!$B$16</f>
        <v>3.9320000000000004</v>
      </c>
      <c r="G57" s="43">
        <f t="shared" si="56"/>
        <v>3.9320000000000004</v>
      </c>
      <c r="H57" s="25">
        <f>VLOOKUP($A57,[1]!CurveTable,MATCH($H$4,[1]!CurveType,0))</f>
        <v>0.7</v>
      </c>
      <c r="I57" s="31">
        <f>H57+Inputs!$B$22</f>
        <v>0.7</v>
      </c>
      <c r="J57" s="44">
        <f t="shared" si="57"/>
        <v>0.7</v>
      </c>
      <c r="K57" s="25">
        <f>VLOOKUP($A57,[1]!CurveTable,MATCH($K$4,[1]!CurveType,0))</f>
        <v>0</v>
      </c>
      <c r="L57" s="31">
        <v>0</v>
      </c>
      <c r="M57" s="45">
        <f t="shared" si="58"/>
        <v>0</v>
      </c>
      <c r="N57" s="25">
        <f>VLOOKUP($A57,[1]!CurveTable,MATCH($N$4,[1]!CurveType,0))</f>
        <v>1.4500000000000001E-2</v>
      </c>
      <c r="O57" s="31">
        <f>N57+Inputs!$E$22</f>
        <v>1.4500000000000001E-2</v>
      </c>
      <c r="P57" s="45">
        <f t="shared" si="59"/>
        <v>1.4500000000000001E-2</v>
      </c>
      <c r="Q57" s="25">
        <f>VLOOKUP($A57,[1]!CurveTable,MATCH($Q$4,[1]!CurveType,0))</f>
        <v>0.01</v>
      </c>
      <c r="R57" s="31">
        <v>0</v>
      </c>
      <c r="S57" s="45">
        <f t="shared" si="60"/>
        <v>0</v>
      </c>
      <c r="T57" s="4"/>
      <c r="U57" s="159">
        <f t="shared" si="25"/>
        <v>4.6320000000000006</v>
      </c>
      <c r="V57" s="160"/>
      <c r="W57" s="100">
        <f>VLOOKUP($A57,[1]!CurveTable,MATCH($W$4,[1]!CurveType,0))+$W$9</f>
        <v>0.44500000000000001</v>
      </c>
      <c r="X57" s="100">
        <f>VLOOKUP($A57,[1]!CurveTable,MATCH($X$4,[1]!CurveType,0))+$X$9</f>
        <v>0.45</v>
      </c>
      <c r="Y57" s="158">
        <f t="shared" ca="1" si="12"/>
        <v>0.45440717372299139</v>
      </c>
      <c r="Z57" s="4"/>
      <c r="AA57" s="159">
        <f t="shared" si="26"/>
        <v>3.9465000000000003</v>
      </c>
      <c r="AB57" s="160"/>
      <c r="AC57" s="100">
        <f>VLOOKUP($A57,[1]!CurveTable,MATCH($AC$4,[1]!CurveType,0))+$AC$9</f>
        <v>0.2225</v>
      </c>
      <c r="AD57" s="100">
        <f>VLOOKUP($A57,[1]!CurveTable,MATCH($AD$4,[1]!CurveType,0))+$AD$9</f>
        <v>0.22750000000000001</v>
      </c>
      <c r="AE57" s="158">
        <f t="shared" ca="1" si="13"/>
        <v>0.22971215591161206</v>
      </c>
      <c r="AF57" s="4"/>
      <c r="AG57" s="52">
        <f ca="1">((Inputs!$F$20*(X57*AD57)*(A57-$C$3))+(Inputs!$F$19*W57*AC57*(DAY(EOMONTH(A57,0))/2)))/(AN57*Y57*AE57)</f>
        <v>0.74999971472381599</v>
      </c>
      <c r="AH57" s="4"/>
      <c r="AI57" s="18">
        <f>Inputs!$B$15</f>
        <v>0.06</v>
      </c>
      <c r="AJ57" s="46"/>
      <c r="AK57" s="18">
        <f t="shared" si="14"/>
        <v>0.62550000000000017</v>
      </c>
      <c r="AL57" s="46"/>
      <c r="AM57" s="62">
        <f t="shared" si="15"/>
        <v>39538</v>
      </c>
      <c r="AN57" s="63">
        <f t="shared" ca="1" si="16"/>
        <v>2345</v>
      </c>
      <c r="AO57" s="63">
        <f t="shared" si="47"/>
        <v>1</v>
      </c>
      <c r="AP57" s="19"/>
      <c r="AQ57" s="74">
        <f ca="1">_xll.SPRDOPT(U57,AA57,AI57,AX57,X57,AD57,AG57,AN57,AO57,0)</f>
        <v>1.2247055388830395</v>
      </c>
      <c r="AR57" s="47">
        <f t="shared" ca="1" si="27"/>
        <v>1898293.5852687112</v>
      </c>
      <c r="AS57" s="135">
        <f t="shared" ca="1" si="28"/>
        <v>0.59920553888303929</v>
      </c>
      <c r="AU57" s="5">
        <f t="shared" si="48"/>
        <v>31</v>
      </c>
      <c r="AV57" s="148">
        <f t="shared" si="18"/>
        <v>39583</v>
      </c>
      <c r="AW57" s="41">
        <f t="shared" ca="1" si="19"/>
        <v>2390</v>
      </c>
      <c r="AX57" s="100">
        <f>VLOOKUP($A57,[1]!CurveTable,MATCH(AX$4,[1]!CurveType,0))</f>
        <v>4.9889113984532302E-2</v>
      </c>
      <c r="AY57" s="149">
        <f ca="1">1/(1+CHOOSE(F$3,(AX58+(Inputs!$B$14/10000))/2,(AX57+(Inputs!$B$14/10000))/2))^(2*AW57/365.25)</f>
        <v>0.72437757373219247</v>
      </c>
      <c r="AZ57" s="41">
        <f t="shared" si="49"/>
        <v>1</v>
      </c>
      <c r="BA57" s="72">
        <f t="shared" si="50"/>
        <v>31</v>
      </c>
      <c r="BC57" s="65">
        <f t="shared" ca="1" si="29"/>
        <v>4353038.3727075513</v>
      </c>
      <c r="BD57" s="65">
        <f t="shared" ca="1" si="30"/>
        <v>4414791.5608682213</v>
      </c>
      <c r="BE57" s="65">
        <f t="shared" ca="1" si="31"/>
        <v>4414791.5608682213</v>
      </c>
      <c r="BF57" s="65">
        <f t="shared" ca="1" si="32"/>
        <v>785949.66749942885</v>
      </c>
      <c r="BG57" s="65">
        <f t="shared" ca="1" si="33"/>
        <v>785949.66749942885</v>
      </c>
      <c r="BH57" s="65">
        <f t="shared" ca="1" si="34"/>
        <v>785949.66749942885</v>
      </c>
      <c r="BI57" s="65">
        <f t="shared" ca="1" si="35"/>
        <v>0</v>
      </c>
      <c r="BJ57" s="65">
        <f t="shared" ca="1" si="36"/>
        <v>0</v>
      </c>
      <c r="BK57" s="65">
        <f t="shared" ca="1" si="37"/>
        <v>0</v>
      </c>
      <c r="BL57" s="65">
        <f t="shared" ca="1" si="38"/>
        <v>16280.385969631028</v>
      </c>
      <c r="BM57" s="65">
        <f t="shared" ca="1" si="39"/>
        <v>16280.385969631028</v>
      </c>
      <c r="BN57" s="65">
        <f t="shared" ca="1" si="40"/>
        <v>16280.385969631028</v>
      </c>
      <c r="BO57" s="65">
        <f t="shared" ca="1" si="41"/>
        <v>11227.852392848985</v>
      </c>
      <c r="BP57" s="65">
        <f t="shared" ca="1" si="42"/>
        <v>0</v>
      </c>
      <c r="BQ57" s="65">
        <f t="shared" ca="1" si="43"/>
        <v>0</v>
      </c>
      <c r="BR57" s="65">
        <f t="shared" ca="1" si="44"/>
        <v>5200741.22836765</v>
      </c>
      <c r="BS57" s="65">
        <f t="shared" ca="1" si="45"/>
        <v>4431071.9468378518</v>
      </c>
      <c r="BT57" s="65">
        <f t="shared" ca="1" si="46"/>
        <v>67367.114357093902</v>
      </c>
      <c r="BU57" s="65">
        <f t="shared" ca="1" si="23"/>
        <v>702302.16717270412</v>
      </c>
    </row>
    <row r="58" spans="1:73">
      <c r="A58" s="42">
        <f t="shared" si="24"/>
        <v>39600</v>
      </c>
      <c r="B58" s="30">
        <f>Inputs!$B$8</f>
        <v>50000</v>
      </c>
      <c r="C58" s="17">
        <f t="shared" si="5"/>
        <v>1500000</v>
      </c>
      <c r="D58" s="17">
        <f t="shared" ca="1" si="6"/>
        <v>1080701.6045581982</v>
      </c>
      <c r="E58" s="25">
        <f>VLOOKUP($A58,[1]!CurveTable,MATCH($E$4,[1]!CurveType,0))</f>
        <v>3.915</v>
      </c>
      <c r="F58" s="31">
        <f>E58-Inputs!$B$16</f>
        <v>3.97</v>
      </c>
      <c r="G58" s="43">
        <f t="shared" si="56"/>
        <v>3.97</v>
      </c>
      <c r="H58" s="25">
        <f>VLOOKUP($A58,[1]!CurveTable,MATCH($H$4,[1]!CurveType,0))</f>
        <v>0.8</v>
      </c>
      <c r="I58" s="31">
        <f>H58+Inputs!$B$22</f>
        <v>0.8</v>
      </c>
      <c r="J58" s="44">
        <f t="shared" si="57"/>
        <v>0.8</v>
      </c>
      <c r="K58" s="25">
        <f>VLOOKUP($A58,[1]!CurveTable,MATCH($K$4,[1]!CurveType,0))</f>
        <v>0</v>
      </c>
      <c r="L58" s="31">
        <v>0</v>
      </c>
      <c r="M58" s="45">
        <f t="shared" si="58"/>
        <v>0</v>
      </c>
      <c r="N58" s="25">
        <f>VLOOKUP($A58,[1]!CurveTable,MATCH($N$4,[1]!CurveType,0))</f>
        <v>1.2E-2</v>
      </c>
      <c r="O58" s="31">
        <f>N58+Inputs!$E$22</f>
        <v>1.2E-2</v>
      </c>
      <c r="P58" s="45">
        <f t="shared" si="59"/>
        <v>1.2E-2</v>
      </c>
      <c r="Q58" s="25">
        <f>VLOOKUP($A58,[1]!CurveTable,MATCH($Q$4,[1]!CurveType,0))</f>
        <v>0.01</v>
      </c>
      <c r="R58" s="31">
        <v>0</v>
      </c>
      <c r="S58" s="45">
        <f t="shared" si="60"/>
        <v>0</v>
      </c>
      <c r="T58" s="4"/>
      <c r="U58" s="159">
        <f t="shared" si="25"/>
        <v>4.7700000000000005</v>
      </c>
      <c r="V58" s="160"/>
      <c r="W58" s="100">
        <f>VLOOKUP($A58,[1]!CurveTable,MATCH($W$4,[1]!CurveType,0))+$W$9</f>
        <v>0.44500000000000001</v>
      </c>
      <c r="X58" s="100">
        <f>VLOOKUP($A58,[1]!CurveTable,MATCH($X$4,[1]!CurveType,0))+$X$9</f>
        <v>0.45</v>
      </c>
      <c r="Y58" s="158">
        <f t="shared" ca="1" si="12"/>
        <v>0.45439971969969117</v>
      </c>
      <c r="Z58" s="4"/>
      <c r="AA58" s="159">
        <f t="shared" si="26"/>
        <v>3.9820000000000002</v>
      </c>
      <c r="AB58" s="160"/>
      <c r="AC58" s="100">
        <f>VLOOKUP($A58,[1]!CurveTable,MATCH($AC$4,[1]!CurveType,0))+$AC$9</f>
        <v>0.2225</v>
      </c>
      <c r="AD58" s="100">
        <f>VLOOKUP($A58,[1]!CurveTable,MATCH($AD$4,[1]!CurveType,0))+$AD$9</f>
        <v>0.22750000000000001</v>
      </c>
      <c r="AE58" s="158">
        <f t="shared" ca="1" si="13"/>
        <v>0.22970909520750943</v>
      </c>
      <c r="AF58" s="4"/>
      <c r="AG58" s="52">
        <f ca="1">((Inputs!$F$20*(X58*AD58)*(A58-$C$3))+(Inputs!$F$19*W58*AC58*(DAY(EOMONTH(A58,0))/2)))/(AN58*Y58*AE58)</f>
        <v>0.74999972732895959</v>
      </c>
      <c r="AH58" s="4"/>
      <c r="AI58" s="18">
        <f>Inputs!$B$15</f>
        <v>0.06</v>
      </c>
      <c r="AJ58" s="46"/>
      <c r="AK58" s="18">
        <f t="shared" si="14"/>
        <v>0.7280000000000002</v>
      </c>
      <c r="AL58" s="46"/>
      <c r="AM58" s="62">
        <f t="shared" si="15"/>
        <v>39568</v>
      </c>
      <c r="AN58" s="63">
        <f t="shared" ca="1" si="16"/>
        <v>2375</v>
      </c>
      <c r="AO58" s="63">
        <f t="shared" si="47"/>
        <v>1</v>
      </c>
      <c r="AP58" s="19"/>
      <c r="AQ58" s="74">
        <f ca="1">_xll.SPRDOPT(U58,AA58,AI58,AX58,X58,AD58,AG58,AN58,AO58,0)</f>
        <v>1.2855493372940496</v>
      </c>
      <c r="AR58" s="47">
        <f t="shared" ca="1" si="27"/>
        <v>1928324.0059410743</v>
      </c>
      <c r="AS58" s="135">
        <f t="shared" ca="1" si="28"/>
        <v>0.55754933729404943</v>
      </c>
      <c r="AU58" s="5">
        <f t="shared" si="48"/>
        <v>30</v>
      </c>
      <c r="AV58" s="148">
        <f t="shared" si="18"/>
        <v>39614</v>
      </c>
      <c r="AW58" s="41">
        <f t="shared" ca="1" si="19"/>
        <v>2421</v>
      </c>
      <c r="AX58" s="100">
        <f>VLOOKUP($A58,[1]!CurveTable,MATCH(AX$4,[1]!CurveType,0))</f>
        <v>5.0079291305530599E-2</v>
      </c>
      <c r="AY58" s="149">
        <f ca="1">1/(1+CHOOSE(F$3,(AX59+(Inputs!$B$14/10000))/2,(AX58+(Inputs!$B$14/10000))/2))^(2*AW58/365.25)</f>
        <v>0.72046773637213213</v>
      </c>
      <c r="AZ58" s="41">
        <f t="shared" si="49"/>
        <v>1</v>
      </c>
      <c r="BA58" s="72">
        <f t="shared" si="50"/>
        <v>30</v>
      </c>
      <c r="BC58" s="65">
        <f t="shared" ca="1" si="29"/>
        <v>4230946.7818453461</v>
      </c>
      <c r="BD58" s="65">
        <f t="shared" ca="1" si="30"/>
        <v>4290385.3700960474</v>
      </c>
      <c r="BE58" s="65">
        <f t="shared" ca="1" si="31"/>
        <v>4290385.3700960474</v>
      </c>
      <c r="BF58" s="65">
        <f t="shared" ca="1" si="32"/>
        <v>864561.28364655864</v>
      </c>
      <c r="BG58" s="65">
        <f t="shared" ca="1" si="33"/>
        <v>864561.28364655864</v>
      </c>
      <c r="BH58" s="65">
        <f t="shared" ca="1" si="34"/>
        <v>864561.28364655864</v>
      </c>
      <c r="BI58" s="65">
        <f t="shared" ca="1" si="35"/>
        <v>0</v>
      </c>
      <c r="BJ58" s="65">
        <f t="shared" ca="1" si="36"/>
        <v>0</v>
      </c>
      <c r="BK58" s="65">
        <f t="shared" ca="1" si="37"/>
        <v>0</v>
      </c>
      <c r="BL58" s="65">
        <f t="shared" ca="1" si="38"/>
        <v>12968.41925469838</v>
      </c>
      <c r="BM58" s="65">
        <f t="shared" ca="1" si="39"/>
        <v>12968.41925469838</v>
      </c>
      <c r="BN58" s="65">
        <f t="shared" ca="1" si="40"/>
        <v>12968.41925469838</v>
      </c>
      <c r="BO58" s="65">
        <f t="shared" ca="1" si="41"/>
        <v>10807.016045581982</v>
      </c>
      <c r="BP58" s="65">
        <f t="shared" ca="1" si="42"/>
        <v>0</v>
      </c>
      <c r="BQ58" s="65">
        <f t="shared" ca="1" si="43"/>
        <v>0</v>
      </c>
      <c r="BR58" s="65">
        <f t="shared" ca="1" si="44"/>
        <v>5154946.6537426058</v>
      </c>
      <c r="BS58" s="65">
        <f t="shared" ca="1" si="45"/>
        <v>4303353.7893507453</v>
      </c>
      <c r="BT58" s="65">
        <f t="shared" ca="1" si="46"/>
        <v>64842.096273491894</v>
      </c>
      <c r="BU58" s="65">
        <f t="shared" ca="1" si="23"/>
        <v>786750.76811836858</v>
      </c>
    </row>
    <row r="59" spans="1:73">
      <c r="A59" s="42">
        <f t="shared" si="24"/>
        <v>39630</v>
      </c>
      <c r="B59" s="30">
        <f>Inputs!$B$8</f>
        <v>50000</v>
      </c>
      <c r="C59" s="17">
        <f t="shared" si="5"/>
        <v>1550000</v>
      </c>
      <c r="D59" s="17">
        <f t="shared" ca="1" si="6"/>
        <v>1110858.1916157217</v>
      </c>
      <c r="E59" s="25">
        <f>VLOOKUP($A59,[1]!CurveTable,MATCH($E$4,[1]!CurveType,0))</f>
        <v>3.96</v>
      </c>
      <c r="F59" s="31">
        <f>E59-Inputs!$B$16</f>
        <v>4.0149999999999997</v>
      </c>
      <c r="G59" s="43">
        <f t="shared" si="56"/>
        <v>4.0149999999999997</v>
      </c>
      <c r="H59" s="25">
        <f>VLOOKUP($A59,[1]!CurveTable,MATCH($H$4,[1]!CurveType,0))</f>
        <v>1</v>
      </c>
      <c r="I59" s="31">
        <f>H59+Inputs!$B$22</f>
        <v>1</v>
      </c>
      <c r="J59" s="44">
        <f t="shared" si="57"/>
        <v>1</v>
      </c>
      <c r="K59" s="25">
        <f>VLOOKUP($A59,[1]!CurveTable,MATCH($K$4,[1]!CurveType,0))</f>
        <v>0</v>
      </c>
      <c r="L59" s="31">
        <v>0</v>
      </c>
      <c r="M59" s="45">
        <f t="shared" si="58"/>
        <v>0</v>
      </c>
      <c r="N59" s="25">
        <f>VLOOKUP($A59,[1]!CurveTable,MATCH($N$4,[1]!CurveType,0))</f>
        <v>9.4999999999999998E-3</v>
      </c>
      <c r="O59" s="31">
        <f>N59+Inputs!$E$22</f>
        <v>9.4999999999999998E-3</v>
      </c>
      <c r="P59" s="45">
        <f t="shared" si="59"/>
        <v>9.4999999999999998E-3</v>
      </c>
      <c r="Q59" s="25">
        <f>VLOOKUP($A59,[1]!CurveTable,MATCH($Q$4,[1]!CurveType,0))</f>
        <v>0.01</v>
      </c>
      <c r="R59" s="31">
        <v>0</v>
      </c>
      <c r="S59" s="45">
        <f t="shared" si="60"/>
        <v>0</v>
      </c>
      <c r="T59" s="4"/>
      <c r="U59" s="159">
        <f t="shared" si="25"/>
        <v>5.0149999999999997</v>
      </c>
      <c r="V59" s="160"/>
      <c r="W59" s="100">
        <f>VLOOKUP($A59,[1]!CurveTable,MATCH($W$4,[1]!CurveType,0))+$W$9</f>
        <v>0.44</v>
      </c>
      <c r="X59" s="100">
        <f>VLOOKUP($A59,[1]!CurveTable,MATCH($X$4,[1]!CurveType,0))+$X$9</f>
        <v>0.44500000000000001</v>
      </c>
      <c r="Y59" s="158">
        <f t="shared" ca="1" si="12"/>
        <v>0.44924788213301298</v>
      </c>
      <c r="Z59" s="4"/>
      <c r="AA59" s="159">
        <f t="shared" si="26"/>
        <v>4.0244999999999997</v>
      </c>
      <c r="AB59" s="160"/>
      <c r="AC59" s="100">
        <f>VLOOKUP($A59,[1]!CurveTable,MATCH($AC$4,[1]!CurveType,0))+$AC$9</f>
        <v>0.22</v>
      </c>
      <c r="AD59" s="100">
        <f>VLOOKUP($A59,[1]!CurveTable,MATCH($AD$4,[1]!CurveType,0))+$AD$9</f>
        <v>0.22500000000000001</v>
      </c>
      <c r="AE59" s="158">
        <f t="shared" ca="1" si="13"/>
        <v>0.22713229489632503</v>
      </c>
      <c r="AF59" s="4"/>
      <c r="AG59" s="52">
        <f ca="1">((Inputs!$F$20*(X59*AD59)*(A59-$C$3))+(Inputs!$F$19*W59*AC59*(DAY(EOMONTH(A59,0))/2)))/(AN59*Y59*AE59)</f>
        <v>0.74999971563060952</v>
      </c>
      <c r="AH59" s="4"/>
      <c r="AI59" s="18">
        <f>Inputs!$B$15</f>
        <v>0.06</v>
      </c>
      <c r="AJ59" s="46"/>
      <c r="AK59" s="18">
        <f t="shared" si="14"/>
        <v>0.93049999999999988</v>
      </c>
      <c r="AL59" s="46"/>
      <c r="AM59" s="62">
        <f t="shared" si="15"/>
        <v>39599</v>
      </c>
      <c r="AN59" s="63">
        <f t="shared" ca="1" si="16"/>
        <v>2406</v>
      </c>
      <c r="AO59" s="63">
        <f t="shared" si="47"/>
        <v>1</v>
      </c>
      <c r="AP59" s="19"/>
      <c r="AQ59" s="74">
        <f ca="1">_xll.SPRDOPT(U59,AA59,AI59,AX59,X59,AD59,AG59,AN59,AO59,0)</f>
        <v>1.3906887984156782</v>
      </c>
      <c r="AR59" s="47">
        <f t="shared" ca="1" si="27"/>
        <v>2155567.6375443013</v>
      </c>
      <c r="AS59" s="135">
        <f t="shared" ca="1" si="28"/>
        <v>0.46018879841567828</v>
      </c>
      <c r="AU59" s="5">
        <f t="shared" si="48"/>
        <v>31</v>
      </c>
      <c r="AV59" s="148">
        <f t="shared" si="18"/>
        <v>39644</v>
      </c>
      <c r="AW59" s="41">
        <f t="shared" ca="1" si="19"/>
        <v>2451</v>
      </c>
      <c r="AX59" s="100">
        <f>VLOOKUP($A59,[1]!CurveTable,MATCH(AX$4,[1]!CurveType,0))</f>
        <v>5.0263333885737005E-2</v>
      </c>
      <c r="AY59" s="149">
        <f ca="1">1/(1+CHOOSE(F$3,(AX60+(Inputs!$B$14/10000))/2,(AX59+(Inputs!$B$14/10000))/2))^(2*AW59/365.25)</f>
        <v>0.71668270426820757</v>
      </c>
      <c r="AZ59" s="41">
        <f t="shared" si="49"/>
        <v>1</v>
      </c>
      <c r="BA59" s="72">
        <f t="shared" si="50"/>
        <v>31</v>
      </c>
      <c r="BC59" s="65">
        <f t="shared" ca="1" si="29"/>
        <v>4398998.4387982581</v>
      </c>
      <c r="BD59" s="65">
        <f t="shared" ca="1" si="30"/>
        <v>4460095.6393371224</v>
      </c>
      <c r="BE59" s="65">
        <f t="shared" ca="1" si="31"/>
        <v>4460095.6393371224</v>
      </c>
      <c r="BF59" s="65">
        <f t="shared" ca="1" si="32"/>
        <v>1110858.1916157217</v>
      </c>
      <c r="BG59" s="65">
        <f t="shared" ca="1" si="33"/>
        <v>1110858.1916157217</v>
      </c>
      <c r="BH59" s="65">
        <f t="shared" ca="1" si="34"/>
        <v>1110858.1916157217</v>
      </c>
      <c r="BI59" s="65">
        <f t="shared" ca="1" si="35"/>
        <v>0</v>
      </c>
      <c r="BJ59" s="65">
        <f t="shared" ca="1" si="36"/>
        <v>0</v>
      </c>
      <c r="BK59" s="65">
        <f t="shared" ca="1" si="37"/>
        <v>0</v>
      </c>
      <c r="BL59" s="65">
        <f t="shared" ca="1" si="38"/>
        <v>10553.152820349356</v>
      </c>
      <c r="BM59" s="65">
        <f t="shared" ca="1" si="39"/>
        <v>10553.152820349356</v>
      </c>
      <c r="BN59" s="65">
        <f t="shared" ca="1" si="40"/>
        <v>10553.152820349356</v>
      </c>
      <c r="BO59" s="65">
        <f t="shared" ca="1" si="41"/>
        <v>11108.581916157216</v>
      </c>
      <c r="BP59" s="65">
        <f t="shared" ca="1" si="42"/>
        <v>0</v>
      </c>
      <c r="BQ59" s="65">
        <f t="shared" ca="1" si="43"/>
        <v>0</v>
      </c>
      <c r="BR59" s="65">
        <f t="shared" ca="1" si="44"/>
        <v>5570953.8309528437</v>
      </c>
      <c r="BS59" s="65">
        <f t="shared" ca="1" si="45"/>
        <v>4470648.7921574712</v>
      </c>
      <c r="BT59" s="65">
        <f t="shared" ca="1" si="46"/>
        <v>66651.491496943301</v>
      </c>
      <c r="BU59" s="65">
        <f t="shared" ca="1" si="23"/>
        <v>1033653.5472984288</v>
      </c>
    </row>
    <row r="60" spans="1:73">
      <c r="A60" s="42">
        <f t="shared" si="24"/>
        <v>39661</v>
      </c>
      <c r="B60" s="30">
        <f>Inputs!$B$8</f>
        <v>50000</v>
      </c>
      <c r="C60" s="17">
        <f t="shared" si="5"/>
        <v>1550000</v>
      </c>
      <c r="D60" s="17">
        <f t="shared" ca="1" si="6"/>
        <v>1104794.1053492823</v>
      </c>
      <c r="E60" s="25">
        <f>VLOOKUP($A60,[1]!CurveTable,MATCH($E$4,[1]!CurveType,0))</f>
        <v>3.9980000000000002</v>
      </c>
      <c r="F60" s="31">
        <f>E60-Inputs!$B$16</f>
        <v>4.0529999999999999</v>
      </c>
      <c r="G60" s="43">
        <f t="shared" si="56"/>
        <v>4.0529999999999999</v>
      </c>
      <c r="H60" s="25">
        <f>VLOOKUP($A60,[1]!CurveTable,MATCH($H$4,[1]!CurveType,0))</f>
        <v>1</v>
      </c>
      <c r="I60" s="31">
        <f>H60+Inputs!$B$22</f>
        <v>1</v>
      </c>
      <c r="J60" s="44">
        <f t="shared" si="57"/>
        <v>1</v>
      </c>
      <c r="K60" s="25">
        <f>VLOOKUP($A60,[1]!CurveTable,MATCH($K$4,[1]!CurveType,0))</f>
        <v>0</v>
      </c>
      <c r="L60" s="31">
        <v>0</v>
      </c>
      <c r="M60" s="45">
        <f t="shared" si="58"/>
        <v>0</v>
      </c>
      <c r="N60" s="25">
        <f>VLOOKUP($A60,[1]!CurveTable,MATCH($N$4,[1]!CurveType,0))</f>
        <v>9.4999999999999998E-3</v>
      </c>
      <c r="O60" s="31">
        <f>N60+Inputs!$E$22</f>
        <v>9.4999999999999998E-3</v>
      </c>
      <c r="P60" s="45">
        <f t="shared" si="59"/>
        <v>9.4999999999999998E-3</v>
      </c>
      <c r="Q60" s="25">
        <f>VLOOKUP($A60,[1]!CurveTable,MATCH($Q$4,[1]!CurveType,0))</f>
        <v>0.01</v>
      </c>
      <c r="R60" s="31">
        <v>0</v>
      </c>
      <c r="S60" s="45">
        <f t="shared" si="60"/>
        <v>0</v>
      </c>
      <c r="T60" s="4"/>
      <c r="U60" s="159">
        <f t="shared" si="25"/>
        <v>5.0529999999999999</v>
      </c>
      <c r="V60" s="160"/>
      <c r="W60" s="100">
        <f>VLOOKUP($A60,[1]!CurveTable,MATCH($W$4,[1]!CurveType,0))+$W$9</f>
        <v>0.44</v>
      </c>
      <c r="X60" s="100">
        <f>VLOOKUP($A60,[1]!CurveTable,MATCH($X$4,[1]!CurveType,0))+$X$9</f>
        <v>0.44500000000000001</v>
      </c>
      <c r="Y60" s="158">
        <f t="shared" ca="1" si="12"/>
        <v>0.44928628860640835</v>
      </c>
      <c r="Z60" s="4"/>
      <c r="AA60" s="159">
        <f t="shared" si="26"/>
        <v>4.0625</v>
      </c>
      <c r="AB60" s="160"/>
      <c r="AC60" s="100">
        <f>VLOOKUP($A60,[1]!CurveTable,MATCH($AC$4,[1]!CurveType,0))+$AC$9</f>
        <v>0.22</v>
      </c>
      <c r="AD60" s="100">
        <f>VLOOKUP($A60,[1]!CurveTable,MATCH($AD$4,[1]!CurveType,0))+$AD$9</f>
        <v>0.22500000000000001</v>
      </c>
      <c r="AE60" s="158">
        <f t="shared" ca="1" si="13"/>
        <v>0.22715190623401588</v>
      </c>
      <c r="AF60" s="4"/>
      <c r="AG60" s="52">
        <f ca="1">((Inputs!$F$20*(X60*AD60)*(A60-$C$3))+(Inputs!$F$19*W60*AC60*(DAY(EOMONTH(A60,0))/2)))/(AN60*Y60*AE60)</f>
        <v>0.74999971915939245</v>
      </c>
      <c r="AH60" s="4"/>
      <c r="AI60" s="18">
        <f>Inputs!$B$15</f>
        <v>0.06</v>
      </c>
      <c r="AJ60" s="46"/>
      <c r="AK60" s="18">
        <f t="shared" si="14"/>
        <v>0.93049999999999988</v>
      </c>
      <c r="AL60" s="46"/>
      <c r="AM60" s="62">
        <f t="shared" si="15"/>
        <v>39629</v>
      </c>
      <c r="AN60" s="63">
        <f t="shared" ca="1" si="16"/>
        <v>2436</v>
      </c>
      <c r="AO60" s="63">
        <f t="shared" si="47"/>
        <v>1</v>
      </c>
      <c r="AP60" s="19"/>
      <c r="AQ60" s="74">
        <f ca="1">_xll.SPRDOPT(U60,AA60,AI60,AX60,X60,AD60,AG60,AN60,AO60,0)</f>
        <v>1.3972662078119169</v>
      </c>
      <c r="AR60" s="47">
        <f t="shared" ca="1" si="27"/>
        <v>2165762.6221084711</v>
      </c>
      <c r="AS60" s="135">
        <f t="shared" ca="1" si="28"/>
        <v>0.46676620781191702</v>
      </c>
      <c r="AU60" s="5">
        <f t="shared" si="48"/>
        <v>31</v>
      </c>
      <c r="AV60" s="148">
        <f t="shared" si="18"/>
        <v>39675</v>
      </c>
      <c r="AW60" s="41">
        <f t="shared" ca="1" si="19"/>
        <v>2482</v>
      </c>
      <c r="AX60" s="100">
        <f>VLOOKUP($A60,[1]!CurveTable,MATCH(AX$4,[1]!CurveType,0))</f>
        <v>5.04535112304954E-2</v>
      </c>
      <c r="AY60" s="149">
        <f ca="1">1/(1+CHOOSE(F$3,(AX61+(Inputs!$B$14/10000))/2,(AX60+(Inputs!$B$14/10000))/2))^(2*AW60/365.25)</f>
        <v>0.71277039054792402</v>
      </c>
      <c r="AZ60" s="41">
        <f t="shared" si="49"/>
        <v>1</v>
      </c>
      <c r="BA60" s="72">
        <f t="shared" si="50"/>
        <v>31</v>
      </c>
      <c r="BC60" s="65">
        <f t="shared" ca="1" si="29"/>
        <v>4416966.8331864309</v>
      </c>
      <c r="BD60" s="65">
        <f t="shared" ca="1" si="30"/>
        <v>4477730.5089806411</v>
      </c>
      <c r="BE60" s="65">
        <f t="shared" ca="1" si="31"/>
        <v>4477730.5089806411</v>
      </c>
      <c r="BF60" s="65">
        <f t="shared" ca="1" si="32"/>
        <v>1104794.1053492823</v>
      </c>
      <c r="BG60" s="65">
        <f t="shared" ca="1" si="33"/>
        <v>1104794.1053492823</v>
      </c>
      <c r="BH60" s="65">
        <f t="shared" ca="1" si="34"/>
        <v>1104794.1053492823</v>
      </c>
      <c r="BI60" s="65">
        <f t="shared" ca="1" si="35"/>
        <v>0</v>
      </c>
      <c r="BJ60" s="65">
        <f t="shared" ca="1" si="36"/>
        <v>0</v>
      </c>
      <c r="BK60" s="65">
        <f t="shared" ca="1" si="37"/>
        <v>0</v>
      </c>
      <c r="BL60" s="65">
        <f t="shared" ca="1" si="38"/>
        <v>10495.544000818181</v>
      </c>
      <c r="BM60" s="65">
        <f t="shared" ca="1" si="39"/>
        <v>10495.544000818181</v>
      </c>
      <c r="BN60" s="65">
        <f t="shared" ca="1" si="40"/>
        <v>10495.544000818181</v>
      </c>
      <c r="BO60" s="65">
        <f t="shared" ca="1" si="41"/>
        <v>11047.941053492823</v>
      </c>
      <c r="BP60" s="65">
        <f t="shared" ca="1" si="42"/>
        <v>0</v>
      </c>
      <c r="BQ60" s="65">
        <f t="shared" ca="1" si="43"/>
        <v>0</v>
      </c>
      <c r="BR60" s="65">
        <f t="shared" ca="1" si="44"/>
        <v>5582524.6143299229</v>
      </c>
      <c r="BS60" s="65">
        <f t="shared" ca="1" si="45"/>
        <v>4488226.0529814595</v>
      </c>
      <c r="BT60" s="65">
        <f t="shared" ca="1" si="46"/>
        <v>66287.646320956934</v>
      </c>
      <c r="BU60" s="65">
        <f t="shared" ca="1" si="23"/>
        <v>1028010.915027507</v>
      </c>
    </row>
    <row r="61" spans="1:73">
      <c r="A61" s="42">
        <f t="shared" si="24"/>
        <v>39692</v>
      </c>
      <c r="B61" s="30">
        <f>Inputs!$B$8</f>
        <v>50000</v>
      </c>
      <c r="C61" s="17">
        <f t="shared" si="5"/>
        <v>1500000</v>
      </c>
      <c r="D61" s="17">
        <f t="shared" ca="1" si="6"/>
        <v>1063285.7940799319</v>
      </c>
      <c r="E61" s="25">
        <f>VLOOKUP($A61,[1]!CurveTable,MATCH($E$4,[1]!CurveType,0))</f>
        <v>3.992</v>
      </c>
      <c r="F61" s="31">
        <f>E61-Inputs!$B$16</f>
        <v>4.0469999999999997</v>
      </c>
      <c r="G61" s="43">
        <f t="shared" si="56"/>
        <v>4.0469999999999997</v>
      </c>
      <c r="H61" s="25">
        <f>VLOOKUP($A61,[1]!CurveTable,MATCH($H$4,[1]!CurveType,0))</f>
        <v>0.6</v>
      </c>
      <c r="I61" s="31">
        <f>H61+Inputs!$B$22</f>
        <v>0.6</v>
      </c>
      <c r="J61" s="44">
        <f t="shared" si="57"/>
        <v>0.6</v>
      </c>
      <c r="K61" s="25">
        <f>VLOOKUP($A61,[1]!CurveTable,MATCH($K$4,[1]!CurveType,0))</f>
        <v>0</v>
      </c>
      <c r="L61" s="31">
        <v>0</v>
      </c>
      <c r="M61" s="45">
        <f t="shared" si="58"/>
        <v>0</v>
      </c>
      <c r="N61" s="25">
        <f>VLOOKUP($A61,[1]!CurveTable,MATCH($N$4,[1]!CurveType,0))</f>
        <v>9.4999999999999998E-3</v>
      </c>
      <c r="O61" s="31">
        <f>N61+Inputs!$E$22</f>
        <v>9.4999999999999998E-3</v>
      </c>
      <c r="P61" s="45">
        <f t="shared" si="59"/>
        <v>9.4999999999999998E-3</v>
      </c>
      <c r="Q61" s="25">
        <f>VLOOKUP($A61,[1]!CurveTable,MATCH($Q$4,[1]!CurveType,0))</f>
        <v>0.01</v>
      </c>
      <c r="R61" s="31">
        <v>0</v>
      </c>
      <c r="S61" s="45">
        <f t="shared" si="60"/>
        <v>0</v>
      </c>
      <c r="T61" s="4"/>
      <c r="U61" s="159">
        <f t="shared" si="25"/>
        <v>4.6469999999999994</v>
      </c>
      <c r="V61" s="160"/>
      <c r="W61" s="100">
        <f>VLOOKUP($A61,[1]!CurveTable,MATCH($W$4,[1]!CurveType,0))+$W$9</f>
        <v>0.44</v>
      </c>
      <c r="X61" s="100">
        <f>VLOOKUP($A61,[1]!CurveTable,MATCH($X$4,[1]!CurveType,0))+$X$9</f>
        <v>0.44500000000000001</v>
      </c>
      <c r="Y61" s="158">
        <f t="shared" ca="1" si="12"/>
        <v>0.44918900708491782</v>
      </c>
      <c r="Z61" s="4"/>
      <c r="AA61" s="159">
        <f t="shared" si="26"/>
        <v>4.0564999999999998</v>
      </c>
      <c r="AB61" s="160"/>
      <c r="AC61" s="100">
        <f>VLOOKUP($A61,[1]!CurveTable,MATCH($AC$4,[1]!CurveType,0))+$AC$9</f>
        <v>0.22</v>
      </c>
      <c r="AD61" s="100">
        <f>VLOOKUP($A61,[1]!CurveTable,MATCH($AD$4,[1]!CurveType,0))+$AD$9</f>
        <v>0.22500000000000001</v>
      </c>
      <c r="AE61" s="158">
        <f t="shared" ca="1" si="13"/>
        <v>0.22710339621849887</v>
      </c>
      <c r="AF61" s="4"/>
      <c r="AG61" s="52">
        <f ca="1">((Inputs!$F$20*(X61*AD61)*(A61-$C$3))+(Inputs!$F$19*W61*AC61*(DAY(EOMONTH(A61,0))/2)))/(AN61*Y61*AE61)</f>
        <v>0.74999973144673571</v>
      </c>
      <c r="AH61" s="4"/>
      <c r="AI61" s="18">
        <f>Inputs!$B$15</f>
        <v>0.06</v>
      </c>
      <c r="AJ61" s="46"/>
      <c r="AK61" s="18">
        <f t="shared" si="14"/>
        <v>0.53049999999999953</v>
      </c>
      <c r="AL61" s="46"/>
      <c r="AM61" s="62">
        <f t="shared" si="15"/>
        <v>39660</v>
      </c>
      <c r="AN61" s="63">
        <f t="shared" ca="1" si="16"/>
        <v>2467</v>
      </c>
      <c r="AO61" s="63">
        <f t="shared" si="47"/>
        <v>1</v>
      </c>
      <c r="AP61" s="19"/>
      <c r="AQ61" s="74">
        <f ca="1">_xll.SPRDOPT(U61,AA61,AI61,AX61,X61,AD61,AG61,AN61,AO61,0)</f>
        <v>1.1871391444196895</v>
      </c>
      <c r="AR61" s="47">
        <f t="shared" ca="1" si="27"/>
        <v>1780708.7166295343</v>
      </c>
      <c r="AS61" s="135">
        <f t="shared" ca="1" si="28"/>
        <v>0.65663914441968996</v>
      </c>
      <c r="AU61" s="5">
        <f t="shared" si="48"/>
        <v>30</v>
      </c>
      <c r="AV61" s="148">
        <f t="shared" si="18"/>
        <v>39706</v>
      </c>
      <c r="AW61" s="41">
        <f t="shared" ca="1" si="19"/>
        <v>2513</v>
      </c>
      <c r="AX61" s="100">
        <f>VLOOKUP($A61,[1]!CurveTable,MATCH(AX$4,[1]!CurveType,0))</f>
        <v>5.06436885873272E-2</v>
      </c>
      <c r="AY61" s="149">
        <f ca="1">1/(1+CHOOSE(F$3,(AX62+(Inputs!$B$14/10000))/2,(AX61+(Inputs!$B$14/10000))/2))^(2*AW61/365.25)</f>
        <v>0.70885719605328801</v>
      </c>
      <c r="AZ61" s="41">
        <f t="shared" si="49"/>
        <v>1</v>
      </c>
      <c r="BA61" s="72">
        <f t="shared" si="50"/>
        <v>30</v>
      </c>
      <c r="BC61" s="65">
        <f t="shared" ca="1" si="29"/>
        <v>4244636.8899670886</v>
      </c>
      <c r="BD61" s="65">
        <f t="shared" ca="1" si="30"/>
        <v>4303117.6086414838</v>
      </c>
      <c r="BE61" s="65">
        <f t="shared" ca="1" si="31"/>
        <v>4303117.6086414838</v>
      </c>
      <c r="BF61" s="65">
        <f t="shared" ca="1" si="32"/>
        <v>637971.47644795908</v>
      </c>
      <c r="BG61" s="65">
        <f t="shared" ca="1" si="33"/>
        <v>637971.47644795908</v>
      </c>
      <c r="BH61" s="65">
        <f t="shared" ca="1" si="34"/>
        <v>637971.47644795908</v>
      </c>
      <c r="BI61" s="65">
        <f t="shared" ca="1" si="35"/>
        <v>0</v>
      </c>
      <c r="BJ61" s="65">
        <f t="shared" ca="1" si="36"/>
        <v>0</v>
      </c>
      <c r="BK61" s="65">
        <f t="shared" ca="1" si="37"/>
        <v>0</v>
      </c>
      <c r="BL61" s="65">
        <f t="shared" ca="1" si="38"/>
        <v>10101.215043759354</v>
      </c>
      <c r="BM61" s="65">
        <f t="shared" ca="1" si="39"/>
        <v>10101.215043759354</v>
      </c>
      <c r="BN61" s="65">
        <f t="shared" ca="1" si="40"/>
        <v>10101.215043759354</v>
      </c>
      <c r="BO61" s="65">
        <f t="shared" ca="1" si="41"/>
        <v>10632.85794079932</v>
      </c>
      <c r="BP61" s="65">
        <f t="shared" ca="1" si="42"/>
        <v>0</v>
      </c>
      <c r="BQ61" s="65">
        <f t="shared" ca="1" si="43"/>
        <v>0</v>
      </c>
      <c r="BR61" s="65">
        <f t="shared" ca="1" si="44"/>
        <v>4941089.0850894433</v>
      </c>
      <c r="BS61" s="65">
        <f t="shared" ca="1" si="45"/>
        <v>4313218.8236852437</v>
      </c>
      <c r="BT61" s="65">
        <f t="shared" ca="1" si="46"/>
        <v>63797.147644795914</v>
      </c>
      <c r="BU61" s="65">
        <f t="shared" ca="1" si="23"/>
        <v>564073.11375940335</v>
      </c>
    </row>
    <row r="62" spans="1:73">
      <c r="A62" s="42">
        <f t="shared" si="24"/>
        <v>39722</v>
      </c>
      <c r="B62" s="30">
        <f>Inputs!$B$8</f>
        <v>50000</v>
      </c>
      <c r="C62" s="17">
        <f t="shared" si="5"/>
        <v>1550000</v>
      </c>
      <c r="D62" s="17">
        <f t="shared" ca="1" si="6"/>
        <v>1092857.9313012671</v>
      </c>
      <c r="E62" s="25">
        <f>VLOOKUP($A62,[1]!CurveTable,MATCH($E$4,[1]!CurveType,0))</f>
        <v>3.992</v>
      </c>
      <c r="F62" s="31">
        <f>E62-Inputs!$B$16</f>
        <v>4.0469999999999997</v>
      </c>
      <c r="G62" s="43">
        <f t="shared" si="56"/>
        <v>4.0469999999999997</v>
      </c>
      <c r="H62" s="25">
        <f>VLOOKUP($A62,[1]!CurveTable,MATCH($H$4,[1]!CurveType,0))</f>
        <v>0.3</v>
      </c>
      <c r="I62" s="31">
        <f>H62+Inputs!$B$22</f>
        <v>0.3</v>
      </c>
      <c r="J62" s="44">
        <f t="shared" si="57"/>
        <v>0.3</v>
      </c>
      <c r="K62" s="25">
        <f>VLOOKUP($A62,[1]!CurveTable,MATCH($K$4,[1]!CurveType,0))</f>
        <v>0</v>
      </c>
      <c r="L62" s="31">
        <v>0</v>
      </c>
      <c r="M62" s="45">
        <f t="shared" si="58"/>
        <v>0</v>
      </c>
      <c r="N62" s="25">
        <f>VLOOKUP($A62,[1]!CurveTable,MATCH($N$4,[1]!CurveType,0))</f>
        <v>8.0000000000000002E-3</v>
      </c>
      <c r="O62" s="31">
        <f>N62+Inputs!$E$22</f>
        <v>8.0000000000000002E-3</v>
      </c>
      <c r="P62" s="45">
        <f t="shared" si="59"/>
        <v>8.0000000000000002E-3</v>
      </c>
      <c r="Q62" s="25">
        <f>VLOOKUP($A62,[1]!CurveTable,MATCH($Q$4,[1]!CurveType,0))</f>
        <v>0.01</v>
      </c>
      <c r="R62" s="31">
        <v>0</v>
      </c>
      <c r="S62" s="45">
        <f t="shared" si="60"/>
        <v>0</v>
      </c>
      <c r="T62" s="4"/>
      <c r="U62" s="159">
        <f t="shared" si="25"/>
        <v>4.3469999999999995</v>
      </c>
      <c r="V62" s="160"/>
      <c r="W62" s="100">
        <f>VLOOKUP($A62,[1]!CurveTable,MATCH($W$4,[1]!CurveType,0))+$W$9</f>
        <v>0.22</v>
      </c>
      <c r="X62" s="100">
        <f>VLOOKUP($A62,[1]!CurveTable,MATCH($X$4,[1]!CurveType,0))+$X$9</f>
        <v>0.22500000000000001</v>
      </c>
      <c r="Y62" s="158">
        <f t="shared" ca="1" si="12"/>
        <v>0.22705411878732046</v>
      </c>
      <c r="Z62" s="4"/>
      <c r="AA62" s="159">
        <f t="shared" si="26"/>
        <v>4.0549999999999997</v>
      </c>
      <c r="AB62" s="160"/>
      <c r="AC62" s="100">
        <f>VLOOKUP($A62,[1]!CurveTable,MATCH($AC$4,[1]!CurveType,0))+$AC$9</f>
        <v>0.22</v>
      </c>
      <c r="AD62" s="100">
        <f>VLOOKUP($A62,[1]!CurveTable,MATCH($AD$4,[1]!CurveType,0))+$AD$9</f>
        <v>0.22500000000000001</v>
      </c>
      <c r="AE62" s="158">
        <f t="shared" ca="1" si="13"/>
        <v>0.22705411878732046</v>
      </c>
      <c r="AF62" s="4"/>
      <c r="AG62" s="52">
        <f ca="1">((Inputs!$F$20*(X62*AD62)*(A62-$C$3))+(Inputs!$F$19*W62*AC62*(DAY(EOMONTH(A62,0))/2)))/(AN62*Y62*AE62)</f>
        <v>0.75000000000000011</v>
      </c>
      <c r="AH62" s="4"/>
      <c r="AI62" s="18">
        <f>Inputs!$B$15</f>
        <v>0.06</v>
      </c>
      <c r="AJ62" s="46"/>
      <c r="AK62" s="18">
        <f t="shared" si="14"/>
        <v>0.23199999999999982</v>
      </c>
      <c r="AL62" s="46"/>
      <c r="AM62" s="62">
        <f t="shared" si="15"/>
        <v>39691</v>
      </c>
      <c r="AN62" s="63">
        <f t="shared" ca="1" si="16"/>
        <v>2498</v>
      </c>
      <c r="AO62" s="63">
        <f t="shared" si="47"/>
        <v>1</v>
      </c>
      <c r="AP62" s="19"/>
      <c r="AQ62" s="74">
        <f ca="1">_xll.SPRDOPT(U62,AA62,AI62,AX62,X62,AD62,AG62,AN62,AO62,0)</f>
        <v>0.57526988390522305</v>
      </c>
      <c r="AR62" s="47">
        <f t="shared" ca="1" si="27"/>
        <v>891668.3200530957</v>
      </c>
      <c r="AS62" s="135">
        <f t="shared" ca="1" si="28"/>
        <v>0.34326988390522323</v>
      </c>
      <c r="AU62" s="5">
        <f t="shared" si="48"/>
        <v>31</v>
      </c>
      <c r="AV62" s="148">
        <f t="shared" si="18"/>
        <v>39736</v>
      </c>
      <c r="AW62" s="41">
        <f t="shared" ca="1" si="19"/>
        <v>2543</v>
      </c>
      <c r="AX62" s="100">
        <f>VLOOKUP($A62,[1]!CurveTable,MATCH(AX$4,[1]!CurveType,0))</f>
        <v>5.0827731202207203E-2</v>
      </c>
      <c r="AY62" s="149">
        <f ca="1">1/(1+CHOOSE(F$3,(AX63+(Inputs!$B$14/10000))/2,(AX62+(Inputs!$B$14/10000))/2))^(2*AW62/365.25)</f>
        <v>0.70506963309759174</v>
      </c>
      <c r="AZ62" s="41">
        <f t="shared" si="49"/>
        <v>1</v>
      </c>
      <c r="BA62" s="72">
        <f t="shared" si="50"/>
        <v>31</v>
      </c>
      <c r="BC62" s="65">
        <f t="shared" ca="1" si="29"/>
        <v>4362688.8617546586</v>
      </c>
      <c r="BD62" s="65">
        <f t="shared" ca="1" si="30"/>
        <v>4422796.0479762275</v>
      </c>
      <c r="BE62" s="65">
        <f t="shared" ca="1" si="31"/>
        <v>4422796.0479762275</v>
      </c>
      <c r="BF62" s="65">
        <f t="shared" ca="1" si="32"/>
        <v>327857.37939038011</v>
      </c>
      <c r="BG62" s="65">
        <f t="shared" ca="1" si="33"/>
        <v>327857.37939038011</v>
      </c>
      <c r="BH62" s="65">
        <f t="shared" ca="1" si="34"/>
        <v>327857.37939038011</v>
      </c>
      <c r="BI62" s="65">
        <f t="shared" ca="1" si="35"/>
        <v>0</v>
      </c>
      <c r="BJ62" s="65">
        <f t="shared" ca="1" si="36"/>
        <v>0</v>
      </c>
      <c r="BK62" s="65">
        <f t="shared" ca="1" si="37"/>
        <v>0</v>
      </c>
      <c r="BL62" s="65">
        <f t="shared" ca="1" si="38"/>
        <v>8742.8634504101374</v>
      </c>
      <c r="BM62" s="65">
        <f t="shared" ca="1" si="39"/>
        <v>8742.8634504101374</v>
      </c>
      <c r="BN62" s="65">
        <f t="shared" ca="1" si="40"/>
        <v>8742.8634504101374</v>
      </c>
      <c r="BO62" s="65">
        <f t="shared" ca="1" si="41"/>
        <v>10928.579313012671</v>
      </c>
      <c r="BP62" s="65">
        <f t="shared" ca="1" si="42"/>
        <v>0</v>
      </c>
      <c r="BQ62" s="65">
        <f t="shared" ca="1" si="43"/>
        <v>0</v>
      </c>
      <c r="BR62" s="65">
        <f t="shared" ca="1" si="44"/>
        <v>4750653.4273666078</v>
      </c>
      <c r="BS62" s="65">
        <f t="shared" ca="1" si="45"/>
        <v>4431538.9114266383</v>
      </c>
      <c r="BT62" s="65">
        <f t="shared" ca="1" si="46"/>
        <v>65571.475878076031</v>
      </c>
      <c r="BU62" s="65">
        <f t="shared" ca="1" si="23"/>
        <v>253543.04006189379</v>
      </c>
    </row>
    <row r="63" spans="1:73">
      <c r="A63" s="42">
        <f t="shared" si="24"/>
        <v>39753</v>
      </c>
      <c r="B63" s="30">
        <f>Inputs!$B$8</f>
        <v>50000</v>
      </c>
      <c r="C63" s="17">
        <f t="shared" si="5"/>
        <v>1500000</v>
      </c>
      <c r="D63" s="17">
        <f t="shared" ca="1" si="6"/>
        <v>1051826.0420176489</v>
      </c>
      <c r="E63" s="25">
        <f>VLOOKUP($A63,[1]!CurveTable,MATCH($E$4,[1]!CurveType,0))</f>
        <v>4.1399999999999997</v>
      </c>
      <c r="F63" s="31">
        <f>E63-Inputs!$B$16</f>
        <v>4.1949999999999994</v>
      </c>
      <c r="G63" s="43">
        <f t="shared" si="56"/>
        <v>4.1949999999999994</v>
      </c>
      <c r="H63" s="25">
        <f>VLOOKUP($A63,[1]!CurveTable,MATCH($H$4,[1]!CurveType,0))</f>
        <v>0.22</v>
      </c>
      <c r="I63" s="31">
        <f>H63+Inputs!$B$22</f>
        <v>0.22</v>
      </c>
      <c r="J63" s="44">
        <f t="shared" si="57"/>
        <v>0.22</v>
      </c>
      <c r="K63" s="25">
        <f>VLOOKUP($A63,[1]!CurveTable,MATCH($K$4,[1]!CurveType,0))</f>
        <v>0</v>
      </c>
      <c r="L63" s="31">
        <v>0</v>
      </c>
      <c r="M63" s="45">
        <f t="shared" si="58"/>
        <v>0</v>
      </c>
      <c r="N63" s="25">
        <f>VLOOKUP($A63,[1]!CurveTable,MATCH($N$4,[1]!CurveType,0))</f>
        <v>9.0000000000000011E-3</v>
      </c>
      <c r="O63" s="31">
        <f>N63+Inputs!$E$22</f>
        <v>9.0000000000000011E-3</v>
      </c>
      <c r="P63" s="45">
        <f t="shared" si="59"/>
        <v>9.0000000000000011E-3</v>
      </c>
      <c r="Q63" s="25">
        <f>VLOOKUP($A63,[1]!CurveTable,MATCH($Q$4,[1]!CurveType,0))</f>
        <v>7.4999999999999997E-3</v>
      </c>
      <c r="R63" s="31">
        <v>0</v>
      </c>
      <c r="S63" s="45">
        <f t="shared" si="60"/>
        <v>0</v>
      </c>
      <c r="T63" s="4"/>
      <c r="U63" s="159">
        <f t="shared" si="25"/>
        <v>4.4149999999999991</v>
      </c>
      <c r="V63" s="160"/>
      <c r="W63" s="100">
        <f>VLOOKUP($A63,[1]!CurveTable,MATCH($W$4,[1]!CurveType,0))+$W$9</f>
        <v>0.22</v>
      </c>
      <c r="X63" s="100">
        <f>VLOOKUP($A63,[1]!CurveTable,MATCH($X$4,[1]!CurveType,0))+$X$9</f>
        <v>0.22500000000000001</v>
      </c>
      <c r="Y63" s="158">
        <f t="shared" ca="1" si="12"/>
        <v>0.22705287121970938</v>
      </c>
      <c r="Z63" s="4"/>
      <c r="AA63" s="159">
        <f t="shared" si="26"/>
        <v>4.2039999999999997</v>
      </c>
      <c r="AB63" s="160"/>
      <c r="AC63" s="100">
        <f>VLOOKUP($A63,[1]!CurveTable,MATCH($AC$4,[1]!CurveType,0))+$AC$9</f>
        <v>0.22</v>
      </c>
      <c r="AD63" s="100">
        <f>VLOOKUP($A63,[1]!CurveTable,MATCH($AD$4,[1]!CurveType,0))+$AD$9</f>
        <v>0.22500000000000001</v>
      </c>
      <c r="AE63" s="158">
        <f t="shared" ca="1" si="13"/>
        <v>0.22705287121970938</v>
      </c>
      <c r="AF63" s="4"/>
      <c r="AG63" s="52">
        <f ca="1">((Inputs!$F$20*(X63*AD63)*(A63-$C$3))+(Inputs!$F$19*W63*AC63*(DAY(EOMONTH(A63,0))/2)))/(AN63*Y63*AE63)</f>
        <v>0.74999999999999989</v>
      </c>
      <c r="AH63" s="4"/>
      <c r="AI63" s="18">
        <f>Inputs!$B$15</f>
        <v>0.06</v>
      </c>
      <c r="AJ63" s="46"/>
      <c r="AK63" s="18">
        <f t="shared" si="14"/>
        <v>0.15099999999999941</v>
      </c>
      <c r="AL63" s="46"/>
      <c r="AM63" s="62">
        <f t="shared" si="15"/>
        <v>39721</v>
      </c>
      <c r="AN63" s="63">
        <f t="shared" ca="1" si="16"/>
        <v>2528</v>
      </c>
      <c r="AO63" s="63">
        <f t="shared" si="47"/>
        <v>1</v>
      </c>
      <c r="AP63" s="19"/>
      <c r="AQ63" s="74">
        <f ca="1">_xll.SPRDOPT(U63,AA63,AI63,AX63,X63,AD63,AG63,AN63,AO63,0)</f>
        <v>0.55675335186322417</v>
      </c>
      <c r="AR63" s="47">
        <f t="shared" ca="1" si="27"/>
        <v>835130.02779483621</v>
      </c>
      <c r="AS63" s="135">
        <f t="shared" ca="1" si="28"/>
        <v>0.40575335186322475</v>
      </c>
      <c r="AU63" s="5">
        <f t="shared" si="48"/>
        <v>30</v>
      </c>
      <c r="AV63" s="148">
        <f t="shared" si="18"/>
        <v>39767</v>
      </c>
      <c r="AW63" s="41">
        <f t="shared" ca="1" si="19"/>
        <v>2574</v>
      </c>
      <c r="AX63" s="100">
        <f>VLOOKUP($A63,[1]!CurveTable,MATCH(AX$4,[1]!CurveType,0))</f>
        <v>5.1005058333542803E-2</v>
      </c>
      <c r="AY63" s="149">
        <f ca="1">1/(1+CHOOSE(F$3,(AX64+(Inputs!$B$14/10000))/2,(AX63+(Inputs!$B$14/10000))/2))^(2*AW63/365.25)</f>
        <v>0.70121736134509927</v>
      </c>
      <c r="AZ63" s="41">
        <f t="shared" si="49"/>
        <v>1</v>
      </c>
      <c r="BA63" s="72">
        <f t="shared" si="50"/>
        <v>30</v>
      </c>
      <c r="BC63" s="65">
        <f t="shared" ca="1" si="29"/>
        <v>4354559.8139530662</v>
      </c>
      <c r="BD63" s="65">
        <f t="shared" ca="1" si="30"/>
        <v>4412410.2462640367</v>
      </c>
      <c r="BE63" s="65">
        <f t="shared" ca="1" si="31"/>
        <v>4412410.2462640367</v>
      </c>
      <c r="BF63" s="65">
        <f t="shared" ca="1" si="32"/>
        <v>231401.72924388276</v>
      </c>
      <c r="BG63" s="65">
        <f t="shared" ca="1" si="33"/>
        <v>231401.72924388276</v>
      </c>
      <c r="BH63" s="65">
        <f t="shared" ca="1" si="34"/>
        <v>231401.72924388276</v>
      </c>
      <c r="BI63" s="65">
        <f t="shared" ca="1" si="35"/>
        <v>0</v>
      </c>
      <c r="BJ63" s="65">
        <f t="shared" ca="1" si="36"/>
        <v>0</v>
      </c>
      <c r="BK63" s="65">
        <f t="shared" ca="1" si="37"/>
        <v>0</v>
      </c>
      <c r="BL63" s="65">
        <f t="shared" ca="1" si="38"/>
        <v>9466.4343781588414</v>
      </c>
      <c r="BM63" s="65">
        <f t="shared" ca="1" si="39"/>
        <v>9466.4343781588414</v>
      </c>
      <c r="BN63" s="65">
        <f t="shared" ca="1" si="40"/>
        <v>9466.4343781588414</v>
      </c>
      <c r="BO63" s="65">
        <f t="shared" ca="1" si="41"/>
        <v>7888.6953151323669</v>
      </c>
      <c r="BP63" s="65">
        <f t="shared" ca="1" si="42"/>
        <v>0</v>
      </c>
      <c r="BQ63" s="65">
        <f t="shared" ca="1" si="43"/>
        <v>0</v>
      </c>
      <c r="BR63" s="65">
        <f t="shared" ca="1" si="44"/>
        <v>4643811.9755079187</v>
      </c>
      <c r="BS63" s="65">
        <f t="shared" ca="1" si="45"/>
        <v>4421876.680642196</v>
      </c>
      <c r="BT63" s="65">
        <f t="shared" ca="1" si="46"/>
        <v>63109.562521058935</v>
      </c>
      <c r="BU63" s="65">
        <f t="shared" ca="1" si="23"/>
        <v>158825.73234466437</v>
      </c>
    </row>
    <row r="64" spans="1:73">
      <c r="A64" s="42">
        <f t="shared" si="24"/>
        <v>39783</v>
      </c>
      <c r="B64" s="30">
        <f>Inputs!$B$8</f>
        <v>50000</v>
      </c>
      <c r="C64" s="17">
        <f t="shared" si="5"/>
        <v>1550000</v>
      </c>
      <c r="D64" s="17">
        <f t="shared" ca="1" si="6"/>
        <v>1081595.5611419352</v>
      </c>
      <c r="E64" s="25">
        <f>VLOOKUP($A64,[1]!CurveTable,MATCH($E$4,[1]!CurveType,0))</f>
        <v>4.2919999999999998</v>
      </c>
      <c r="F64" s="31">
        <f>E64-Inputs!$B$16</f>
        <v>4.3469999999999995</v>
      </c>
      <c r="G64" s="43">
        <f t="shared" si="56"/>
        <v>4.3469999999999995</v>
      </c>
      <c r="H64" s="25">
        <f>VLOOKUP($A64,[1]!CurveTable,MATCH($H$4,[1]!CurveType,0))</f>
        <v>0.2</v>
      </c>
      <c r="I64" s="31">
        <f>H64+Inputs!$B$22</f>
        <v>0.2</v>
      </c>
      <c r="J64" s="44">
        <f t="shared" si="57"/>
        <v>0.2</v>
      </c>
      <c r="K64" s="25">
        <f>VLOOKUP($A64,[1]!CurveTable,MATCH($K$4,[1]!CurveType,0))</f>
        <v>0</v>
      </c>
      <c r="L64" s="31">
        <v>0</v>
      </c>
      <c r="M64" s="45">
        <f t="shared" si="58"/>
        <v>0</v>
      </c>
      <c r="N64" s="25">
        <f>VLOOKUP($A64,[1]!CurveTable,MATCH($N$4,[1]!CurveType,0))</f>
        <v>9.0000000000000011E-3</v>
      </c>
      <c r="O64" s="31">
        <f>N64+Inputs!$E$22</f>
        <v>9.0000000000000011E-3</v>
      </c>
      <c r="P64" s="45">
        <f t="shared" si="59"/>
        <v>9.0000000000000011E-3</v>
      </c>
      <c r="Q64" s="25">
        <f>VLOOKUP($A64,[1]!CurveTable,MATCH($Q$4,[1]!CurveType,0))</f>
        <v>7.4999999999999997E-3</v>
      </c>
      <c r="R64" s="31">
        <v>0</v>
      </c>
      <c r="S64" s="45">
        <f t="shared" si="60"/>
        <v>0</v>
      </c>
      <c r="T64" s="4"/>
      <c r="U64" s="159">
        <f t="shared" si="25"/>
        <v>4.5469999999999997</v>
      </c>
      <c r="V64" s="160"/>
      <c r="W64" s="100">
        <f>VLOOKUP($A64,[1]!CurveTable,MATCH($W$4,[1]!CurveType,0))+$W$9</f>
        <v>0.2225</v>
      </c>
      <c r="X64" s="100">
        <f>VLOOKUP($A64,[1]!CurveTable,MATCH($X$4,[1]!CurveType,0))+$X$9</f>
        <v>0.22750000000000001</v>
      </c>
      <c r="Y64" s="158">
        <f t="shared" ca="1" si="12"/>
        <v>0.22952797816572182</v>
      </c>
      <c r="Z64" s="4"/>
      <c r="AA64" s="159">
        <f t="shared" si="26"/>
        <v>4.3559999999999999</v>
      </c>
      <c r="AB64" s="160"/>
      <c r="AC64" s="100">
        <f>VLOOKUP($A64,[1]!CurveTable,MATCH($AC$4,[1]!CurveType,0))+$AC$9</f>
        <v>0.2225</v>
      </c>
      <c r="AD64" s="100">
        <f>VLOOKUP($A64,[1]!CurveTable,MATCH($AD$4,[1]!CurveType,0))+$AD$9</f>
        <v>0.22750000000000001</v>
      </c>
      <c r="AE64" s="158">
        <f t="shared" ca="1" si="13"/>
        <v>0.22952797816572182</v>
      </c>
      <c r="AF64" s="4"/>
      <c r="AG64" s="52">
        <f ca="1">((Inputs!$F$20*(X64*AD64)*(A64-$C$3))+(Inputs!$F$19*W64*AC64*(DAY(EOMONTH(A64,0))/2)))/(AN64*Y64*AE64)</f>
        <v>0.75000000000000011</v>
      </c>
      <c r="AH64" s="4"/>
      <c r="AI64" s="18">
        <f>Inputs!$B$15</f>
        <v>0.06</v>
      </c>
      <c r="AJ64" s="46"/>
      <c r="AK64" s="18">
        <f t="shared" si="14"/>
        <v>0.13099999999999984</v>
      </c>
      <c r="AL64" s="46"/>
      <c r="AM64" s="62">
        <f t="shared" si="15"/>
        <v>39752</v>
      </c>
      <c r="AN64" s="63">
        <f t="shared" ca="1" si="16"/>
        <v>2559</v>
      </c>
      <c r="AO64" s="63">
        <f t="shared" si="47"/>
        <v>1</v>
      </c>
      <c r="AP64" s="19"/>
      <c r="AQ64" s="74">
        <f ca="1">_xll.SPRDOPT(U64,AA64,AI64,AX64,X64,AD64,AG64,AN64,AO64,0)</f>
        <v>0.57169775901705511</v>
      </c>
      <c r="AR64" s="47">
        <f t="shared" ca="1" si="27"/>
        <v>886131.52647643536</v>
      </c>
      <c r="AS64" s="135">
        <f t="shared" ca="1" si="28"/>
        <v>0.44069775901705527</v>
      </c>
      <c r="AU64" s="5">
        <f t="shared" si="48"/>
        <v>31</v>
      </c>
      <c r="AV64" s="148">
        <f t="shared" si="18"/>
        <v>39797</v>
      </c>
      <c r="AW64" s="41">
        <f t="shared" ca="1" si="19"/>
        <v>2604</v>
      </c>
      <c r="AX64" s="100">
        <f>VLOOKUP($A64,[1]!CurveTable,MATCH(AX$4,[1]!CurveType,0))</f>
        <v>5.1111999471548306E-2</v>
      </c>
      <c r="AY64" s="149">
        <f ca="1">1/(1+CHOOSE(F$3,(AX65+(Inputs!$B$14/10000))/2,(AX64+(Inputs!$B$14/10000))/2))^(2*AW64/365.25)</f>
        <v>0.6978035878335066</v>
      </c>
      <c r="AZ64" s="41">
        <f t="shared" si="49"/>
        <v>1</v>
      </c>
      <c r="BA64" s="72">
        <f t="shared" si="50"/>
        <v>31</v>
      </c>
      <c r="BC64" s="65">
        <f t="shared" ca="1" si="29"/>
        <v>4642208.148421186</v>
      </c>
      <c r="BD64" s="65">
        <f t="shared" ca="1" si="30"/>
        <v>4701695.904283992</v>
      </c>
      <c r="BE64" s="65">
        <f t="shared" ca="1" si="31"/>
        <v>4701695.904283992</v>
      </c>
      <c r="BF64" s="65">
        <f t="shared" ca="1" si="32"/>
        <v>216319.11222838704</v>
      </c>
      <c r="BG64" s="65">
        <f t="shared" ca="1" si="33"/>
        <v>216319.11222838704</v>
      </c>
      <c r="BH64" s="65">
        <f t="shared" ca="1" si="34"/>
        <v>216319.11222838704</v>
      </c>
      <c r="BI64" s="65">
        <f t="shared" ca="1" si="35"/>
        <v>0</v>
      </c>
      <c r="BJ64" s="65">
        <f t="shared" ca="1" si="36"/>
        <v>0</v>
      </c>
      <c r="BK64" s="65">
        <f t="shared" ca="1" si="37"/>
        <v>0</v>
      </c>
      <c r="BL64" s="65">
        <f t="shared" ca="1" si="38"/>
        <v>9734.360050277417</v>
      </c>
      <c r="BM64" s="65">
        <f t="shared" ca="1" si="39"/>
        <v>9734.360050277417</v>
      </c>
      <c r="BN64" s="65">
        <f t="shared" ca="1" si="40"/>
        <v>9734.360050277417</v>
      </c>
      <c r="BO64" s="65">
        <f t="shared" ca="1" si="41"/>
        <v>8111.9667085645133</v>
      </c>
      <c r="BP64" s="65">
        <f t="shared" ca="1" si="42"/>
        <v>0</v>
      </c>
      <c r="BQ64" s="65">
        <f t="shared" ca="1" si="43"/>
        <v>0</v>
      </c>
      <c r="BR64" s="65">
        <f t="shared" ca="1" si="44"/>
        <v>4918015.0165123791</v>
      </c>
      <c r="BS64" s="65">
        <f t="shared" ca="1" si="45"/>
        <v>4711430.2643342698</v>
      </c>
      <c r="BT64" s="65">
        <f t="shared" ca="1" si="46"/>
        <v>64895.733668516106</v>
      </c>
      <c r="BU64" s="65">
        <f t="shared" ca="1" si="23"/>
        <v>141689.01850959333</v>
      </c>
    </row>
    <row r="65" spans="1:73">
      <c r="A65" s="42">
        <f t="shared" si="24"/>
        <v>39814</v>
      </c>
      <c r="B65" s="30">
        <f>Inputs!$B$8</f>
        <v>50000</v>
      </c>
      <c r="C65" s="17">
        <f t="shared" si="5"/>
        <v>1550000</v>
      </c>
      <c r="D65" s="17">
        <f t="shared" ca="1" si="6"/>
        <v>1076135.5728741456</v>
      </c>
      <c r="E65" s="25">
        <f>VLOOKUP($A65,[1]!CurveTable,MATCH($E$4,[1]!CurveType,0))</f>
        <v>4.3620000000000001</v>
      </c>
      <c r="F65" s="31">
        <f>E65-Inputs!$B$16</f>
        <v>4.4169999999999998</v>
      </c>
      <c r="G65" s="43">
        <f t="shared" si="56"/>
        <v>4.4169999999999998</v>
      </c>
      <c r="H65" s="25">
        <f>VLOOKUP($A65,[1]!CurveTable,MATCH($H$4,[1]!CurveType,0))</f>
        <v>7.4999999999999997E-2</v>
      </c>
      <c r="I65" s="31">
        <f>H65+Inputs!$B$22</f>
        <v>7.4999999999999997E-2</v>
      </c>
      <c r="J65" s="44">
        <f t="shared" si="57"/>
        <v>7.4999999999999997E-2</v>
      </c>
      <c r="K65" s="25">
        <f>VLOOKUP($A65,[1]!CurveTable,MATCH($K$4,[1]!CurveType,0))</f>
        <v>0</v>
      </c>
      <c r="L65" s="31">
        <v>0</v>
      </c>
      <c r="M65" s="45">
        <f t="shared" si="58"/>
        <v>0</v>
      </c>
      <c r="N65" s="25">
        <f>VLOOKUP($A65,[1]!CurveTable,MATCH($N$4,[1]!CurveType,0))</f>
        <v>9.0000000000000011E-3</v>
      </c>
      <c r="O65" s="31">
        <f>N65+Inputs!$E$22</f>
        <v>9.0000000000000011E-3</v>
      </c>
      <c r="P65" s="45">
        <f t="shared" si="59"/>
        <v>9.0000000000000011E-3</v>
      </c>
      <c r="Q65" s="25">
        <f>VLOOKUP($A65,[1]!CurveTable,MATCH($Q$4,[1]!CurveType,0))</f>
        <v>7.4999999999999997E-3</v>
      </c>
      <c r="R65" s="31">
        <v>0</v>
      </c>
      <c r="S65" s="45">
        <f t="shared" si="60"/>
        <v>0</v>
      </c>
      <c r="T65" s="4"/>
      <c r="U65" s="159">
        <f t="shared" si="25"/>
        <v>4.492</v>
      </c>
      <c r="V65" s="160"/>
      <c r="W65" s="100">
        <f>VLOOKUP($A65,[1]!CurveTable,MATCH($W$4,[1]!CurveType,0))+$W$9</f>
        <v>0.22500000000000001</v>
      </c>
      <c r="X65" s="100">
        <f>VLOOKUP($A65,[1]!CurveTable,MATCH($X$4,[1]!CurveType,0))+$X$9</f>
        <v>0.23</v>
      </c>
      <c r="Y65" s="158">
        <f t="shared" ca="1" si="12"/>
        <v>0.23207095542250555</v>
      </c>
      <c r="Z65" s="4"/>
      <c r="AA65" s="159">
        <f t="shared" si="26"/>
        <v>4.4260000000000002</v>
      </c>
      <c r="AB65" s="160"/>
      <c r="AC65" s="100">
        <f>VLOOKUP($A65,[1]!CurveTable,MATCH($AC$4,[1]!CurveType,0))+$AC$9</f>
        <v>0.22500000000000001</v>
      </c>
      <c r="AD65" s="100">
        <f>VLOOKUP($A65,[1]!CurveTable,MATCH($AD$4,[1]!CurveType,0))+$AD$9</f>
        <v>0.23</v>
      </c>
      <c r="AE65" s="158">
        <f t="shared" ca="1" si="13"/>
        <v>0.23207095542250555</v>
      </c>
      <c r="AF65" s="4"/>
      <c r="AG65" s="52">
        <f ca="1">((Inputs!$F$20*(X65*AD65)*(A65-$C$3))+(Inputs!$F$19*W65*AC65*(DAY(EOMONTH(A65,0))/2)))/(AN65*Y65*AE65)</f>
        <v>0.75</v>
      </c>
      <c r="AH65" s="4"/>
      <c r="AI65" s="18">
        <f>Inputs!$B$15</f>
        <v>0.06</v>
      </c>
      <c r="AJ65" s="46"/>
      <c r="AK65" s="18">
        <f t="shared" si="14"/>
        <v>5.9999999999998388E-3</v>
      </c>
      <c r="AL65" s="46"/>
      <c r="AM65" s="62">
        <f t="shared" si="15"/>
        <v>39782</v>
      </c>
      <c r="AN65" s="63">
        <f t="shared" ca="1" si="16"/>
        <v>2589</v>
      </c>
      <c r="AO65" s="63">
        <f t="shared" si="47"/>
        <v>1</v>
      </c>
      <c r="AP65" s="19"/>
      <c r="AQ65" s="74">
        <f ca="1">_xll.SPRDOPT(U65,AA65,AI65,AX65,X65,AD65,AG65,AN65,AO65,0)</f>
        <v>0.5337670571008134</v>
      </c>
      <c r="AR65" s="47">
        <f t="shared" ca="1" si="27"/>
        <v>827338.93850626075</v>
      </c>
      <c r="AS65" s="135">
        <f t="shared" ca="1" si="28"/>
        <v>0.52776705710081351</v>
      </c>
      <c r="AU65" s="5">
        <f t="shared" si="48"/>
        <v>31</v>
      </c>
      <c r="AV65" s="148">
        <f t="shared" si="18"/>
        <v>39828</v>
      </c>
      <c r="AW65" s="41">
        <f t="shared" ca="1" si="19"/>
        <v>2635</v>
      </c>
      <c r="AX65" s="100">
        <f>VLOOKUP($A65,[1]!CurveTable,MATCH(AX$4,[1]!CurveType,0))</f>
        <v>5.1222505318162505E-2</v>
      </c>
      <c r="AY65" s="149">
        <f ca="1">1/(1+CHOOSE(F$3,(AX66+(Inputs!$B$14/10000))/2,(AX65+(Inputs!$B$14/10000))/2))^(2*AW65/365.25)</f>
        <v>0.69428101475751325</v>
      </c>
      <c r="AZ65" s="41">
        <f t="shared" si="49"/>
        <v>1</v>
      </c>
      <c r="BA65" s="72">
        <f t="shared" si="50"/>
        <v>31</v>
      </c>
      <c r="BC65" s="65">
        <f t="shared" ca="1" si="29"/>
        <v>4694103.3688770235</v>
      </c>
      <c r="BD65" s="65">
        <f t="shared" ca="1" si="30"/>
        <v>4753290.8253851011</v>
      </c>
      <c r="BE65" s="65">
        <f t="shared" ca="1" si="31"/>
        <v>4753290.8253851011</v>
      </c>
      <c r="BF65" s="65">
        <f t="shared" ca="1" si="32"/>
        <v>80710.167965560919</v>
      </c>
      <c r="BG65" s="65">
        <f t="shared" ca="1" si="33"/>
        <v>80710.167965560919</v>
      </c>
      <c r="BH65" s="65">
        <f t="shared" ca="1" si="34"/>
        <v>80710.167965560919</v>
      </c>
      <c r="BI65" s="65">
        <f t="shared" ca="1" si="35"/>
        <v>0</v>
      </c>
      <c r="BJ65" s="65">
        <f t="shared" ca="1" si="36"/>
        <v>0</v>
      </c>
      <c r="BK65" s="65">
        <f t="shared" ca="1" si="37"/>
        <v>0</v>
      </c>
      <c r="BL65" s="65">
        <f t="shared" ca="1" si="38"/>
        <v>9685.2201558673114</v>
      </c>
      <c r="BM65" s="65">
        <f t="shared" ca="1" si="39"/>
        <v>9685.2201558673114</v>
      </c>
      <c r="BN65" s="65">
        <f t="shared" ca="1" si="40"/>
        <v>9685.2201558673114</v>
      </c>
      <c r="BO65" s="65">
        <f t="shared" ca="1" si="41"/>
        <v>8071.0167965560913</v>
      </c>
      <c r="BP65" s="65">
        <f t="shared" ca="1" si="42"/>
        <v>0</v>
      </c>
      <c r="BQ65" s="65">
        <f t="shared" ca="1" si="43"/>
        <v>0</v>
      </c>
      <c r="BR65" s="65">
        <f t="shared" ca="1" si="44"/>
        <v>4834000.9933506623</v>
      </c>
      <c r="BS65" s="65">
        <f t="shared" ca="1" si="45"/>
        <v>4762976.0455409689</v>
      </c>
      <c r="BT65" s="65">
        <f t="shared" ca="1" si="46"/>
        <v>64568.134372448731</v>
      </c>
      <c r="BU65" s="65">
        <f t="shared" ca="1" si="23"/>
        <v>6456.8134372447003</v>
      </c>
    </row>
    <row r="66" spans="1:73">
      <c r="A66" s="42">
        <f t="shared" si="24"/>
        <v>39845</v>
      </c>
      <c r="B66" s="30">
        <f>Inputs!$B$8</f>
        <v>50000</v>
      </c>
      <c r="C66" s="17">
        <f t="shared" si="5"/>
        <v>1400000</v>
      </c>
      <c r="D66" s="17">
        <f t="shared" ca="1" si="6"/>
        <v>967069.06652286137</v>
      </c>
      <c r="E66" s="25">
        <f>VLOOKUP($A66,[1]!CurveTable,MATCH($E$4,[1]!CurveType,0))</f>
        <v>4.2750000000000004</v>
      </c>
      <c r="F66" s="31">
        <f>E66-Inputs!$B$16</f>
        <v>4.33</v>
      </c>
      <c r="G66" s="43">
        <f t="shared" si="56"/>
        <v>4.33</v>
      </c>
      <c r="H66" s="25">
        <f>VLOOKUP($A66,[1]!CurveTable,MATCH($H$4,[1]!CurveType,0))</f>
        <v>7.4999999999999997E-2</v>
      </c>
      <c r="I66" s="31">
        <f>H66+Inputs!$B$22</f>
        <v>7.4999999999999997E-2</v>
      </c>
      <c r="J66" s="44">
        <f t="shared" si="57"/>
        <v>7.4999999999999997E-2</v>
      </c>
      <c r="K66" s="25">
        <f>VLOOKUP($A66,[1]!CurveTable,MATCH($K$4,[1]!CurveType,0))</f>
        <v>0</v>
      </c>
      <c r="L66" s="31">
        <v>0</v>
      </c>
      <c r="M66" s="45">
        <f t="shared" si="58"/>
        <v>0</v>
      </c>
      <c r="N66" s="25">
        <f>VLOOKUP($A66,[1]!CurveTable,MATCH($N$4,[1]!CurveType,0))</f>
        <v>9.0000000000000011E-3</v>
      </c>
      <c r="O66" s="31">
        <f>N66+Inputs!$E$22</f>
        <v>9.0000000000000011E-3</v>
      </c>
      <c r="P66" s="45">
        <f t="shared" si="59"/>
        <v>9.0000000000000011E-3</v>
      </c>
      <c r="Q66" s="25">
        <f>VLOOKUP($A66,[1]!CurveTable,MATCH($Q$4,[1]!CurveType,0))</f>
        <v>7.4999999999999997E-3</v>
      </c>
      <c r="R66" s="31">
        <v>0</v>
      </c>
      <c r="S66" s="45">
        <f t="shared" si="60"/>
        <v>0</v>
      </c>
      <c r="T66" s="4"/>
      <c r="U66" s="159">
        <f t="shared" si="25"/>
        <v>4.4050000000000002</v>
      </c>
      <c r="V66" s="160"/>
      <c r="W66" s="100">
        <f>VLOOKUP($A66,[1]!CurveTable,MATCH($W$4,[1]!CurveType,0))+$W$9</f>
        <v>0.22</v>
      </c>
      <c r="X66" s="100">
        <f>VLOOKUP($A66,[1]!CurveTable,MATCH($X$4,[1]!CurveType,0))+$X$9</f>
        <v>0.22500000000000001</v>
      </c>
      <c r="Y66" s="158">
        <f t="shared" ca="1" si="12"/>
        <v>0.22694040311254737</v>
      </c>
      <c r="Z66" s="4"/>
      <c r="AA66" s="159">
        <f t="shared" si="26"/>
        <v>4.3390000000000004</v>
      </c>
      <c r="AB66" s="160"/>
      <c r="AC66" s="100">
        <f>VLOOKUP($A66,[1]!CurveTable,MATCH($AC$4,[1]!CurveType,0))+$AC$9</f>
        <v>0.22</v>
      </c>
      <c r="AD66" s="100">
        <f>VLOOKUP($A66,[1]!CurveTable,MATCH($AD$4,[1]!CurveType,0))+$AD$9</f>
        <v>0.22500000000000001</v>
      </c>
      <c r="AE66" s="158">
        <f t="shared" ca="1" si="13"/>
        <v>0.22694040311254737</v>
      </c>
      <c r="AF66" s="4"/>
      <c r="AG66" s="52">
        <f ca="1">((Inputs!$F$20*(X66*AD66)*(A66-$C$3))+(Inputs!$F$19*W66*AC66*(DAY(EOMONTH(A66,0))/2)))/(AN66*Y66*AE66)</f>
        <v>0.75</v>
      </c>
      <c r="AH66" s="4"/>
      <c r="AI66" s="18">
        <f>Inputs!$B$15</f>
        <v>0.06</v>
      </c>
      <c r="AJ66" s="46"/>
      <c r="AK66" s="18">
        <f t="shared" si="14"/>
        <v>5.9999999999998388E-3</v>
      </c>
      <c r="AL66" s="46"/>
      <c r="AM66" s="62">
        <f t="shared" si="15"/>
        <v>39813</v>
      </c>
      <c r="AN66" s="63">
        <f t="shared" ca="1" si="16"/>
        <v>2620</v>
      </c>
      <c r="AO66" s="63">
        <f t="shared" si="47"/>
        <v>1</v>
      </c>
      <c r="AP66" s="19"/>
      <c r="AQ66" s="74">
        <f ca="1">_xll.SPRDOPT(U66,AA66,AI66,AX66,X66,AD66,AG66,AN66,AO66,0)</f>
        <v>0.5125922612013103</v>
      </c>
      <c r="AR66" s="47">
        <f t="shared" ca="1" si="27"/>
        <v>717629.16568183445</v>
      </c>
      <c r="AS66" s="135">
        <f t="shared" ca="1" si="28"/>
        <v>0.50659226120131051</v>
      </c>
      <c r="AU66" s="5">
        <f t="shared" si="48"/>
        <v>28</v>
      </c>
      <c r="AV66" s="148">
        <f t="shared" si="18"/>
        <v>39859</v>
      </c>
      <c r="AW66" s="41">
        <f t="shared" ca="1" si="19"/>
        <v>2666</v>
      </c>
      <c r="AX66" s="100">
        <f>VLOOKUP($A66,[1]!CurveTable,MATCH(AX$4,[1]!CurveType,0))</f>
        <v>5.1333011168851701E-2</v>
      </c>
      <c r="AY66" s="149">
        <f ca="1">1/(1+CHOOSE(F$3,(AX67+(Inputs!$B$14/10000))/2,(AX66+(Inputs!$B$14/10000))/2))^(2*AW66/365.25)</f>
        <v>0.69076361894490101</v>
      </c>
      <c r="AZ66" s="41">
        <f t="shared" si="49"/>
        <v>1</v>
      </c>
      <c r="BA66" s="72">
        <f t="shared" si="50"/>
        <v>28</v>
      </c>
      <c r="BC66" s="65">
        <f t="shared" ca="1" si="29"/>
        <v>4134220.2593852328</v>
      </c>
      <c r="BD66" s="65">
        <f t="shared" ca="1" si="30"/>
        <v>4187409.0580439898</v>
      </c>
      <c r="BE66" s="65">
        <f t="shared" ca="1" si="31"/>
        <v>4187409.0580439898</v>
      </c>
      <c r="BF66" s="65">
        <f t="shared" ca="1" si="32"/>
        <v>72530.179989214594</v>
      </c>
      <c r="BG66" s="65">
        <f t="shared" ca="1" si="33"/>
        <v>72530.179989214594</v>
      </c>
      <c r="BH66" s="65">
        <f t="shared" ca="1" si="34"/>
        <v>72530.179989214594</v>
      </c>
      <c r="BI66" s="65">
        <f t="shared" ca="1" si="35"/>
        <v>0</v>
      </c>
      <c r="BJ66" s="65">
        <f t="shared" ca="1" si="36"/>
        <v>0</v>
      </c>
      <c r="BK66" s="65">
        <f t="shared" ca="1" si="37"/>
        <v>0</v>
      </c>
      <c r="BL66" s="65">
        <f t="shared" ca="1" si="38"/>
        <v>8703.6215987057531</v>
      </c>
      <c r="BM66" s="65">
        <f t="shared" ca="1" si="39"/>
        <v>8703.6215987057531</v>
      </c>
      <c r="BN66" s="65">
        <f t="shared" ca="1" si="40"/>
        <v>8703.6215987057531</v>
      </c>
      <c r="BO66" s="65">
        <f t="shared" ca="1" si="41"/>
        <v>7253.0179989214603</v>
      </c>
      <c r="BP66" s="65">
        <f t="shared" ca="1" si="42"/>
        <v>0</v>
      </c>
      <c r="BQ66" s="65">
        <f t="shared" ca="1" si="43"/>
        <v>0</v>
      </c>
      <c r="BR66" s="65">
        <f t="shared" ca="1" si="44"/>
        <v>4259939.2380332043</v>
      </c>
      <c r="BS66" s="65">
        <f t="shared" ca="1" si="45"/>
        <v>4196112.6796426959</v>
      </c>
      <c r="BT66" s="65">
        <f t="shared" ca="1" si="46"/>
        <v>58024.143991371682</v>
      </c>
      <c r="BU66" s="65">
        <f t="shared" ca="1" si="23"/>
        <v>5802.414399137012</v>
      </c>
    </row>
    <row r="67" spans="1:73">
      <c r="A67" s="42">
        <f t="shared" si="24"/>
        <v>39873</v>
      </c>
      <c r="B67" s="30">
        <f>Inputs!$B$8</f>
        <v>50000</v>
      </c>
      <c r="C67" s="17">
        <f t="shared" si="5"/>
        <v>1550000</v>
      </c>
      <c r="D67" s="17">
        <f t="shared" ca="1" si="6"/>
        <v>1065766.2852744116</v>
      </c>
      <c r="E67" s="25">
        <f>VLOOKUP($A67,[1]!CurveTable,MATCH($E$4,[1]!CurveType,0))</f>
        <v>4.1360000000000001</v>
      </c>
      <c r="F67" s="31">
        <f>E67-Inputs!$B$16</f>
        <v>4.1909999999999998</v>
      </c>
      <c r="G67" s="43">
        <f t="shared" si="56"/>
        <v>4.1909999999999998</v>
      </c>
      <c r="H67" s="25">
        <f>VLOOKUP($A67,[1]!CurveTable,MATCH($H$4,[1]!CurveType,0))</f>
        <v>0.18</v>
      </c>
      <c r="I67" s="31">
        <f>H67+Inputs!$B$22</f>
        <v>0.18</v>
      </c>
      <c r="J67" s="44">
        <f t="shared" si="57"/>
        <v>0.18</v>
      </c>
      <c r="K67" s="25">
        <f>VLOOKUP($A67,[1]!CurveTable,MATCH($K$4,[1]!CurveType,0))</f>
        <v>0</v>
      </c>
      <c r="L67" s="31">
        <v>0</v>
      </c>
      <c r="M67" s="45">
        <f t="shared" si="58"/>
        <v>0</v>
      </c>
      <c r="N67" s="25">
        <f>VLOOKUP($A67,[1]!CurveTable,MATCH($N$4,[1]!CurveType,0))</f>
        <v>1.3000000000000001E-2</v>
      </c>
      <c r="O67" s="31">
        <f>N67+Inputs!$E$22</f>
        <v>1.3000000000000001E-2</v>
      </c>
      <c r="P67" s="45">
        <f t="shared" si="59"/>
        <v>1.3000000000000001E-2</v>
      </c>
      <c r="Q67" s="25">
        <f>VLOOKUP($A67,[1]!CurveTable,MATCH($Q$4,[1]!CurveType,0))</f>
        <v>7.4999999999999997E-3</v>
      </c>
      <c r="R67" s="31">
        <v>0</v>
      </c>
      <c r="S67" s="45">
        <f t="shared" si="60"/>
        <v>0</v>
      </c>
      <c r="T67" s="4"/>
      <c r="U67" s="159">
        <f t="shared" si="25"/>
        <v>4.3709999999999996</v>
      </c>
      <c r="V67" s="160"/>
      <c r="W67" s="100">
        <f>VLOOKUP($A67,[1]!CurveTable,MATCH($W$4,[1]!CurveType,0))+$W$9</f>
        <v>0.20499999999999999</v>
      </c>
      <c r="X67" s="100">
        <f>VLOOKUP($A67,[1]!CurveTable,MATCH($X$4,[1]!CurveType,0))+$X$9</f>
        <v>0.21</v>
      </c>
      <c r="Y67" s="158">
        <f t="shared" ca="1" si="12"/>
        <v>0.21172655858253606</v>
      </c>
      <c r="Z67" s="4"/>
      <c r="AA67" s="159">
        <f t="shared" si="26"/>
        <v>4.2039999999999997</v>
      </c>
      <c r="AB67" s="160"/>
      <c r="AC67" s="100">
        <f>VLOOKUP($A67,[1]!CurveTable,MATCH($AC$4,[1]!CurveType,0))+$AC$9</f>
        <v>0.20499999999999999</v>
      </c>
      <c r="AD67" s="100">
        <f>VLOOKUP($A67,[1]!CurveTable,MATCH($AD$4,[1]!CurveType,0))+$AD$9</f>
        <v>0.21</v>
      </c>
      <c r="AE67" s="158">
        <f t="shared" ca="1" si="13"/>
        <v>0.21172655858253606</v>
      </c>
      <c r="AF67" s="4"/>
      <c r="AG67" s="52">
        <f ca="1">((Inputs!$F$20*(X67*AD67)*(A67-$C$3))+(Inputs!$F$19*W67*AC67*(DAY(EOMONTH(A67,0))/2)))/(AN67*Y67*AE67)</f>
        <v>0.74999999999999978</v>
      </c>
      <c r="AH67" s="4"/>
      <c r="AI67" s="18">
        <f>Inputs!$B$15</f>
        <v>0.06</v>
      </c>
      <c r="AJ67" s="46"/>
      <c r="AK67" s="18">
        <f t="shared" si="14"/>
        <v>0.10699999999999982</v>
      </c>
      <c r="AL67" s="46"/>
      <c r="AM67" s="62">
        <f t="shared" si="15"/>
        <v>39844</v>
      </c>
      <c r="AN67" s="63">
        <f t="shared" ca="1" si="16"/>
        <v>2651</v>
      </c>
      <c r="AO67" s="63">
        <f t="shared" si="47"/>
        <v>1</v>
      </c>
      <c r="AP67" s="19"/>
      <c r="AQ67" s="74">
        <f ca="1">_xll.SPRDOPT(U67,AA67,AI67,AX67,X67,AD67,AG67,AN67,AO67,0)</f>
        <v>0.50577455015338113</v>
      </c>
      <c r="AR67" s="47">
        <f t="shared" ca="1" si="27"/>
        <v>783950.5527377408</v>
      </c>
      <c r="AS67" s="135">
        <f t="shared" ca="1" si="28"/>
        <v>0.39877455015338131</v>
      </c>
      <c r="AU67" s="5">
        <f t="shared" si="48"/>
        <v>31</v>
      </c>
      <c r="AV67" s="148">
        <f t="shared" si="18"/>
        <v>39887</v>
      </c>
      <c r="AW67" s="41">
        <f t="shared" ca="1" si="19"/>
        <v>2694</v>
      </c>
      <c r="AX67" s="100">
        <f>VLOOKUP($A67,[1]!CurveTable,MATCH(AX$4,[1]!CurveType,0))</f>
        <v>5.1432822908460206E-2</v>
      </c>
      <c r="AY67" s="149">
        <f ca="1">1/(1+CHOOSE(F$3,(AX68+(Inputs!$B$14/10000))/2,(AX67+(Inputs!$B$14/10000))/2))^(2*AW67/365.25)</f>
        <v>0.6875911517899429</v>
      </c>
      <c r="AZ67" s="41">
        <f t="shared" si="49"/>
        <v>1</v>
      </c>
      <c r="BA67" s="72">
        <f t="shared" si="50"/>
        <v>31</v>
      </c>
      <c r="BC67" s="65">
        <f t="shared" ca="1" si="29"/>
        <v>4408009.3558949661</v>
      </c>
      <c r="BD67" s="65">
        <f t="shared" ca="1" si="30"/>
        <v>4466626.5015850589</v>
      </c>
      <c r="BE67" s="65">
        <f t="shared" ca="1" si="31"/>
        <v>4466626.5015850589</v>
      </c>
      <c r="BF67" s="65">
        <f t="shared" ca="1" si="32"/>
        <v>191837.93134939409</v>
      </c>
      <c r="BG67" s="65">
        <f t="shared" ca="1" si="33"/>
        <v>191837.93134939409</v>
      </c>
      <c r="BH67" s="65">
        <f t="shared" ca="1" si="34"/>
        <v>191837.93134939409</v>
      </c>
      <c r="BI67" s="65">
        <f t="shared" ca="1" si="35"/>
        <v>0</v>
      </c>
      <c r="BJ67" s="65">
        <f t="shared" ca="1" si="36"/>
        <v>0</v>
      </c>
      <c r="BK67" s="65">
        <f t="shared" ca="1" si="37"/>
        <v>0</v>
      </c>
      <c r="BL67" s="65">
        <f t="shared" ca="1" si="38"/>
        <v>13854.961708567351</v>
      </c>
      <c r="BM67" s="65">
        <f t="shared" ca="1" si="39"/>
        <v>13854.961708567351</v>
      </c>
      <c r="BN67" s="65">
        <f t="shared" ca="1" si="40"/>
        <v>13854.961708567351</v>
      </c>
      <c r="BO67" s="65">
        <f t="shared" ca="1" si="41"/>
        <v>7993.247139558086</v>
      </c>
      <c r="BP67" s="65">
        <f t="shared" ca="1" si="42"/>
        <v>0</v>
      </c>
      <c r="BQ67" s="65">
        <f t="shared" ca="1" si="43"/>
        <v>0</v>
      </c>
      <c r="BR67" s="65">
        <f t="shared" ca="1" si="44"/>
        <v>4658464.4329344528</v>
      </c>
      <c r="BS67" s="65">
        <f t="shared" ca="1" si="45"/>
        <v>4480481.463293626</v>
      </c>
      <c r="BT67" s="65">
        <f t="shared" ca="1" si="46"/>
        <v>63945.977116464688</v>
      </c>
      <c r="BU67" s="65">
        <f t="shared" ca="1" si="23"/>
        <v>114036.99252436183</v>
      </c>
    </row>
    <row r="68" spans="1:73">
      <c r="A68" s="42">
        <f t="shared" si="24"/>
        <v>39904</v>
      </c>
      <c r="B68" s="30">
        <f>Inputs!$B$8</f>
        <v>50000</v>
      </c>
      <c r="C68" s="17">
        <f t="shared" si="5"/>
        <v>1500000</v>
      </c>
      <c r="D68" s="17">
        <f t="shared" ca="1" si="6"/>
        <v>1026125.8393082413</v>
      </c>
      <c r="E68" s="25">
        <f>VLOOKUP($A68,[1]!CurveTable,MATCH($E$4,[1]!CurveType,0))</f>
        <v>3.9820000000000002</v>
      </c>
      <c r="F68" s="31">
        <f>E68-Inputs!$B$16</f>
        <v>4.0369999999999999</v>
      </c>
      <c r="G68" s="43">
        <f t="shared" si="56"/>
        <v>4.0369999999999999</v>
      </c>
      <c r="H68" s="25">
        <f>VLOOKUP($A68,[1]!CurveTable,MATCH($H$4,[1]!CurveType,0))</f>
        <v>0.55000000000000004</v>
      </c>
      <c r="I68" s="31">
        <f>H68+Inputs!$B$22</f>
        <v>0.55000000000000004</v>
      </c>
      <c r="J68" s="44">
        <f t="shared" si="57"/>
        <v>0.55000000000000004</v>
      </c>
      <c r="K68" s="25">
        <f>VLOOKUP($A68,[1]!CurveTable,MATCH($K$4,[1]!CurveType,0))</f>
        <v>0</v>
      </c>
      <c r="L68" s="31">
        <v>0</v>
      </c>
      <c r="M68" s="45">
        <f t="shared" si="58"/>
        <v>0</v>
      </c>
      <c r="N68" s="25">
        <f>VLOOKUP($A68,[1]!CurveTable,MATCH($N$4,[1]!CurveType,0))</f>
        <v>1.3000000000000001E-2</v>
      </c>
      <c r="O68" s="31">
        <f>N68+Inputs!$E$22</f>
        <v>1.3000000000000001E-2</v>
      </c>
      <c r="P68" s="45">
        <f t="shared" si="59"/>
        <v>1.3000000000000001E-2</v>
      </c>
      <c r="Q68" s="25">
        <f>VLOOKUP($A68,[1]!CurveTable,MATCH($Q$4,[1]!CurveType,0))</f>
        <v>0.01</v>
      </c>
      <c r="R68" s="31">
        <v>0</v>
      </c>
      <c r="S68" s="45">
        <f t="shared" si="60"/>
        <v>0</v>
      </c>
      <c r="T68" s="4"/>
      <c r="U68" s="159">
        <f t="shared" si="25"/>
        <v>4.5869999999999997</v>
      </c>
      <c r="V68" s="160"/>
      <c r="W68" s="100">
        <f>VLOOKUP($A68,[1]!CurveTable,MATCH($W$4,[1]!CurveType,0))+$W$9</f>
        <v>0.19500000000000001</v>
      </c>
      <c r="X68" s="100">
        <f>VLOOKUP($A68,[1]!CurveTable,MATCH($X$4,[1]!CurveType,0))+$X$9</f>
        <v>0.2</v>
      </c>
      <c r="Y68" s="158">
        <f t="shared" ca="1" si="12"/>
        <v>0.20171934997734309</v>
      </c>
      <c r="Z68" s="4"/>
      <c r="AA68" s="159">
        <f t="shared" si="26"/>
        <v>4.05</v>
      </c>
      <c r="AB68" s="160"/>
      <c r="AC68" s="100">
        <f>VLOOKUP($A68,[1]!CurveTable,MATCH($AC$4,[1]!CurveType,0))+$AC$9</f>
        <v>0.19500000000000001</v>
      </c>
      <c r="AD68" s="100">
        <f>VLOOKUP($A68,[1]!CurveTable,MATCH($AD$4,[1]!CurveType,0))+$AD$9</f>
        <v>0.2</v>
      </c>
      <c r="AE68" s="158">
        <f t="shared" ca="1" si="13"/>
        <v>0.20171934997734309</v>
      </c>
      <c r="AF68" s="4"/>
      <c r="AG68" s="52">
        <f ca="1">((Inputs!$F$20*(X68*AD68)*(A68-$C$3))+(Inputs!$F$19*W68*AC68*(DAY(EOMONTH(A68,0))/2)))/(AN68*Y68*AE68)</f>
        <v>0.75</v>
      </c>
      <c r="AH68" s="4"/>
      <c r="AI68" s="18">
        <f>Inputs!$B$15</f>
        <v>0.06</v>
      </c>
      <c r="AJ68" s="46"/>
      <c r="AK68" s="18">
        <f t="shared" si="14"/>
        <v>0.47699999999999992</v>
      </c>
      <c r="AL68" s="46"/>
      <c r="AM68" s="62">
        <f t="shared" si="15"/>
        <v>39872</v>
      </c>
      <c r="AN68" s="63">
        <f t="shared" ca="1" si="16"/>
        <v>2679</v>
      </c>
      <c r="AO68" s="63">
        <f t="shared" si="47"/>
        <v>1</v>
      </c>
      <c r="AP68" s="19"/>
      <c r="AQ68" s="74">
        <f ca="1">_xll.SPRDOPT(U68,AA68,AI68,AX68,X68,AD68,AG68,AN68,AO68,0)</f>
        <v>0.63114860463400224</v>
      </c>
      <c r="AR68" s="47">
        <f t="shared" ca="1" si="27"/>
        <v>946722.90695100336</v>
      </c>
      <c r="AS68" s="135">
        <f t="shared" ca="1" si="28"/>
        <v>0.15414860463400232</v>
      </c>
      <c r="AU68" s="5">
        <f t="shared" si="48"/>
        <v>30</v>
      </c>
      <c r="AV68" s="148">
        <f t="shared" si="18"/>
        <v>39918</v>
      </c>
      <c r="AW68" s="41">
        <f t="shared" ca="1" si="19"/>
        <v>2725</v>
      </c>
      <c r="AX68" s="100">
        <f>VLOOKUP($A68,[1]!CurveTable,MATCH(AX$4,[1]!CurveType,0))</f>
        <v>5.1543328766904005E-2</v>
      </c>
      <c r="AY68" s="149">
        <f ca="1">1/(1+CHOOSE(F$3,(AX69+(Inputs!$B$14/10000))/2,(AX68+(Inputs!$B$14/10000))/2))^(2*AW68/365.25)</f>
        <v>0.68408389287216087</v>
      </c>
      <c r="AZ68" s="41">
        <f t="shared" si="49"/>
        <v>1</v>
      </c>
      <c r="BA68" s="72">
        <f t="shared" si="50"/>
        <v>30</v>
      </c>
      <c r="BC68" s="65">
        <f t="shared" ca="1" si="29"/>
        <v>4086033.0921254167</v>
      </c>
      <c r="BD68" s="65">
        <f t="shared" ca="1" si="30"/>
        <v>4142470.0132873701</v>
      </c>
      <c r="BE68" s="65">
        <f t="shared" ca="1" si="31"/>
        <v>4142470.0132873701</v>
      </c>
      <c r="BF68" s="65">
        <f t="shared" ca="1" si="32"/>
        <v>564369.21161953278</v>
      </c>
      <c r="BG68" s="65">
        <f t="shared" ca="1" si="33"/>
        <v>564369.21161953278</v>
      </c>
      <c r="BH68" s="65">
        <f t="shared" ca="1" si="34"/>
        <v>564369.21161953278</v>
      </c>
      <c r="BI68" s="65">
        <f t="shared" ca="1" si="35"/>
        <v>0</v>
      </c>
      <c r="BJ68" s="65">
        <f t="shared" ca="1" si="36"/>
        <v>0</v>
      </c>
      <c r="BK68" s="65">
        <f t="shared" ca="1" si="37"/>
        <v>0</v>
      </c>
      <c r="BL68" s="65">
        <f t="shared" ca="1" si="38"/>
        <v>13339.635911007137</v>
      </c>
      <c r="BM68" s="65">
        <f t="shared" ca="1" si="39"/>
        <v>13339.635911007137</v>
      </c>
      <c r="BN68" s="65">
        <f t="shared" ca="1" si="40"/>
        <v>13339.635911007137</v>
      </c>
      <c r="BO68" s="65">
        <f t="shared" ca="1" si="41"/>
        <v>10261.258393082413</v>
      </c>
      <c r="BP68" s="65">
        <f t="shared" ca="1" si="42"/>
        <v>0</v>
      </c>
      <c r="BQ68" s="65">
        <f t="shared" ca="1" si="43"/>
        <v>0</v>
      </c>
      <c r="BR68" s="65">
        <f t="shared" ca="1" si="44"/>
        <v>4706839.2249069028</v>
      </c>
      <c r="BS68" s="65">
        <f t="shared" ca="1" si="45"/>
        <v>4155809.649198377</v>
      </c>
      <c r="BT68" s="65">
        <f t="shared" ca="1" si="46"/>
        <v>61567.550358494474</v>
      </c>
      <c r="BU68" s="65">
        <f t="shared" ca="1" si="23"/>
        <v>489462.02535003098</v>
      </c>
    </row>
    <row r="69" spans="1:73">
      <c r="A69" s="42">
        <f t="shared" si="24"/>
        <v>39934</v>
      </c>
      <c r="B69" s="30">
        <f>Inputs!$B$8</f>
        <v>50000</v>
      </c>
      <c r="C69" s="17">
        <f t="shared" si="5"/>
        <v>1550000</v>
      </c>
      <c r="D69" s="17">
        <f t="shared" ca="1" si="6"/>
        <v>1055077.2218113814</v>
      </c>
      <c r="E69" s="25">
        <f>VLOOKUP($A69,[1]!CurveTable,MATCH($E$4,[1]!CurveType,0))</f>
        <v>3.9870000000000001</v>
      </c>
      <c r="F69" s="31">
        <f>E69-Inputs!$B$16</f>
        <v>4.0419999999999998</v>
      </c>
      <c r="G69" s="43">
        <f t="shared" si="56"/>
        <v>4.0419999999999998</v>
      </c>
      <c r="H69" s="25">
        <f>VLOOKUP($A69,[1]!CurveTable,MATCH($H$4,[1]!CurveType,0))</f>
        <v>0.7</v>
      </c>
      <c r="I69" s="31">
        <f>H69+Inputs!$B$22</f>
        <v>0.7</v>
      </c>
      <c r="J69" s="44">
        <f t="shared" si="57"/>
        <v>0.7</v>
      </c>
      <c r="K69" s="25">
        <f>VLOOKUP($A69,[1]!CurveTable,MATCH($K$4,[1]!CurveType,0))</f>
        <v>0</v>
      </c>
      <c r="L69" s="31">
        <v>0</v>
      </c>
      <c r="M69" s="45">
        <f t="shared" si="58"/>
        <v>0</v>
      </c>
      <c r="N69" s="25">
        <f>VLOOKUP($A69,[1]!CurveTable,MATCH($N$4,[1]!CurveType,0))</f>
        <v>1.55E-2</v>
      </c>
      <c r="O69" s="31">
        <f>N69+Inputs!$E$22</f>
        <v>1.55E-2</v>
      </c>
      <c r="P69" s="45">
        <f t="shared" si="59"/>
        <v>1.55E-2</v>
      </c>
      <c r="Q69" s="25">
        <f>VLOOKUP($A69,[1]!CurveTable,MATCH($Q$4,[1]!CurveType,0))</f>
        <v>0.01</v>
      </c>
      <c r="R69" s="31">
        <v>0</v>
      </c>
      <c r="S69" s="45">
        <f t="shared" si="60"/>
        <v>0</v>
      </c>
      <c r="T69" s="4"/>
      <c r="U69" s="159">
        <f t="shared" si="25"/>
        <v>4.742</v>
      </c>
      <c r="V69" s="160"/>
      <c r="W69" s="100">
        <f>VLOOKUP($A69,[1]!CurveTable,MATCH($W$4,[1]!CurveType,0))+$W$9</f>
        <v>0.39</v>
      </c>
      <c r="X69" s="100">
        <f>VLOOKUP($A69,[1]!CurveTable,MATCH($X$4,[1]!CurveType,0))+$X$9</f>
        <v>0.39500000000000002</v>
      </c>
      <c r="Y69" s="158">
        <f t="shared" ca="1" si="12"/>
        <v>0.39834624696653631</v>
      </c>
      <c r="Z69" s="4"/>
      <c r="AA69" s="159">
        <f t="shared" si="26"/>
        <v>4.0575000000000001</v>
      </c>
      <c r="AB69" s="160"/>
      <c r="AC69" s="100">
        <f>VLOOKUP($A69,[1]!CurveTable,MATCH($AC$4,[1]!CurveType,0))+$AC$9</f>
        <v>0.19500000000000001</v>
      </c>
      <c r="AD69" s="100">
        <f>VLOOKUP($A69,[1]!CurveTable,MATCH($AD$4,[1]!CurveType,0))+$AD$9</f>
        <v>0.2</v>
      </c>
      <c r="AE69" s="158">
        <f t="shared" ca="1" si="13"/>
        <v>0.20168056608906915</v>
      </c>
      <c r="AF69" s="4"/>
      <c r="AG69" s="52">
        <f ca="1">((Inputs!$F$20*(X69*AD69)*(A69-$C$3))+(Inputs!$F$19*W69*AC69*(DAY(EOMONTH(A69,0))/2)))/(AN69*Y69*AE69)</f>
        <v>0.74999968048358068</v>
      </c>
      <c r="AH69" s="4"/>
      <c r="AI69" s="18">
        <f>Inputs!$B$15</f>
        <v>0.06</v>
      </c>
      <c r="AJ69" s="46"/>
      <c r="AK69" s="18">
        <f t="shared" si="14"/>
        <v>0.62449999999999983</v>
      </c>
      <c r="AL69" s="46"/>
      <c r="AM69" s="62">
        <f t="shared" si="15"/>
        <v>39903</v>
      </c>
      <c r="AN69" s="63">
        <f t="shared" ca="1" si="16"/>
        <v>2710</v>
      </c>
      <c r="AO69" s="63">
        <f t="shared" si="47"/>
        <v>1</v>
      </c>
      <c r="AP69" s="19"/>
      <c r="AQ69" s="74">
        <f ca="1">_xll.SPRDOPT(U69,AA69,AI69,AX69,X69,AD69,AG69,AN69,AO69,0)</f>
        <v>1.1226927242710927</v>
      </c>
      <c r="AR69" s="47">
        <f t="shared" ca="1" si="27"/>
        <v>1740173.7226201936</v>
      </c>
      <c r="AS69" s="135">
        <f t="shared" ca="1" si="28"/>
        <v>0.49819272427109285</v>
      </c>
      <c r="AU69" s="5">
        <f t="shared" si="48"/>
        <v>31</v>
      </c>
      <c r="AV69" s="148">
        <f t="shared" si="18"/>
        <v>39948</v>
      </c>
      <c r="AW69" s="41">
        <f t="shared" ca="1" si="19"/>
        <v>2755</v>
      </c>
      <c r="AX69" s="100">
        <f>VLOOKUP($A69,[1]!CurveTable,MATCH(AX$4,[1]!CurveType,0))</f>
        <v>5.16502699241164E-2</v>
      </c>
      <c r="AY69" s="149">
        <f ca="1">1/(1+CHOOSE(F$3,(AX70+(Inputs!$B$14/10000))/2,(AX69+(Inputs!$B$14/10000))/2))^(2*AW69/365.25)</f>
        <v>0.68069498181379451</v>
      </c>
      <c r="AZ69" s="41">
        <f t="shared" si="49"/>
        <v>1</v>
      </c>
      <c r="BA69" s="72">
        <f t="shared" si="50"/>
        <v>31</v>
      </c>
      <c r="BC69" s="65">
        <f t="shared" ca="1" si="29"/>
        <v>4206592.8833619775</v>
      </c>
      <c r="BD69" s="65">
        <f t="shared" ca="1" si="30"/>
        <v>4264622.1305616032</v>
      </c>
      <c r="BE69" s="65">
        <f t="shared" ca="1" si="31"/>
        <v>4264622.1305616032</v>
      </c>
      <c r="BF69" s="65">
        <f t="shared" ca="1" si="32"/>
        <v>738554.05526796693</v>
      </c>
      <c r="BG69" s="65">
        <f t="shared" ca="1" si="33"/>
        <v>738554.05526796693</v>
      </c>
      <c r="BH69" s="65">
        <f t="shared" ca="1" si="34"/>
        <v>738554.05526796693</v>
      </c>
      <c r="BI69" s="65">
        <f t="shared" ca="1" si="35"/>
        <v>0</v>
      </c>
      <c r="BJ69" s="65">
        <f t="shared" ca="1" si="36"/>
        <v>0</v>
      </c>
      <c r="BK69" s="65">
        <f t="shared" ca="1" si="37"/>
        <v>0</v>
      </c>
      <c r="BL69" s="65">
        <f t="shared" ca="1" si="38"/>
        <v>16353.696938076411</v>
      </c>
      <c r="BM69" s="65">
        <f t="shared" ca="1" si="39"/>
        <v>16353.696938076411</v>
      </c>
      <c r="BN69" s="65">
        <f t="shared" ca="1" si="40"/>
        <v>16353.696938076411</v>
      </c>
      <c r="BO69" s="65">
        <f t="shared" ca="1" si="41"/>
        <v>10550.772218113814</v>
      </c>
      <c r="BP69" s="65">
        <f t="shared" ca="1" si="42"/>
        <v>0</v>
      </c>
      <c r="BQ69" s="65">
        <f t="shared" ca="1" si="43"/>
        <v>0</v>
      </c>
      <c r="BR69" s="65">
        <f t="shared" ca="1" si="44"/>
        <v>5003176.1858295705</v>
      </c>
      <c r="BS69" s="65">
        <f t="shared" ca="1" si="45"/>
        <v>4280975.8274996802</v>
      </c>
      <c r="BT69" s="65">
        <f t="shared" ca="1" si="46"/>
        <v>63304.633308682882</v>
      </c>
      <c r="BU69" s="65">
        <f t="shared" ca="1" si="23"/>
        <v>658895.72502120747</v>
      </c>
    </row>
    <row r="70" spans="1:73">
      <c r="A70" s="42">
        <f t="shared" si="24"/>
        <v>39965</v>
      </c>
      <c r="B70" s="30">
        <f>Inputs!$B$8</f>
        <v>50000</v>
      </c>
      <c r="C70" s="17">
        <f t="shared" si="5"/>
        <v>1500000</v>
      </c>
      <c r="D70" s="17">
        <f t="shared" ca="1" si="6"/>
        <v>1015797.883441804</v>
      </c>
      <c r="E70" s="25">
        <f>VLOOKUP($A70,[1]!CurveTable,MATCH($E$4,[1]!CurveType,0))</f>
        <v>4.0250000000000004</v>
      </c>
      <c r="F70" s="31">
        <f>E70-Inputs!$B$16</f>
        <v>4.08</v>
      </c>
      <c r="G70" s="43">
        <f t="shared" ref="G70:G89" si="61">F70</f>
        <v>4.08</v>
      </c>
      <c r="H70" s="25">
        <f>VLOOKUP($A70,[1]!CurveTable,MATCH($H$4,[1]!CurveType,0))</f>
        <v>0.8</v>
      </c>
      <c r="I70" s="31">
        <f>H70+Inputs!$B$22</f>
        <v>0.8</v>
      </c>
      <c r="J70" s="44">
        <f t="shared" ref="J70:J89" si="62">I70</f>
        <v>0.8</v>
      </c>
      <c r="K70" s="25">
        <f>VLOOKUP($A70,[1]!CurveTable,MATCH($K$4,[1]!CurveType,0))</f>
        <v>0</v>
      </c>
      <c r="L70" s="31">
        <v>0</v>
      </c>
      <c r="M70" s="45">
        <f t="shared" ref="M70:M89" si="63">L70</f>
        <v>0</v>
      </c>
      <c r="N70" s="25">
        <f>VLOOKUP($A70,[1]!CurveTable,MATCH($N$4,[1]!CurveType,0))</f>
        <v>1.3000000000000001E-2</v>
      </c>
      <c r="O70" s="31">
        <f>N70+Inputs!$E$22</f>
        <v>1.3000000000000001E-2</v>
      </c>
      <c r="P70" s="45">
        <f t="shared" ref="P70:P89" si="64">O70</f>
        <v>1.3000000000000001E-2</v>
      </c>
      <c r="Q70" s="25">
        <f>VLOOKUP($A70,[1]!CurveTable,MATCH($Q$4,[1]!CurveType,0))</f>
        <v>0.01</v>
      </c>
      <c r="R70" s="31">
        <v>0</v>
      </c>
      <c r="S70" s="45">
        <f t="shared" ref="S70:S89" si="65">R70</f>
        <v>0</v>
      </c>
      <c r="T70" s="4"/>
      <c r="U70" s="159">
        <f t="shared" si="25"/>
        <v>4.88</v>
      </c>
      <c r="V70" s="160"/>
      <c r="W70" s="100">
        <f>VLOOKUP($A70,[1]!CurveTable,MATCH($W$4,[1]!CurveType,0))+$W$9</f>
        <v>0.39</v>
      </c>
      <c r="X70" s="100">
        <f>VLOOKUP($A70,[1]!CurveTable,MATCH($X$4,[1]!CurveType,0))+$X$9</f>
        <v>0.39500000000000002</v>
      </c>
      <c r="Y70" s="158">
        <f t="shared" ca="1" si="12"/>
        <v>0.39834639952508488</v>
      </c>
      <c r="Z70" s="4"/>
      <c r="AA70" s="159">
        <f t="shared" si="26"/>
        <v>4.093</v>
      </c>
      <c r="AB70" s="160"/>
      <c r="AC70" s="100">
        <f>VLOOKUP($A70,[1]!CurveTable,MATCH($AC$4,[1]!CurveType,0))+$AC$9</f>
        <v>0.19500000000000001</v>
      </c>
      <c r="AD70" s="100">
        <f>VLOOKUP($A70,[1]!CurveTable,MATCH($AD$4,[1]!CurveType,0))+$AD$9</f>
        <v>0.2</v>
      </c>
      <c r="AE70" s="158">
        <f t="shared" ca="1" si="13"/>
        <v>0.20168123200502744</v>
      </c>
      <c r="AF70" s="4"/>
      <c r="AG70" s="52">
        <f ca="1">((Inputs!$F$20*(X70*AD70)*(A70-$C$3))+(Inputs!$F$19*W70*AC70*(DAY(EOMONTH(A70,0))/2)))/(AN70*Y70*AE70)</f>
        <v>0.74999969410584144</v>
      </c>
      <c r="AH70" s="4"/>
      <c r="AI70" s="18">
        <f>Inputs!$B$15</f>
        <v>0.06</v>
      </c>
      <c r="AJ70" s="46"/>
      <c r="AK70" s="18">
        <f t="shared" si="14"/>
        <v>0.72699999999999987</v>
      </c>
      <c r="AL70" s="46"/>
      <c r="AM70" s="62">
        <f t="shared" si="15"/>
        <v>39933</v>
      </c>
      <c r="AN70" s="63">
        <f t="shared" ca="1" si="16"/>
        <v>2740</v>
      </c>
      <c r="AO70" s="63">
        <f t="shared" si="47"/>
        <v>1</v>
      </c>
      <c r="AP70" s="19"/>
      <c r="AQ70" s="74">
        <f ca="1">_xll.SPRDOPT(U70,AA70,AI70,AX70,X70,AD70,AG70,AN70,AO70,0)</f>
        <v>1.1786221698041315</v>
      </c>
      <c r="AR70" s="47">
        <f t="shared" ca="1" si="27"/>
        <v>1767933.2547061972</v>
      </c>
      <c r="AS70" s="135">
        <f t="shared" ca="1" si="28"/>
        <v>0.45162216980413161</v>
      </c>
      <c r="AU70" s="5">
        <f t="shared" si="48"/>
        <v>30</v>
      </c>
      <c r="AV70" s="148">
        <f t="shared" si="18"/>
        <v>39979</v>
      </c>
      <c r="AW70" s="41">
        <f t="shared" ca="1" si="19"/>
        <v>2786</v>
      </c>
      <c r="AX70" s="100">
        <f>VLOOKUP($A70,[1]!CurveTable,MATCH(AX$4,[1]!CurveType,0))</f>
        <v>5.1760775790576898E-2</v>
      </c>
      <c r="AY70" s="149">
        <f ca="1">1/(1+CHOOSE(F$3,(AX71+(Inputs!$B$14/10000))/2,(AX70+(Inputs!$B$14/10000))/2))^(2*AW70/365.25)</f>
        <v>0.67719858896120266</v>
      </c>
      <c r="AZ70" s="41">
        <f t="shared" si="49"/>
        <v>1</v>
      </c>
      <c r="BA70" s="72">
        <f t="shared" si="50"/>
        <v>30</v>
      </c>
      <c r="BC70" s="65">
        <f t="shared" ca="1" si="29"/>
        <v>4088586.4808532614</v>
      </c>
      <c r="BD70" s="65">
        <f t="shared" ca="1" si="30"/>
        <v>4144455.3644425604</v>
      </c>
      <c r="BE70" s="65">
        <f t="shared" ca="1" si="31"/>
        <v>4144455.3644425604</v>
      </c>
      <c r="BF70" s="65">
        <f t="shared" ca="1" si="32"/>
        <v>812638.3067534432</v>
      </c>
      <c r="BG70" s="65">
        <f t="shared" ca="1" si="33"/>
        <v>812638.3067534432</v>
      </c>
      <c r="BH70" s="65">
        <f t="shared" ca="1" si="34"/>
        <v>812638.3067534432</v>
      </c>
      <c r="BI70" s="65">
        <f t="shared" ca="1" si="35"/>
        <v>0</v>
      </c>
      <c r="BJ70" s="65">
        <f t="shared" ca="1" si="36"/>
        <v>0</v>
      </c>
      <c r="BK70" s="65">
        <f t="shared" ca="1" si="37"/>
        <v>0</v>
      </c>
      <c r="BL70" s="65">
        <f t="shared" ca="1" si="38"/>
        <v>13205.372484743453</v>
      </c>
      <c r="BM70" s="65">
        <f t="shared" ca="1" si="39"/>
        <v>13205.372484743453</v>
      </c>
      <c r="BN70" s="65">
        <f t="shared" ca="1" si="40"/>
        <v>13205.372484743453</v>
      </c>
      <c r="BO70" s="65">
        <f t="shared" ca="1" si="41"/>
        <v>10157.97883441804</v>
      </c>
      <c r="BP70" s="65">
        <f t="shared" ca="1" si="42"/>
        <v>0</v>
      </c>
      <c r="BQ70" s="65">
        <f t="shared" ca="1" si="43"/>
        <v>0</v>
      </c>
      <c r="BR70" s="65">
        <f t="shared" ca="1" si="44"/>
        <v>4957093.6711960034</v>
      </c>
      <c r="BS70" s="65">
        <f t="shared" ca="1" si="45"/>
        <v>4157660.7369273035</v>
      </c>
      <c r="BT70" s="65">
        <f t="shared" ca="1" si="46"/>
        <v>60947.873006508235</v>
      </c>
      <c r="BU70" s="65">
        <f t="shared" ca="1" si="23"/>
        <v>738485.06126219139</v>
      </c>
    </row>
    <row r="71" spans="1:73">
      <c r="A71" s="42">
        <f t="shared" si="24"/>
        <v>39995</v>
      </c>
      <c r="B71" s="30">
        <f>Inputs!$B$8</f>
        <v>50000</v>
      </c>
      <c r="C71" s="17">
        <f t="shared" si="5"/>
        <v>1550000</v>
      </c>
      <c r="D71" s="17">
        <f t="shared" ca="1" si="6"/>
        <v>1044421.5903182793</v>
      </c>
      <c r="E71" s="25">
        <f>VLOOKUP($A71,[1]!CurveTable,MATCH($E$4,[1]!CurveType,0))</f>
        <v>4.07</v>
      </c>
      <c r="F71" s="31">
        <f>E71-Inputs!$B$16</f>
        <v>4.125</v>
      </c>
      <c r="G71" s="43">
        <f t="shared" si="61"/>
        <v>4.125</v>
      </c>
      <c r="H71" s="25">
        <f>VLOOKUP($A71,[1]!CurveTable,MATCH($H$4,[1]!CurveType,0))</f>
        <v>1</v>
      </c>
      <c r="I71" s="31">
        <f>H71+Inputs!$B$22</f>
        <v>1</v>
      </c>
      <c r="J71" s="44">
        <f t="shared" si="62"/>
        <v>1</v>
      </c>
      <c r="K71" s="25">
        <f>VLOOKUP($A71,[1]!CurveTable,MATCH($K$4,[1]!CurveType,0))</f>
        <v>0</v>
      </c>
      <c r="L71" s="31">
        <v>0</v>
      </c>
      <c r="M71" s="45">
        <f t="shared" si="63"/>
        <v>0</v>
      </c>
      <c r="N71" s="25">
        <f>VLOOKUP($A71,[1]!CurveTable,MATCH($N$4,[1]!CurveType,0))</f>
        <v>1.0500000000000001E-2</v>
      </c>
      <c r="O71" s="31">
        <f>N71+Inputs!$E$22</f>
        <v>1.0500000000000001E-2</v>
      </c>
      <c r="P71" s="45">
        <f t="shared" si="64"/>
        <v>1.0500000000000001E-2</v>
      </c>
      <c r="Q71" s="25">
        <f>VLOOKUP($A71,[1]!CurveTable,MATCH($Q$4,[1]!CurveType,0))</f>
        <v>0.01</v>
      </c>
      <c r="R71" s="31">
        <v>0</v>
      </c>
      <c r="S71" s="45">
        <f t="shared" si="65"/>
        <v>0</v>
      </c>
      <c r="T71" s="4"/>
      <c r="U71" s="159">
        <f t="shared" si="25"/>
        <v>5.125</v>
      </c>
      <c r="V71" s="160"/>
      <c r="W71" s="100">
        <f>VLOOKUP($A71,[1]!CurveTable,MATCH($W$4,[1]!CurveType,0))+$W$9</f>
        <v>0.39</v>
      </c>
      <c r="X71" s="100">
        <f>VLOOKUP($A71,[1]!CurveTable,MATCH($X$4,[1]!CurveType,0))+$X$9</f>
        <v>0.39500000000000002</v>
      </c>
      <c r="Y71" s="158">
        <f t="shared" ca="1" si="12"/>
        <v>0.39827288628823804</v>
      </c>
      <c r="Z71" s="4"/>
      <c r="AA71" s="159">
        <f t="shared" si="26"/>
        <v>4.1355000000000004</v>
      </c>
      <c r="AB71" s="160"/>
      <c r="AC71" s="100">
        <f>VLOOKUP($A71,[1]!CurveTable,MATCH($AC$4,[1]!CurveType,0))+$AC$9</f>
        <v>0.19500000000000001</v>
      </c>
      <c r="AD71" s="100">
        <f>VLOOKUP($A71,[1]!CurveTable,MATCH($AD$4,[1]!CurveType,0))+$AD$9</f>
        <v>0.2</v>
      </c>
      <c r="AE71" s="158">
        <f t="shared" ca="1" si="13"/>
        <v>0.20164372136143829</v>
      </c>
      <c r="AF71" s="4"/>
      <c r="AG71" s="52">
        <f ca="1">((Inputs!$F$20*(X71*AD71)*(A71-$C$3))+(Inputs!$F$19*W71*AC71*(DAY(EOMONTH(A71,0))/2)))/(AN71*Y71*AE71)</f>
        <v>0.74999968736580602</v>
      </c>
      <c r="AH71" s="4"/>
      <c r="AI71" s="18">
        <f>Inputs!$B$15</f>
        <v>0.06</v>
      </c>
      <c r="AJ71" s="46"/>
      <c r="AK71" s="18">
        <f t="shared" si="14"/>
        <v>0.92949999999999955</v>
      </c>
      <c r="AL71" s="46"/>
      <c r="AM71" s="62">
        <f t="shared" si="15"/>
        <v>39964</v>
      </c>
      <c r="AN71" s="63">
        <f t="shared" ca="1" si="16"/>
        <v>2771</v>
      </c>
      <c r="AO71" s="63">
        <f t="shared" si="47"/>
        <v>1</v>
      </c>
      <c r="AP71" s="19"/>
      <c r="AQ71" s="74">
        <f ca="1">_xll.SPRDOPT(U71,AA71,AI71,AX71,X71,AD71,AG71,AN71,AO71,0)</f>
        <v>1.2856595379705493</v>
      </c>
      <c r="AR71" s="47">
        <f t="shared" ca="1" si="27"/>
        <v>1992772.2838543514</v>
      </c>
      <c r="AS71" s="135">
        <f t="shared" ca="1" si="28"/>
        <v>0.35615953797054978</v>
      </c>
      <c r="AU71" s="5">
        <f t="shared" si="48"/>
        <v>31</v>
      </c>
      <c r="AV71" s="148">
        <f t="shared" si="18"/>
        <v>40009</v>
      </c>
      <c r="AW71" s="41">
        <f t="shared" ca="1" si="19"/>
        <v>2816</v>
      </c>
      <c r="AX71" s="100">
        <f>VLOOKUP($A71,[1]!CurveTable,MATCH(AX$4,[1]!CurveType,0))</f>
        <v>5.1867716955546601E-2</v>
      </c>
      <c r="AY71" s="149">
        <f ca="1">1/(1+CHOOSE(F$3,(AX72+(Inputs!$B$14/10000))/2,(AX71+(Inputs!$B$14/10000))/2))^(2*AW71/365.25)</f>
        <v>0.67382038085050278</v>
      </c>
      <c r="AZ71" s="41">
        <f t="shared" si="49"/>
        <v>1</v>
      </c>
      <c r="BA71" s="72">
        <f t="shared" si="50"/>
        <v>31</v>
      </c>
      <c r="BC71" s="65">
        <f t="shared" ca="1" si="29"/>
        <v>4250795.8725953968</v>
      </c>
      <c r="BD71" s="65">
        <f t="shared" ca="1" si="30"/>
        <v>4308239.060062902</v>
      </c>
      <c r="BE71" s="65">
        <f t="shared" ca="1" si="31"/>
        <v>4308239.060062902</v>
      </c>
      <c r="BF71" s="65">
        <f t="shared" ca="1" si="32"/>
        <v>1044421.5903182793</v>
      </c>
      <c r="BG71" s="65">
        <f t="shared" ca="1" si="33"/>
        <v>1044421.5903182793</v>
      </c>
      <c r="BH71" s="65">
        <f t="shared" ca="1" si="34"/>
        <v>1044421.5903182793</v>
      </c>
      <c r="BI71" s="65">
        <f t="shared" ca="1" si="35"/>
        <v>0</v>
      </c>
      <c r="BJ71" s="65">
        <f t="shared" ca="1" si="36"/>
        <v>0</v>
      </c>
      <c r="BK71" s="65">
        <f t="shared" ca="1" si="37"/>
        <v>0</v>
      </c>
      <c r="BL71" s="65">
        <f t="shared" ca="1" si="38"/>
        <v>10966.426698341933</v>
      </c>
      <c r="BM71" s="65">
        <f t="shared" ca="1" si="39"/>
        <v>10966.426698341933</v>
      </c>
      <c r="BN71" s="65">
        <f t="shared" ca="1" si="40"/>
        <v>10966.426698341933</v>
      </c>
      <c r="BO71" s="65">
        <f t="shared" ca="1" si="41"/>
        <v>10444.215903182794</v>
      </c>
      <c r="BP71" s="65">
        <f t="shared" ca="1" si="42"/>
        <v>0</v>
      </c>
      <c r="BQ71" s="65">
        <f t="shared" ca="1" si="43"/>
        <v>0</v>
      </c>
      <c r="BR71" s="65">
        <f t="shared" ca="1" si="44"/>
        <v>5352660.6503811814</v>
      </c>
      <c r="BS71" s="65">
        <f t="shared" ca="1" si="45"/>
        <v>4319205.4867612449</v>
      </c>
      <c r="BT71" s="65">
        <f t="shared" ca="1" si="46"/>
        <v>62665.295419096758</v>
      </c>
      <c r="BU71" s="65">
        <f t="shared" ca="1" si="23"/>
        <v>970789.8682008402</v>
      </c>
    </row>
    <row r="72" spans="1:73">
      <c r="A72" s="42">
        <f t="shared" si="24"/>
        <v>40026</v>
      </c>
      <c r="B72" s="30">
        <f>Inputs!$B$8</f>
        <v>50000</v>
      </c>
      <c r="C72" s="17">
        <f t="shared" si="5"/>
        <v>1550000</v>
      </c>
      <c r="D72" s="17">
        <f t="shared" ca="1" si="6"/>
        <v>1039019.6216227001</v>
      </c>
      <c r="E72" s="25">
        <f>VLOOKUP($A72,[1]!CurveTable,MATCH($E$4,[1]!CurveType,0))</f>
        <v>4.1080000000000005</v>
      </c>
      <c r="F72" s="31">
        <f>E72-Inputs!$B$16</f>
        <v>4.1630000000000003</v>
      </c>
      <c r="G72" s="43">
        <f t="shared" si="61"/>
        <v>4.1630000000000003</v>
      </c>
      <c r="H72" s="25">
        <f>VLOOKUP($A72,[1]!CurveTable,MATCH($H$4,[1]!CurveType,0))</f>
        <v>1</v>
      </c>
      <c r="I72" s="31">
        <f>H72+Inputs!$B$22</f>
        <v>1</v>
      </c>
      <c r="J72" s="44">
        <f t="shared" si="62"/>
        <v>1</v>
      </c>
      <c r="K72" s="25">
        <f>VLOOKUP($A72,[1]!CurveTable,MATCH($K$4,[1]!CurveType,0))</f>
        <v>0</v>
      </c>
      <c r="L72" s="31">
        <v>0</v>
      </c>
      <c r="M72" s="45">
        <f t="shared" si="63"/>
        <v>0</v>
      </c>
      <c r="N72" s="25">
        <f>VLOOKUP($A72,[1]!CurveTable,MATCH($N$4,[1]!CurveType,0))</f>
        <v>1.0500000000000001E-2</v>
      </c>
      <c r="O72" s="31">
        <f>N72+Inputs!$E$22</f>
        <v>1.0500000000000001E-2</v>
      </c>
      <c r="P72" s="45">
        <f t="shared" si="64"/>
        <v>1.0500000000000001E-2</v>
      </c>
      <c r="Q72" s="25">
        <f>VLOOKUP($A72,[1]!CurveTable,MATCH($Q$4,[1]!CurveType,0))</f>
        <v>0.01</v>
      </c>
      <c r="R72" s="31">
        <v>0</v>
      </c>
      <c r="S72" s="45">
        <f t="shared" si="65"/>
        <v>0</v>
      </c>
      <c r="T72" s="4"/>
      <c r="U72" s="159">
        <f t="shared" si="25"/>
        <v>5.1630000000000003</v>
      </c>
      <c r="V72" s="160"/>
      <c r="W72" s="100">
        <f>VLOOKUP($A72,[1]!CurveTable,MATCH($W$4,[1]!CurveType,0))+$W$9</f>
        <v>0.39</v>
      </c>
      <c r="X72" s="100">
        <f>VLOOKUP($A72,[1]!CurveTable,MATCH($X$4,[1]!CurveType,0))+$X$9</f>
        <v>0.39500000000000002</v>
      </c>
      <c r="Y72" s="158">
        <f t="shared" ca="1" si="12"/>
        <v>0.39830790575894298</v>
      </c>
      <c r="Z72" s="4"/>
      <c r="AA72" s="159">
        <f t="shared" si="26"/>
        <v>4.1735000000000007</v>
      </c>
      <c r="AB72" s="160"/>
      <c r="AC72" s="100">
        <f>VLOOKUP($A72,[1]!CurveTable,MATCH($AC$4,[1]!CurveType,0))+$AC$9</f>
        <v>0.19500000000000001</v>
      </c>
      <c r="AD72" s="100">
        <f>VLOOKUP($A72,[1]!CurveTable,MATCH($AD$4,[1]!CurveType,0))+$AD$9</f>
        <v>0.2</v>
      </c>
      <c r="AE72" s="158">
        <f t="shared" ca="1" si="13"/>
        <v>0.20166159782095733</v>
      </c>
      <c r="AF72" s="4"/>
      <c r="AG72" s="52">
        <f ca="1">((Inputs!$F$20*(X72*AD72)*(A72-$C$3))+(Inputs!$F$19*W72*AC72*(DAY(EOMONTH(A72,0))/2)))/(AN72*Y72*AE72)</f>
        <v>0.74999969075094397</v>
      </c>
      <c r="AH72" s="4"/>
      <c r="AI72" s="18">
        <f>Inputs!$B$15</f>
        <v>0.06</v>
      </c>
      <c r="AJ72" s="46"/>
      <c r="AK72" s="18">
        <f t="shared" si="14"/>
        <v>0.92949999999999955</v>
      </c>
      <c r="AL72" s="46"/>
      <c r="AM72" s="62">
        <f t="shared" si="15"/>
        <v>39994</v>
      </c>
      <c r="AN72" s="63">
        <f t="shared" ca="1" si="16"/>
        <v>2801</v>
      </c>
      <c r="AO72" s="63">
        <f t="shared" si="47"/>
        <v>1</v>
      </c>
      <c r="AP72" s="19"/>
      <c r="AQ72" s="74">
        <f ca="1">_xll.SPRDOPT(U72,AA72,AI72,AX72,X72,AD72,AG72,AN72,AO72,0)</f>
        <v>1.2911539875076476</v>
      </c>
      <c r="AR72" s="47">
        <f t="shared" ca="1" si="27"/>
        <v>2001288.6806368539</v>
      </c>
      <c r="AS72" s="135">
        <f t="shared" ca="1" si="28"/>
        <v>0.3616539875076481</v>
      </c>
      <c r="AU72" s="5">
        <f t="shared" si="48"/>
        <v>31</v>
      </c>
      <c r="AV72" s="148">
        <f t="shared" si="18"/>
        <v>40040</v>
      </c>
      <c r="AW72" s="41">
        <f t="shared" ca="1" si="19"/>
        <v>2847</v>
      </c>
      <c r="AX72" s="100">
        <f>VLOOKUP($A72,[1]!CurveTable,MATCH(AX$4,[1]!CurveType,0))</f>
        <v>5.1978222830023402E-2</v>
      </c>
      <c r="AY72" s="149">
        <f ca="1">1/(1+CHOOSE(F$3,(AX73+(Inputs!$B$14/10000))/2,(AX72+(Inputs!$B$14/10000))/2))^(2*AW72/365.25)</f>
        <v>0.67033523975658071</v>
      </c>
      <c r="AZ72" s="41">
        <f t="shared" si="49"/>
        <v>1</v>
      </c>
      <c r="BA72" s="72">
        <f t="shared" si="50"/>
        <v>31</v>
      </c>
      <c r="BC72" s="65">
        <f t="shared" ca="1" si="29"/>
        <v>4268292.6056260522</v>
      </c>
      <c r="BD72" s="65">
        <f t="shared" ca="1" si="30"/>
        <v>4325438.6848153006</v>
      </c>
      <c r="BE72" s="65">
        <f t="shared" ca="1" si="31"/>
        <v>4325438.6848153006</v>
      </c>
      <c r="BF72" s="65">
        <f t="shared" ca="1" si="32"/>
        <v>1039019.6216227001</v>
      </c>
      <c r="BG72" s="65">
        <f t="shared" ca="1" si="33"/>
        <v>1039019.6216227001</v>
      </c>
      <c r="BH72" s="65">
        <f t="shared" ca="1" si="34"/>
        <v>1039019.6216227001</v>
      </c>
      <c r="BI72" s="65">
        <f t="shared" ca="1" si="35"/>
        <v>0</v>
      </c>
      <c r="BJ72" s="65">
        <f t="shared" ca="1" si="36"/>
        <v>0</v>
      </c>
      <c r="BK72" s="65">
        <f t="shared" ca="1" si="37"/>
        <v>0</v>
      </c>
      <c r="BL72" s="65">
        <f t="shared" ca="1" si="38"/>
        <v>10909.706027038352</v>
      </c>
      <c r="BM72" s="65">
        <f t="shared" ca="1" si="39"/>
        <v>10909.706027038352</v>
      </c>
      <c r="BN72" s="65">
        <f t="shared" ca="1" si="40"/>
        <v>10909.706027038352</v>
      </c>
      <c r="BO72" s="65">
        <f t="shared" ca="1" si="41"/>
        <v>10390.196216227001</v>
      </c>
      <c r="BP72" s="65">
        <f t="shared" ca="1" si="42"/>
        <v>0</v>
      </c>
      <c r="BQ72" s="65">
        <f t="shared" ca="1" si="43"/>
        <v>0</v>
      </c>
      <c r="BR72" s="65">
        <f t="shared" ca="1" si="44"/>
        <v>5364458.3064380009</v>
      </c>
      <c r="BS72" s="65">
        <f t="shared" ca="1" si="45"/>
        <v>4336348.39084234</v>
      </c>
      <c r="BT72" s="65">
        <f t="shared" ca="1" si="46"/>
        <v>62341.177297362003</v>
      </c>
      <c r="BU72" s="65">
        <f t="shared" ca="1" si="23"/>
        <v>965768.73829829926</v>
      </c>
    </row>
    <row r="73" spans="1:73">
      <c r="A73" s="42">
        <f t="shared" si="24"/>
        <v>40057</v>
      </c>
      <c r="B73" s="30">
        <f>Inputs!$B$8</f>
        <v>50000</v>
      </c>
      <c r="C73" s="17">
        <f t="shared" si="5"/>
        <v>1500000</v>
      </c>
      <c r="D73" s="17">
        <f t="shared" ca="1" si="6"/>
        <v>1000283.9437989843</v>
      </c>
      <c r="E73" s="25">
        <f>VLOOKUP($A73,[1]!CurveTable,MATCH($E$4,[1]!CurveType,0))</f>
        <v>4.1020000000000003</v>
      </c>
      <c r="F73" s="31">
        <f>E73-Inputs!$B$16</f>
        <v>4.157</v>
      </c>
      <c r="G73" s="43">
        <f t="shared" si="61"/>
        <v>4.157</v>
      </c>
      <c r="H73" s="25">
        <f>VLOOKUP($A73,[1]!CurveTable,MATCH($H$4,[1]!CurveType,0))</f>
        <v>0.6</v>
      </c>
      <c r="I73" s="31">
        <f>H73+Inputs!$B$22</f>
        <v>0.6</v>
      </c>
      <c r="J73" s="44">
        <f t="shared" si="62"/>
        <v>0.6</v>
      </c>
      <c r="K73" s="25">
        <f>VLOOKUP($A73,[1]!CurveTable,MATCH($K$4,[1]!CurveType,0))</f>
        <v>0</v>
      </c>
      <c r="L73" s="31">
        <v>0</v>
      </c>
      <c r="M73" s="45">
        <f t="shared" si="63"/>
        <v>0</v>
      </c>
      <c r="N73" s="25">
        <f>VLOOKUP($A73,[1]!CurveTable,MATCH($N$4,[1]!CurveType,0))</f>
        <v>1.0500000000000001E-2</v>
      </c>
      <c r="O73" s="31">
        <f>N73+Inputs!$E$22</f>
        <v>1.0500000000000001E-2</v>
      </c>
      <c r="P73" s="45">
        <f t="shared" si="64"/>
        <v>1.0500000000000001E-2</v>
      </c>
      <c r="Q73" s="25">
        <f>VLOOKUP($A73,[1]!CurveTable,MATCH($Q$4,[1]!CurveType,0))</f>
        <v>0.01</v>
      </c>
      <c r="R73" s="31">
        <v>0</v>
      </c>
      <c r="S73" s="45">
        <f t="shared" si="65"/>
        <v>0</v>
      </c>
      <c r="T73" s="4"/>
      <c r="U73" s="159">
        <f t="shared" si="25"/>
        <v>4.7569999999999997</v>
      </c>
      <c r="V73" s="160"/>
      <c r="W73" s="100">
        <f>VLOOKUP($A73,[1]!CurveTable,MATCH($W$4,[1]!CurveType,0))+$W$9</f>
        <v>0.39</v>
      </c>
      <c r="X73" s="100">
        <f>VLOOKUP($A73,[1]!CurveTable,MATCH($X$4,[1]!CurveType,0))+$X$9</f>
        <v>0.39500000000000002</v>
      </c>
      <c r="Y73" s="158">
        <f t="shared" ca="1" si="12"/>
        <v>0.39823813071711528</v>
      </c>
      <c r="Z73" s="4"/>
      <c r="AA73" s="159">
        <f t="shared" si="26"/>
        <v>4.1675000000000004</v>
      </c>
      <c r="AB73" s="160"/>
      <c r="AC73" s="100">
        <f>VLOOKUP($A73,[1]!CurveTable,MATCH($AC$4,[1]!CurveType,0))+$AC$9</f>
        <v>0.19500000000000001</v>
      </c>
      <c r="AD73" s="100">
        <f>VLOOKUP($A73,[1]!CurveTable,MATCH($AD$4,[1]!CurveType,0))+$AD$9</f>
        <v>0.2</v>
      </c>
      <c r="AE73" s="158">
        <f t="shared" ca="1" si="13"/>
        <v>0.20162683601848455</v>
      </c>
      <c r="AF73" s="4"/>
      <c r="AG73" s="52">
        <f ca="1">((Inputs!$F$20*(X73*AD73)*(A73-$C$3))+(Inputs!$F$19*W73*AC73*(DAY(EOMONTH(A73,0))/2)))/(AN73*Y73*AE73)</f>
        <v>0.74999970383344894</v>
      </c>
      <c r="AH73" s="4"/>
      <c r="AI73" s="18">
        <f>Inputs!$B$15</f>
        <v>0.06</v>
      </c>
      <c r="AJ73" s="46"/>
      <c r="AK73" s="18">
        <f t="shared" si="14"/>
        <v>0.52949999999999919</v>
      </c>
      <c r="AL73" s="46"/>
      <c r="AM73" s="62">
        <f t="shared" si="15"/>
        <v>40025</v>
      </c>
      <c r="AN73" s="63">
        <f t="shared" ca="1" si="16"/>
        <v>2832</v>
      </c>
      <c r="AO73" s="63">
        <f t="shared" si="47"/>
        <v>1</v>
      </c>
      <c r="AP73" s="19"/>
      <c r="AQ73" s="74">
        <f ca="1">_xll.SPRDOPT(U73,AA73,AI73,AX73,X73,AD73,AG73,AN73,AO73,0)</f>
        <v>1.0947235134691102</v>
      </c>
      <c r="AR73" s="47">
        <f t="shared" ca="1" si="27"/>
        <v>1642085.2702036654</v>
      </c>
      <c r="AS73" s="135">
        <f t="shared" ca="1" si="28"/>
        <v>0.56522351346911104</v>
      </c>
      <c r="AU73" s="5">
        <f t="shared" si="48"/>
        <v>30</v>
      </c>
      <c r="AV73" s="148">
        <f t="shared" si="18"/>
        <v>40071</v>
      </c>
      <c r="AW73" s="41">
        <f t="shared" ca="1" si="19"/>
        <v>2878</v>
      </c>
      <c r="AX73" s="100">
        <f>VLOOKUP($A73,[1]!CurveTable,MATCH(AX$4,[1]!CurveType,0))</f>
        <v>5.2088728708573E-2</v>
      </c>
      <c r="AY73" s="149">
        <f ca="1">1/(1+CHOOSE(F$3,(AX74+(Inputs!$B$14/10000))/2,(AX73+(Inputs!$B$14/10000))/2))^(2*AW73/365.25)</f>
        <v>0.66685596253265622</v>
      </c>
      <c r="AZ73" s="41">
        <f t="shared" si="49"/>
        <v>1</v>
      </c>
      <c r="BA73" s="72">
        <f t="shared" si="50"/>
        <v>30</v>
      </c>
      <c r="BC73" s="65">
        <f t="shared" ca="1" si="29"/>
        <v>4103164.7374634338</v>
      </c>
      <c r="BD73" s="65">
        <f t="shared" ca="1" si="30"/>
        <v>4158180.3543723775</v>
      </c>
      <c r="BE73" s="65">
        <f t="shared" ca="1" si="31"/>
        <v>4158180.3543723775</v>
      </c>
      <c r="BF73" s="65">
        <f t="shared" ca="1" si="32"/>
        <v>600170.36627939052</v>
      </c>
      <c r="BG73" s="65">
        <f t="shared" ca="1" si="33"/>
        <v>600170.36627939052</v>
      </c>
      <c r="BH73" s="65">
        <f t="shared" ca="1" si="34"/>
        <v>600170.36627939052</v>
      </c>
      <c r="BI73" s="65">
        <f t="shared" ca="1" si="35"/>
        <v>0</v>
      </c>
      <c r="BJ73" s="65">
        <f t="shared" ca="1" si="36"/>
        <v>0</v>
      </c>
      <c r="BK73" s="65">
        <f t="shared" ca="1" si="37"/>
        <v>0</v>
      </c>
      <c r="BL73" s="65">
        <f t="shared" ca="1" si="38"/>
        <v>10502.981409889335</v>
      </c>
      <c r="BM73" s="65">
        <f t="shared" ca="1" si="39"/>
        <v>10502.981409889335</v>
      </c>
      <c r="BN73" s="65">
        <f t="shared" ca="1" si="40"/>
        <v>10502.981409889335</v>
      </c>
      <c r="BO73" s="65">
        <f t="shared" ca="1" si="41"/>
        <v>10002.839437989844</v>
      </c>
      <c r="BP73" s="65">
        <f t="shared" ca="1" si="42"/>
        <v>0</v>
      </c>
      <c r="BQ73" s="65">
        <f t="shared" ca="1" si="43"/>
        <v>0</v>
      </c>
      <c r="BR73" s="65">
        <f t="shared" ca="1" si="44"/>
        <v>4758350.7206517681</v>
      </c>
      <c r="BS73" s="65">
        <f t="shared" ca="1" si="45"/>
        <v>4168683.3357822676</v>
      </c>
      <c r="BT73" s="65">
        <f t="shared" ca="1" si="46"/>
        <v>60017.036627939058</v>
      </c>
      <c r="BU73" s="65">
        <f t="shared" ca="1" si="23"/>
        <v>529650.34824156133</v>
      </c>
    </row>
    <row r="74" spans="1:73">
      <c r="A74" s="42">
        <f t="shared" si="24"/>
        <v>40087</v>
      </c>
      <c r="B74" s="30">
        <f>Inputs!$B$8</f>
        <v>50000</v>
      </c>
      <c r="C74" s="17">
        <f t="shared" ref="C74:C137" si="66">IF(AZ74=0,0,IF(AND(AZ74=1,$H$3=1),B74*AU74,IF($H$3=2,B74,"N/A")))</f>
        <v>1550000</v>
      </c>
      <c r="D74" s="17">
        <f t="shared" ref="D74:D137" ca="1" si="67">C74*AY74</f>
        <v>1028416.6218224567</v>
      </c>
      <c r="E74" s="25">
        <f>VLOOKUP($A74,[1]!CurveTable,MATCH($E$4,[1]!CurveType,0))</f>
        <v>4.1020000000000003</v>
      </c>
      <c r="F74" s="31">
        <f>E74-Inputs!$B$16</f>
        <v>4.157</v>
      </c>
      <c r="G74" s="43">
        <f t="shared" si="61"/>
        <v>4.157</v>
      </c>
      <c r="H74" s="25">
        <f>VLOOKUP($A74,[1]!CurveTable,MATCH($H$4,[1]!CurveType,0))</f>
        <v>0.3</v>
      </c>
      <c r="I74" s="31">
        <f>H74+Inputs!$B$22</f>
        <v>0.3</v>
      </c>
      <c r="J74" s="44">
        <f t="shared" si="62"/>
        <v>0.3</v>
      </c>
      <c r="K74" s="25">
        <f>VLOOKUP($A74,[1]!CurveTable,MATCH($K$4,[1]!CurveType,0))</f>
        <v>0</v>
      </c>
      <c r="L74" s="31">
        <v>0</v>
      </c>
      <c r="M74" s="45">
        <f t="shared" si="63"/>
        <v>0</v>
      </c>
      <c r="N74" s="25">
        <f>VLOOKUP($A74,[1]!CurveTable,MATCH($N$4,[1]!CurveType,0))</f>
        <v>9.0000000000000011E-3</v>
      </c>
      <c r="O74" s="31">
        <f>N74+Inputs!$E$22</f>
        <v>9.0000000000000011E-3</v>
      </c>
      <c r="P74" s="45">
        <f t="shared" si="64"/>
        <v>9.0000000000000011E-3</v>
      </c>
      <c r="Q74" s="25">
        <f>VLOOKUP($A74,[1]!CurveTable,MATCH($Q$4,[1]!CurveType,0))</f>
        <v>0.01</v>
      </c>
      <c r="R74" s="31">
        <v>0</v>
      </c>
      <c r="S74" s="45">
        <f t="shared" si="65"/>
        <v>0</v>
      </c>
      <c r="T74" s="4"/>
      <c r="U74" s="159">
        <f t="shared" si="25"/>
        <v>4.4569999999999999</v>
      </c>
      <c r="V74" s="160"/>
      <c r="W74" s="100">
        <f>VLOOKUP($A74,[1]!CurveTable,MATCH($W$4,[1]!CurveType,0))+$W$9</f>
        <v>0.19500000000000001</v>
      </c>
      <c r="X74" s="100">
        <f>VLOOKUP($A74,[1]!CurveTable,MATCH($X$4,[1]!CurveType,0))+$X$9</f>
        <v>0.2</v>
      </c>
      <c r="Y74" s="158">
        <f t="shared" ref="Y74:Y137" ca="1" si="68">SQRT((X74^2*($A74-$C$3)+W74^2*(DAY(EOMONTH(A74,0))/2))/$AN74)</f>
        <v>0.20159111023248083</v>
      </c>
      <c r="Z74" s="4"/>
      <c r="AA74" s="159">
        <f t="shared" si="26"/>
        <v>4.1660000000000004</v>
      </c>
      <c r="AB74" s="160"/>
      <c r="AC74" s="100">
        <f>VLOOKUP($A74,[1]!CurveTable,MATCH($AC$4,[1]!CurveType,0))+$AC$9</f>
        <v>0.19500000000000001</v>
      </c>
      <c r="AD74" s="100">
        <f>VLOOKUP($A74,[1]!CurveTable,MATCH($AD$4,[1]!CurveType,0))+$AD$9</f>
        <v>0.2</v>
      </c>
      <c r="AE74" s="158">
        <f t="shared" ref="AE74:AE137" ca="1" si="69">SQRT((AD74^2*($A74-$C$3)+AC74^2*(DAY(EOMONTH(A74,0))/2))/$AN74)</f>
        <v>0.20159111023248083</v>
      </c>
      <c r="AF74" s="4"/>
      <c r="AG74" s="52">
        <f ca="1">((Inputs!$F$20*(X74*AD74)*(A74-$C$3))+(Inputs!$F$19*W74*AC74*(DAY(EOMONTH(A74,0))/2)))/(AN74*Y74*AE74)</f>
        <v>0.75000000000000022</v>
      </c>
      <c r="AH74" s="4"/>
      <c r="AI74" s="18">
        <f>Inputs!$B$15</f>
        <v>0.06</v>
      </c>
      <c r="AJ74" s="46"/>
      <c r="AK74" s="18">
        <f t="shared" ref="AK74:AK137" si="70">IF((U74-AA74-AI74)&lt;0,0,(U74-AA74-AI74))</f>
        <v>0.23099999999999948</v>
      </c>
      <c r="AL74" s="46"/>
      <c r="AM74" s="62">
        <f t="shared" ref="AM74:AM137" si="71">WORKDAY(EOMONTH(A74-1,-1),0)</f>
        <v>40056</v>
      </c>
      <c r="AN74" s="63">
        <f t="shared" ref="AN74:AN137" ca="1" si="72">AM74-$C$3</f>
        <v>2863</v>
      </c>
      <c r="AO74" s="63">
        <f t="shared" si="47"/>
        <v>1</v>
      </c>
      <c r="AP74" s="19"/>
      <c r="AQ74" s="74">
        <f ca="1">_xll.SPRDOPT(U74,AA74,AI74,AX74,X74,AD74,AG74,AN74,AO74,0)</f>
        <v>0.5302444462527004</v>
      </c>
      <c r="AR74" s="47">
        <f t="shared" ca="1" si="27"/>
        <v>821878.89169168565</v>
      </c>
      <c r="AS74" s="135">
        <f t="shared" ca="1" si="28"/>
        <v>0.29924444625270091</v>
      </c>
      <c r="AU74" s="5">
        <f t="shared" si="48"/>
        <v>31</v>
      </c>
      <c r="AV74" s="148">
        <f t="shared" ref="AV74:AV137" si="73">CHOOSE(F$3,A75+24,A74+14)</f>
        <v>40101</v>
      </c>
      <c r="AW74" s="41">
        <f t="shared" ref="AW74:AW137" ca="1" si="74">AV74-C$3</f>
        <v>2908</v>
      </c>
      <c r="AX74" s="100">
        <f>VLOOKUP($A74,[1]!CurveTable,MATCH(AX$4,[1]!CurveType,0))</f>
        <v>5.2195669885240797E-2</v>
      </c>
      <c r="AY74" s="149">
        <f ca="1">1/(1+CHOOSE(F$3,(AX75+(Inputs!$B$14/10000))/2,(AX74+(Inputs!$B$14/10000))/2))^(2*AW74/365.25)</f>
        <v>0.66349459472416561</v>
      </c>
      <c r="AZ74" s="41">
        <f t="shared" si="49"/>
        <v>1</v>
      </c>
      <c r="BA74" s="72">
        <f t="shared" si="50"/>
        <v>31</v>
      </c>
      <c r="BC74" s="65">
        <f t="shared" ca="1" si="29"/>
        <v>4218564.9827157175</v>
      </c>
      <c r="BD74" s="65">
        <f t="shared" ca="1" si="30"/>
        <v>4275127.8969159527</v>
      </c>
      <c r="BE74" s="65">
        <f t="shared" ca="1" si="31"/>
        <v>4275127.8969159527</v>
      </c>
      <c r="BF74" s="65">
        <f t="shared" ca="1" si="32"/>
        <v>308524.98654673703</v>
      </c>
      <c r="BG74" s="65">
        <f t="shared" ca="1" si="33"/>
        <v>308524.98654673703</v>
      </c>
      <c r="BH74" s="65">
        <f t="shared" ca="1" si="34"/>
        <v>308524.98654673703</v>
      </c>
      <c r="BI74" s="65">
        <f t="shared" ca="1" si="35"/>
        <v>0</v>
      </c>
      <c r="BJ74" s="65">
        <f t="shared" ca="1" si="36"/>
        <v>0</v>
      </c>
      <c r="BK74" s="65">
        <f t="shared" ca="1" si="37"/>
        <v>0</v>
      </c>
      <c r="BL74" s="65">
        <f t="shared" ca="1" si="38"/>
        <v>9255.7495964021109</v>
      </c>
      <c r="BM74" s="65">
        <f t="shared" ca="1" si="39"/>
        <v>9255.7495964021109</v>
      </c>
      <c r="BN74" s="65">
        <f t="shared" ca="1" si="40"/>
        <v>9255.7495964021109</v>
      </c>
      <c r="BO74" s="65">
        <f t="shared" ca="1" si="41"/>
        <v>10284.166218224567</v>
      </c>
      <c r="BP74" s="65">
        <f t="shared" ca="1" si="42"/>
        <v>0</v>
      </c>
      <c r="BQ74" s="65">
        <f t="shared" ca="1" si="43"/>
        <v>0</v>
      </c>
      <c r="BR74" s="65">
        <f t="shared" ca="1" si="44"/>
        <v>4583652.8834626898</v>
      </c>
      <c r="BS74" s="65">
        <f t="shared" ca="1" si="45"/>
        <v>4284383.6465123547</v>
      </c>
      <c r="BT74" s="65">
        <f t="shared" ca="1" si="46"/>
        <v>61704.997309347404</v>
      </c>
      <c r="BU74" s="65">
        <f t="shared" ref="BU74:BU137" ca="1" si="75">AK74*D74</f>
        <v>237564.23964098698</v>
      </c>
    </row>
    <row r="75" spans="1:73">
      <c r="A75" s="42">
        <f t="shared" ref="A75:A138" si="76">EDATE(A74,1)</f>
        <v>40118</v>
      </c>
      <c r="B75" s="30">
        <f>Inputs!$B$8</f>
        <v>50000</v>
      </c>
      <c r="C75" s="17">
        <f t="shared" si="66"/>
        <v>1500000</v>
      </c>
      <c r="D75" s="17">
        <f t="shared" ca="1" si="67"/>
        <v>990040.70828675851</v>
      </c>
      <c r="E75" s="25">
        <f>VLOOKUP($A75,[1]!CurveTable,MATCH($E$4,[1]!CurveType,0))</f>
        <v>4.25</v>
      </c>
      <c r="F75" s="31">
        <f>E75-Inputs!$B$16</f>
        <v>4.3049999999999997</v>
      </c>
      <c r="G75" s="43">
        <f t="shared" si="61"/>
        <v>4.3049999999999997</v>
      </c>
      <c r="H75" s="25">
        <f>VLOOKUP($A75,[1]!CurveTable,MATCH($H$4,[1]!CurveType,0))</f>
        <v>0.22</v>
      </c>
      <c r="I75" s="31">
        <f>H75+Inputs!$B$22</f>
        <v>0.22</v>
      </c>
      <c r="J75" s="44">
        <f t="shared" si="62"/>
        <v>0.22</v>
      </c>
      <c r="K75" s="25">
        <f>VLOOKUP($A75,[1]!CurveTable,MATCH($K$4,[1]!CurveType,0))</f>
        <v>0</v>
      </c>
      <c r="L75" s="31">
        <v>0</v>
      </c>
      <c r="M75" s="45">
        <f t="shared" si="63"/>
        <v>0</v>
      </c>
      <c r="N75" s="25">
        <f>VLOOKUP($A75,[1]!CurveTable,MATCH($N$4,[1]!CurveType,0))</f>
        <v>0.01</v>
      </c>
      <c r="O75" s="31">
        <f>N75+Inputs!$E$22</f>
        <v>0.01</v>
      </c>
      <c r="P75" s="45">
        <f t="shared" si="64"/>
        <v>0.01</v>
      </c>
      <c r="Q75" s="25">
        <f>VLOOKUP($A75,[1]!CurveTable,MATCH($Q$4,[1]!CurveType,0))</f>
        <v>7.4999999999999997E-3</v>
      </c>
      <c r="R75" s="31">
        <v>0</v>
      </c>
      <c r="S75" s="45">
        <f t="shared" si="65"/>
        <v>0</v>
      </c>
      <c r="T75" s="4"/>
      <c r="U75" s="159">
        <f t="shared" ref="U75:U138" si="77">G75+J75</f>
        <v>4.5249999999999995</v>
      </c>
      <c r="V75" s="160"/>
      <c r="W75" s="100">
        <f>VLOOKUP($A75,[1]!CurveTable,MATCH($W$4,[1]!CurveType,0))+$W$9</f>
        <v>0.19500000000000001</v>
      </c>
      <c r="X75" s="100">
        <f>VLOOKUP($A75,[1]!CurveTable,MATCH($X$4,[1]!CurveType,0))+$X$9</f>
        <v>0.2</v>
      </c>
      <c r="Y75" s="158">
        <f t="shared" ca="1" si="68"/>
        <v>0.20159266905588533</v>
      </c>
      <c r="Z75" s="4"/>
      <c r="AA75" s="159">
        <f t="shared" ref="AA75:AA138" si="78">G75+P75+S75</f>
        <v>4.3149999999999995</v>
      </c>
      <c r="AB75" s="160"/>
      <c r="AC75" s="100">
        <f>VLOOKUP($A75,[1]!CurveTable,MATCH($AC$4,[1]!CurveType,0))+$AC$9</f>
        <v>0.19500000000000001</v>
      </c>
      <c r="AD75" s="100">
        <f>VLOOKUP($A75,[1]!CurveTable,MATCH($AD$4,[1]!CurveType,0))+$AD$9</f>
        <v>0.2</v>
      </c>
      <c r="AE75" s="158">
        <f t="shared" ca="1" si="69"/>
        <v>0.20159266905588533</v>
      </c>
      <c r="AF75" s="4"/>
      <c r="AG75" s="52">
        <f ca="1">((Inputs!$F$20*(X75*AD75)*(A75-$C$3))+(Inputs!$F$19*W75*AC75*(DAY(EOMONTH(A75,0))/2)))/(AN75*Y75*AE75)</f>
        <v>0.75</v>
      </c>
      <c r="AH75" s="4"/>
      <c r="AI75" s="18">
        <f>Inputs!$B$15</f>
        <v>0.06</v>
      </c>
      <c r="AJ75" s="46"/>
      <c r="AK75" s="18">
        <f t="shared" si="70"/>
        <v>0.14999999999999997</v>
      </c>
      <c r="AL75" s="46"/>
      <c r="AM75" s="62">
        <f t="shared" si="71"/>
        <v>40086</v>
      </c>
      <c r="AN75" s="63">
        <f t="shared" ca="1" si="72"/>
        <v>2893</v>
      </c>
      <c r="AO75" s="63">
        <f t="shared" si="47"/>
        <v>1</v>
      </c>
      <c r="AP75" s="19"/>
      <c r="AQ75" s="74">
        <f ca="1">_xll.SPRDOPT(U75,AA75,AI75,AX75,X75,AD75,AG75,AN75,AO75,0)</f>
        <v>0.51199774214199123</v>
      </c>
      <c r="AR75" s="47">
        <f t="shared" ref="AR75:AR138" ca="1" si="79">AQ75*C75</f>
        <v>767996.61321298685</v>
      </c>
      <c r="AS75" s="135">
        <f t="shared" ref="AS75:AS138" ca="1" si="80">AQ75-AK75</f>
        <v>0.36199774214199126</v>
      </c>
      <c r="AU75" s="5">
        <f t="shared" si="48"/>
        <v>30</v>
      </c>
      <c r="AV75" s="148">
        <f t="shared" si="73"/>
        <v>40132</v>
      </c>
      <c r="AW75" s="41">
        <f t="shared" ca="1" si="74"/>
        <v>2939</v>
      </c>
      <c r="AX75" s="100">
        <f>VLOOKUP($A75,[1]!CurveTable,MATCH(AX$4,[1]!CurveType,0))</f>
        <v>5.2306175771805699E-2</v>
      </c>
      <c r="AY75" s="149">
        <f ca="1">1/(1+CHOOSE(F$3,(AX76+(Inputs!$B$14/10000))/2,(AX75+(Inputs!$B$14/10000))/2))^(2*AW75/365.25)</f>
        <v>0.66002713885783904</v>
      </c>
      <c r="AZ75" s="41">
        <f t="shared" si="49"/>
        <v>1</v>
      </c>
      <c r="BA75" s="72">
        <f t="shared" si="50"/>
        <v>30</v>
      </c>
      <c r="BC75" s="65">
        <f t="shared" ref="BC75:BC138" ca="1" si="81">E75*$D75</f>
        <v>4207673.0102187237</v>
      </c>
      <c r="BD75" s="65">
        <f t="shared" ref="BD75:BD138" ca="1" si="82">F75*$D75</f>
        <v>4262125.2491744952</v>
      </c>
      <c r="BE75" s="65">
        <f t="shared" ref="BE75:BE138" ca="1" si="83">G75*$D75</f>
        <v>4262125.2491744952</v>
      </c>
      <c r="BF75" s="65">
        <f t="shared" ref="BF75:BF138" ca="1" si="84">H75*$D75</f>
        <v>217808.95582308687</v>
      </c>
      <c r="BG75" s="65">
        <f t="shared" ref="BG75:BG138" ca="1" si="85">I75*$D75</f>
        <v>217808.95582308687</v>
      </c>
      <c r="BH75" s="65">
        <f t="shared" ref="BH75:BH138" ca="1" si="86">J75*$D75</f>
        <v>217808.95582308687</v>
      </c>
      <c r="BI75" s="65">
        <f t="shared" ref="BI75:BI138" ca="1" si="87">K75*$D75</f>
        <v>0</v>
      </c>
      <c r="BJ75" s="65">
        <f t="shared" ref="BJ75:BJ138" ca="1" si="88">L75*$D75</f>
        <v>0</v>
      </c>
      <c r="BK75" s="65">
        <f t="shared" ref="BK75:BK138" ca="1" si="89">M75*$D75</f>
        <v>0</v>
      </c>
      <c r="BL75" s="65">
        <f t="shared" ref="BL75:BL138" ca="1" si="90">N75*$D75</f>
        <v>9900.4070828675849</v>
      </c>
      <c r="BM75" s="65">
        <f t="shared" ref="BM75:BM138" ca="1" si="91">O75*$D75</f>
        <v>9900.4070828675849</v>
      </c>
      <c r="BN75" s="65">
        <f t="shared" ref="BN75:BN138" ca="1" si="92">P75*$D75</f>
        <v>9900.4070828675849</v>
      </c>
      <c r="BO75" s="65">
        <f t="shared" ref="BO75:BO138" ca="1" si="93">Q75*$D75</f>
        <v>7425.3053121506882</v>
      </c>
      <c r="BP75" s="65">
        <f t="shared" ref="BP75:BP138" ca="1" si="94">R75*$D75</f>
        <v>0</v>
      </c>
      <c r="BQ75" s="65">
        <f t="shared" ref="BQ75:BQ138" ca="1" si="95">S75*$D75</f>
        <v>0</v>
      </c>
      <c r="BR75" s="65">
        <f t="shared" ref="BR75:BR138" ca="1" si="96">U75*$D75</f>
        <v>4479934.2049975814</v>
      </c>
      <c r="BS75" s="65">
        <f t="shared" ref="BS75:BS138" ca="1" si="97">AA75*$D75</f>
        <v>4272025.6562573621</v>
      </c>
      <c r="BT75" s="65">
        <f t="shared" ref="BT75:BT138" ca="1" si="98">AI75*$D75</f>
        <v>59402.442497205506</v>
      </c>
      <c r="BU75" s="65">
        <f t="shared" ca="1" si="75"/>
        <v>148506.10624301375</v>
      </c>
    </row>
    <row r="76" spans="1:73">
      <c r="A76" s="42">
        <f t="shared" si="76"/>
        <v>40148</v>
      </c>
      <c r="B76" s="30">
        <f>Inputs!$B$8</f>
        <v>50000</v>
      </c>
      <c r="C76" s="17">
        <f t="shared" si="66"/>
        <v>1550000</v>
      </c>
      <c r="D76" s="17">
        <f t="shared" ca="1" si="67"/>
        <v>1017849.9555718366</v>
      </c>
      <c r="E76" s="25">
        <f>VLOOKUP($A76,[1]!CurveTable,MATCH($E$4,[1]!CurveType,0))</f>
        <v>4.4020000000000001</v>
      </c>
      <c r="F76" s="31">
        <f>E76-Inputs!$B$16</f>
        <v>4.4569999999999999</v>
      </c>
      <c r="G76" s="43">
        <f t="shared" si="61"/>
        <v>4.4569999999999999</v>
      </c>
      <c r="H76" s="25">
        <f>VLOOKUP($A76,[1]!CurveTable,MATCH($H$4,[1]!CurveType,0))</f>
        <v>0.2</v>
      </c>
      <c r="I76" s="31">
        <f>H76+Inputs!$B$22</f>
        <v>0.2</v>
      </c>
      <c r="J76" s="44">
        <f t="shared" si="62"/>
        <v>0.2</v>
      </c>
      <c r="K76" s="25">
        <f>VLOOKUP($A76,[1]!CurveTable,MATCH($K$4,[1]!CurveType,0))</f>
        <v>0</v>
      </c>
      <c r="L76" s="31">
        <v>0</v>
      </c>
      <c r="M76" s="45">
        <f t="shared" si="63"/>
        <v>0</v>
      </c>
      <c r="N76" s="25">
        <f>VLOOKUP($A76,[1]!CurveTable,MATCH($N$4,[1]!CurveType,0))</f>
        <v>0.01</v>
      </c>
      <c r="O76" s="31">
        <f>N76+Inputs!$E$22</f>
        <v>0.01</v>
      </c>
      <c r="P76" s="45">
        <f t="shared" si="64"/>
        <v>0.01</v>
      </c>
      <c r="Q76" s="25">
        <f>VLOOKUP($A76,[1]!CurveTable,MATCH($Q$4,[1]!CurveType,0))</f>
        <v>7.4999999999999997E-3</v>
      </c>
      <c r="R76" s="31">
        <v>0</v>
      </c>
      <c r="S76" s="45">
        <f t="shared" si="65"/>
        <v>0</v>
      </c>
      <c r="T76" s="4"/>
      <c r="U76" s="159">
        <f t="shared" si="77"/>
        <v>4.657</v>
      </c>
      <c r="V76" s="160"/>
      <c r="W76" s="100">
        <f>VLOOKUP($A76,[1]!CurveTable,MATCH($W$4,[1]!CurveType,0))+$W$9</f>
        <v>0.19500000000000001</v>
      </c>
      <c r="X76" s="100">
        <f>VLOOKUP($A76,[1]!CurveTable,MATCH($X$4,[1]!CurveType,0))+$X$9</f>
        <v>0.2</v>
      </c>
      <c r="Y76" s="158">
        <f t="shared" ca="1" si="68"/>
        <v>0.20155804503873281</v>
      </c>
      <c r="Z76" s="4"/>
      <c r="AA76" s="159">
        <f t="shared" si="78"/>
        <v>4.4669999999999996</v>
      </c>
      <c r="AB76" s="160"/>
      <c r="AC76" s="100">
        <f>VLOOKUP($A76,[1]!CurveTable,MATCH($AC$4,[1]!CurveType,0))+$AC$9</f>
        <v>0.19500000000000001</v>
      </c>
      <c r="AD76" s="100">
        <f>VLOOKUP($A76,[1]!CurveTable,MATCH($AD$4,[1]!CurveType,0))+$AD$9</f>
        <v>0.2</v>
      </c>
      <c r="AE76" s="158">
        <f t="shared" ca="1" si="69"/>
        <v>0.20155804503873281</v>
      </c>
      <c r="AF76" s="4"/>
      <c r="AG76" s="52">
        <f ca="1">((Inputs!$F$20*(X76*AD76)*(A76-$C$3))+(Inputs!$F$19*W76*AC76*(DAY(EOMONTH(A76,0))/2)))/(AN76*Y76*AE76)</f>
        <v>0.75000000000000022</v>
      </c>
      <c r="AH76" s="4"/>
      <c r="AI76" s="18">
        <f>Inputs!$B$15</f>
        <v>0.06</v>
      </c>
      <c r="AJ76" s="46"/>
      <c r="AK76" s="18">
        <f t="shared" si="70"/>
        <v>0.13000000000000039</v>
      </c>
      <c r="AL76" s="46"/>
      <c r="AM76" s="62">
        <f t="shared" si="71"/>
        <v>40117</v>
      </c>
      <c r="AN76" s="63">
        <f t="shared" ca="1" si="72"/>
        <v>2924</v>
      </c>
      <c r="AO76" s="63">
        <f t="shared" ref="AO76:AO139" si="99">AO75</f>
        <v>1</v>
      </c>
      <c r="AP76" s="19"/>
      <c r="AQ76" s="74">
        <f ca="1">_xll.SPRDOPT(U76,AA76,AI76,AX76,X76,AD76,AG76,AN76,AO76,0)</f>
        <v>0.51948613746128469</v>
      </c>
      <c r="AR76" s="47">
        <f t="shared" ca="1" si="79"/>
        <v>805203.51306499122</v>
      </c>
      <c r="AS76" s="135">
        <f t="shared" ca="1" si="80"/>
        <v>0.3894861374612843</v>
      </c>
      <c r="AU76" s="5">
        <f t="shared" si="48"/>
        <v>31</v>
      </c>
      <c r="AV76" s="148">
        <f t="shared" si="73"/>
        <v>40162</v>
      </c>
      <c r="AW76" s="41">
        <f t="shared" ca="1" si="74"/>
        <v>2969</v>
      </c>
      <c r="AX76" s="100">
        <f>VLOOKUP($A76,[1]!CurveTable,MATCH(AX$4,[1]!CurveType,0))</f>
        <v>5.2413116956229598E-2</v>
      </c>
      <c r="AY76" s="149">
        <f ca="1">1/(1+CHOOSE(F$3,(AX77+(Inputs!$B$14/10000))/2,(AX76+(Inputs!$B$14/10000))/2))^(2*AW76/365.25)</f>
        <v>0.65667739069150743</v>
      </c>
      <c r="AZ76" s="41">
        <f t="shared" si="49"/>
        <v>1</v>
      </c>
      <c r="BA76" s="72">
        <f t="shared" si="50"/>
        <v>31</v>
      </c>
      <c r="BC76" s="65">
        <f t="shared" ca="1" si="81"/>
        <v>4480575.5044272244</v>
      </c>
      <c r="BD76" s="65">
        <f t="shared" ca="1" si="82"/>
        <v>4536557.2519836752</v>
      </c>
      <c r="BE76" s="65">
        <f t="shared" ca="1" si="83"/>
        <v>4536557.2519836752</v>
      </c>
      <c r="BF76" s="65">
        <f t="shared" ca="1" si="84"/>
        <v>203569.99111436732</v>
      </c>
      <c r="BG76" s="65">
        <f t="shared" ca="1" si="85"/>
        <v>203569.99111436732</v>
      </c>
      <c r="BH76" s="65">
        <f t="shared" ca="1" si="86"/>
        <v>203569.99111436732</v>
      </c>
      <c r="BI76" s="65">
        <f t="shared" ca="1" si="87"/>
        <v>0</v>
      </c>
      <c r="BJ76" s="65">
        <f t="shared" ca="1" si="88"/>
        <v>0</v>
      </c>
      <c r="BK76" s="65">
        <f t="shared" ca="1" si="89"/>
        <v>0</v>
      </c>
      <c r="BL76" s="65">
        <f t="shared" ca="1" si="90"/>
        <v>10178.499555718367</v>
      </c>
      <c r="BM76" s="65">
        <f t="shared" ca="1" si="91"/>
        <v>10178.499555718367</v>
      </c>
      <c r="BN76" s="65">
        <f t="shared" ca="1" si="92"/>
        <v>10178.499555718367</v>
      </c>
      <c r="BO76" s="65">
        <f t="shared" ca="1" si="93"/>
        <v>7633.8746667887735</v>
      </c>
      <c r="BP76" s="65">
        <f t="shared" ca="1" si="94"/>
        <v>0</v>
      </c>
      <c r="BQ76" s="65">
        <f t="shared" ca="1" si="95"/>
        <v>0</v>
      </c>
      <c r="BR76" s="65">
        <f t="shared" ca="1" si="96"/>
        <v>4740127.2430980429</v>
      </c>
      <c r="BS76" s="65">
        <f t="shared" ca="1" si="97"/>
        <v>4546735.7515393933</v>
      </c>
      <c r="BT76" s="65">
        <f t="shared" ca="1" si="98"/>
        <v>61070.997334310188</v>
      </c>
      <c r="BU76" s="65">
        <f t="shared" ca="1" si="75"/>
        <v>132320.49422433914</v>
      </c>
    </row>
    <row r="77" spans="1:73">
      <c r="A77" s="42">
        <f t="shared" si="76"/>
        <v>40179</v>
      </c>
      <c r="B77" s="30">
        <f>Inputs!$B$8</f>
        <v>50000</v>
      </c>
      <c r="C77" s="17">
        <f t="shared" si="66"/>
        <v>1550000</v>
      </c>
      <c r="D77" s="17">
        <f t="shared" ca="1" si="67"/>
        <v>1012494.2949404833</v>
      </c>
      <c r="E77" s="25">
        <f>VLOOKUP($A77,[1]!CurveTable,MATCH($E$4,[1]!CurveType,0))</f>
        <v>4.4744999999999999</v>
      </c>
      <c r="F77" s="31">
        <f>E77-Inputs!$B$16</f>
        <v>4.5294999999999996</v>
      </c>
      <c r="G77" s="43">
        <f t="shared" si="61"/>
        <v>4.5294999999999996</v>
      </c>
      <c r="H77" s="25">
        <f>VLOOKUP($A77,[1]!CurveTable,MATCH($H$4,[1]!CurveType,0))</f>
        <v>7.4999999999999997E-2</v>
      </c>
      <c r="I77" s="31">
        <f>H77+Inputs!$B$22</f>
        <v>7.4999999999999997E-2</v>
      </c>
      <c r="J77" s="44">
        <f t="shared" si="62"/>
        <v>7.4999999999999997E-2</v>
      </c>
      <c r="K77" s="25">
        <f>VLOOKUP($A77,[1]!CurveTable,MATCH($K$4,[1]!CurveType,0))</f>
        <v>0</v>
      </c>
      <c r="L77" s="31">
        <v>0</v>
      </c>
      <c r="M77" s="45">
        <f t="shared" si="63"/>
        <v>0</v>
      </c>
      <c r="N77" s="25">
        <f>VLOOKUP($A77,[1]!CurveTable,MATCH($N$4,[1]!CurveType,0))</f>
        <v>0.01</v>
      </c>
      <c r="O77" s="31">
        <f>N77+Inputs!$E$22</f>
        <v>0.01</v>
      </c>
      <c r="P77" s="45">
        <f t="shared" si="64"/>
        <v>0.01</v>
      </c>
      <c r="Q77" s="25">
        <f>VLOOKUP($A77,[1]!CurveTable,MATCH($Q$4,[1]!CurveType,0))</f>
        <v>7.4999999999999997E-3</v>
      </c>
      <c r="R77" s="31">
        <v>0</v>
      </c>
      <c r="S77" s="45">
        <f t="shared" si="65"/>
        <v>0</v>
      </c>
      <c r="T77" s="4"/>
      <c r="U77" s="159">
        <f t="shared" si="77"/>
        <v>4.6044999999999998</v>
      </c>
      <c r="V77" s="160"/>
      <c r="W77" s="100">
        <f>VLOOKUP($A77,[1]!CurveTable,MATCH($W$4,[1]!CurveType,0))+$W$9</f>
        <v>0.19500000000000001</v>
      </c>
      <c r="X77" s="100">
        <f>VLOOKUP($A77,[1]!CurveTable,MATCH($X$4,[1]!CurveType,0))+$X$9</f>
        <v>0.2</v>
      </c>
      <c r="Y77" s="158">
        <f t="shared" ca="1" si="68"/>
        <v>0.20157587305990912</v>
      </c>
      <c r="Z77" s="4"/>
      <c r="AA77" s="159">
        <f t="shared" si="78"/>
        <v>4.5394999999999994</v>
      </c>
      <c r="AB77" s="160"/>
      <c r="AC77" s="100">
        <f>VLOOKUP($A77,[1]!CurveTable,MATCH($AC$4,[1]!CurveType,0))+$AC$9</f>
        <v>0.19500000000000001</v>
      </c>
      <c r="AD77" s="100">
        <f>VLOOKUP($A77,[1]!CurveTable,MATCH($AD$4,[1]!CurveType,0))+$AD$9</f>
        <v>0.2</v>
      </c>
      <c r="AE77" s="158">
        <f t="shared" ca="1" si="69"/>
        <v>0.20157587305990912</v>
      </c>
      <c r="AF77" s="4"/>
      <c r="AG77" s="52">
        <f ca="1">((Inputs!$F$20*(X77*AD77)*(A77-$C$3))+(Inputs!$F$19*W77*AC77*(DAY(EOMONTH(A77,0))/2)))/(AN77*Y77*AE77)</f>
        <v>0.75000000000000011</v>
      </c>
      <c r="AH77" s="4"/>
      <c r="AI77" s="18">
        <f>Inputs!$B$15</f>
        <v>0.06</v>
      </c>
      <c r="AJ77" s="46"/>
      <c r="AK77" s="18">
        <f t="shared" si="70"/>
        <v>5.000000000000393E-3</v>
      </c>
      <c r="AL77" s="46"/>
      <c r="AM77" s="62">
        <f t="shared" si="71"/>
        <v>40147</v>
      </c>
      <c r="AN77" s="63">
        <f t="shared" ca="1" si="72"/>
        <v>2954</v>
      </c>
      <c r="AO77" s="63">
        <f t="shared" si="99"/>
        <v>1</v>
      </c>
      <c r="AP77" s="19"/>
      <c r="AQ77" s="74">
        <f ca="1">_xll.SPRDOPT(U77,AA77,AI77,AX77,X77,AD77,AG77,AN77,AO77,0)</f>
        <v>0.47819381380453502</v>
      </c>
      <c r="AR77" s="47">
        <f t="shared" ca="1" si="79"/>
        <v>741200.4113970293</v>
      </c>
      <c r="AS77" s="135">
        <f t="shared" ca="1" si="80"/>
        <v>0.47319381380453462</v>
      </c>
      <c r="AU77" s="5">
        <f t="shared" si="48"/>
        <v>31</v>
      </c>
      <c r="AV77" s="148">
        <f t="shared" si="73"/>
        <v>40193</v>
      </c>
      <c r="AW77" s="41">
        <f t="shared" ca="1" si="74"/>
        <v>3000</v>
      </c>
      <c r="AX77" s="100">
        <f>VLOOKUP($A77,[1]!CurveTable,MATCH(AX$4,[1]!CurveType,0))</f>
        <v>5.2523622850807701E-2</v>
      </c>
      <c r="AY77" s="149">
        <f ca="1">1/(1+CHOOSE(F$3,(AX78+(Inputs!$B$14/10000))/2,(AX77+(Inputs!$B$14/10000))/2))^(2*AW77/365.25)</f>
        <v>0.65322212576805372</v>
      </c>
      <c r="AZ77" s="41">
        <f t="shared" si="49"/>
        <v>1</v>
      </c>
      <c r="BA77" s="72">
        <f t="shared" si="50"/>
        <v>31</v>
      </c>
      <c r="BC77" s="65">
        <f t="shared" ca="1" si="81"/>
        <v>4530405.7227111924</v>
      </c>
      <c r="BD77" s="65">
        <f t="shared" ca="1" si="82"/>
        <v>4586092.9089329187</v>
      </c>
      <c r="BE77" s="65">
        <f t="shared" ca="1" si="83"/>
        <v>4586092.9089329187</v>
      </c>
      <c r="BF77" s="65">
        <f t="shared" ca="1" si="84"/>
        <v>75937.07212053625</v>
      </c>
      <c r="BG77" s="65">
        <f t="shared" ca="1" si="85"/>
        <v>75937.07212053625</v>
      </c>
      <c r="BH77" s="65">
        <f t="shared" ca="1" si="86"/>
        <v>75937.07212053625</v>
      </c>
      <c r="BI77" s="65">
        <f t="shared" ca="1" si="87"/>
        <v>0</v>
      </c>
      <c r="BJ77" s="65">
        <f t="shared" ca="1" si="88"/>
        <v>0</v>
      </c>
      <c r="BK77" s="65">
        <f t="shared" ca="1" si="89"/>
        <v>0</v>
      </c>
      <c r="BL77" s="65">
        <f t="shared" ca="1" si="90"/>
        <v>10124.942949404833</v>
      </c>
      <c r="BM77" s="65">
        <f t="shared" ca="1" si="91"/>
        <v>10124.942949404833</v>
      </c>
      <c r="BN77" s="65">
        <f t="shared" ca="1" si="92"/>
        <v>10124.942949404833</v>
      </c>
      <c r="BO77" s="65">
        <f t="shared" ca="1" si="93"/>
        <v>7593.7072120536241</v>
      </c>
      <c r="BP77" s="65">
        <f t="shared" ca="1" si="94"/>
        <v>0</v>
      </c>
      <c r="BQ77" s="65">
        <f t="shared" ca="1" si="95"/>
        <v>0</v>
      </c>
      <c r="BR77" s="65">
        <f t="shared" ca="1" si="96"/>
        <v>4662029.9810534548</v>
      </c>
      <c r="BS77" s="65">
        <f t="shared" ca="1" si="97"/>
        <v>4596217.8518823236</v>
      </c>
      <c r="BT77" s="65">
        <f t="shared" ca="1" si="98"/>
        <v>60749.657696428992</v>
      </c>
      <c r="BU77" s="65">
        <f t="shared" ca="1" si="75"/>
        <v>5062.4714747028147</v>
      </c>
    </row>
    <row r="78" spans="1:73">
      <c r="A78" s="42">
        <f t="shared" si="76"/>
        <v>40210</v>
      </c>
      <c r="B78" s="30">
        <f>Inputs!$B$8</f>
        <v>50000</v>
      </c>
      <c r="C78" s="17">
        <f t="shared" si="66"/>
        <v>1400000</v>
      </c>
      <c r="D78" s="17">
        <f t="shared" ca="1" si="67"/>
        <v>909682.47412039246</v>
      </c>
      <c r="E78" s="25">
        <f>VLOOKUP($A78,[1]!CurveTable,MATCH($E$4,[1]!CurveType,0))</f>
        <v>4.3875000000000002</v>
      </c>
      <c r="F78" s="31">
        <f>E78-Inputs!$B$16</f>
        <v>4.4424999999999999</v>
      </c>
      <c r="G78" s="43">
        <f t="shared" si="61"/>
        <v>4.4424999999999999</v>
      </c>
      <c r="H78" s="25">
        <f>VLOOKUP($A78,[1]!CurveTable,MATCH($H$4,[1]!CurveType,0))</f>
        <v>7.4999999999999997E-2</v>
      </c>
      <c r="I78" s="31">
        <f>H78+Inputs!$B$22</f>
        <v>7.4999999999999997E-2</v>
      </c>
      <c r="J78" s="44">
        <f t="shared" si="62"/>
        <v>7.4999999999999997E-2</v>
      </c>
      <c r="K78" s="25">
        <f>VLOOKUP($A78,[1]!CurveTable,MATCH($K$4,[1]!CurveType,0))</f>
        <v>0</v>
      </c>
      <c r="L78" s="31">
        <v>0</v>
      </c>
      <c r="M78" s="45">
        <f t="shared" si="63"/>
        <v>0</v>
      </c>
      <c r="N78" s="25">
        <f>VLOOKUP($A78,[1]!CurveTable,MATCH($N$4,[1]!CurveType,0))</f>
        <v>0.01</v>
      </c>
      <c r="O78" s="31">
        <f>N78+Inputs!$E$22</f>
        <v>0.01</v>
      </c>
      <c r="P78" s="45">
        <f t="shared" si="64"/>
        <v>0.01</v>
      </c>
      <c r="Q78" s="25">
        <f>VLOOKUP($A78,[1]!CurveTable,MATCH($Q$4,[1]!CurveType,0))</f>
        <v>7.4999999999999997E-3</v>
      </c>
      <c r="R78" s="31">
        <v>0</v>
      </c>
      <c r="S78" s="45">
        <f t="shared" si="65"/>
        <v>0</v>
      </c>
      <c r="T78" s="4"/>
      <c r="U78" s="159">
        <f t="shared" si="77"/>
        <v>4.5175000000000001</v>
      </c>
      <c r="V78" s="160"/>
      <c r="W78" s="100">
        <f>VLOOKUP($A78,[1]!CurveTable,MATCH($W$4,[1]!CurveType,0))+$W$9</f>
        <v>0.19</v>
      </c>
      <c r="X78" s="100">
        <f>VLOOKUP($A78,[1]!CurveTable,MATCH($X$4,[1]!CurveType,0))+$X$9</f>
        <v>0.19500000000000001</v>
      </c>
      <c r="Y78" s="158">
        <f t="shared" ca="1" si="68"/>
        <v>0.19647379322389436</v>
      </c>
      <c r="Z78" s="4"/>
      <c r="AA78" s="159">
        <f t="shared" si="78"/>
        <v>4.4524999999999997</v>
      </c>
      <c r="AB78" s="160"/>
      <c r="AC78" s="100">
        <f>VLOOKUP($A78,[1]!CurveTable,MATCH($AC$4,[1]!CurveType,0))+$AC$9</f>
        <v>0.19</v>
      </c>
      <c r="AD78" s="100">
        <f>VLOOKUP($A78,[1]!CurveTable,MATCH($AD$4,[1]!CurveType,0))+$AD$9</f>
        <v>0.19500000000000001</v>
      </c>
      <c r="AE78" s="158">
        <f t="shared" ca="1" si="69"/>
        <v>0.19647379322389436</v>
      </c>
      <c r="AF78" s="4"/>
      <c r="AG78" s="52">
        <f ca="1">((Inputs!$F$20*(X78*AD78)*(A78-$C$3))+(Inputs!$F$19*W78*AC78*(DAY(EOMONTH(A78,0))/2)))/(AN78*Y78*AE78)</f>
        <v>0.75000000000000011</v>
      </c>
      <c r="AH78" s="4"/>
      <c r="AI78" s="18">
        <f>Inputs!$B$15</f>
        <v>0.06</v>
      </c>
      <c r="AJ78" s="46"/>
      <c r="AK78" s="18">
        <f t="shared" si="70"/>
        <v>5.000000000000393E-3</v>
      </c>
      <c r="AL78" s="46"/>
      <c r="AM78" s="62">
        <f t="shared" si="71"/>
        <v>40178</v>
      </c>
      <c r="AN78" s="63">
        <f t="shared" ca="1" si="72"/>
        <v>2985</v>
      </c>
      <c r="AO78" s="63">
        <f t="shared" si="99"/>
        <v>1</v>
      </c>
      <c r="AP78" s="19"/>
      <c r="AQ78" s="74">
        <f ca="1">_xll.SPRDOPT(U78,AA78,AI78,AX78,X78,AD78,AG78,AN78,AO78,0)</f>
        <v>0.45748818801389879</v>
      </c>
      <c r="AR78" s="47">
        <f t="shared" ca="1" si="79"/>
        <v>640483.46321945835</v>
      </c>
      <c r="AS78" s="135">
        <f t="shared" ca="1" si="80"/>
        <v>0.4524881880138984</v>
      </c>
      <c r="AU78" s="5">
        <f t="shared" si="48"/>
        <v>28</v>
      </c>
      <c r="AV78" s="148">
        <f t="shared" si="73"/>
        <v>40224</v>
      </c>
      <c r="AW78" s="41">
        <f t="shared" ca="1" si="74"/>
        <v>3031</v>
      </c>
      <c r="AX78" s="100">
        <f>VLOOKUP($A78,[1]!CurveTable,MATCH(AX$4,[1]!CurveType,0))</f>
        <v>5.2634128749457998E-2</v>
      </c>
      <c r="AY78" s="149">
        <f ca="1">1/(1+CHOOSE(F$3,(AX79+(Inputs!$B$14/10000))/2,(AX78+(Inputs!$B$14/10000))/2))^(2*AW78/365.25)</f>
        <v>0.64977319580028037</v>
      </c>
      <c r="AZ78" s="41">
        <f t="shared" si="49"/>
        <v>1</v>
      </c>
      <c r="BA78" s="72">
        <f t="shared" si="50"/>
        <v>28</v>
      </c>
      <c r="BC78" s="65">
        <f t="shared" ca="1" si="81"/>
        <v>3991231.855203222</v>
      </c>
      <c r="BD78" s="65">
        <f t="shared" ca="1" si="82"/>
        <v>4041264.3912798436</v>
      </c>
      <c r="BE78" s="65">
        <f t="shared" ca="1" si="83"/>
        <v>4041264.3912798436</v>
      </c>
      <c r="BF78" s="65">
        <f t="shared" ca="1" si="84"/>
        <v>68226.185559029429</v>
      </c>
      <c r="BG78" s="65">
        <f t="shared" ca="1" si="85"/>
        <v>68226.185559029429</v>
      </c>
      <c r="BH78" s="65">
        <f t="shared" ca="1" si="86"/>
        <v>68226.185559029429</v>
      </c>
      <c r="BI78" s="65">
        <f t="shared" ca="1" si="87"/>
        <v>0</v>
      </c>
      <c r="BJ78" s="65">
        <f t="shared" ca="1" si="88"/>
        <v>0</v>
      </c>
      <c r="BK78" s="65">
        <f t="shared" ca="1" si="89"/>
        <v>0</v>
      </c>
      <c r="BL78" s="65">
        <f t="shared" ca="1" si="90"/>
        <v>9096.8247412039254</v>
      </c>
      <c r="BM78" s="65">
        <f t="shared" ca="1" si="91"/>
        <v>9096.8247412039254</v>
      </c>
      <c r="BN78" s="65">
        <f t="shared" ca="1" si="92"/>
        <v>9096.8247412039254</v>
      </c>
      <c r="BO78" s="65">
        <f t="shared" ca="1" si="93"/>
        <v>6822.6185559029436</v>
      </c>
      <c r="BP78" s="65">
        <f t="shared" ca="1" si="94"/>
        <v>0</v>
      </c>
      <c r="BQ78" s="65">
        <f t="shared" ca="1" si="95"/>
        <v>0</v>
      </c>
      <c r="BR78" s="65">
        <f t="shared" ca="1" si="96"/>
        <v>4109490.5768388729</v>
      </c>
      <c r="BS78" s="65">
        <f t="shared" ca="1" si="97"/>
        <v>4050361.216021047</v>
      </c>
      <c r="BT78" s="65">
        <f t="shared" ca="1" si="98"/>
        <v>54580.948447223549</v>
      </c>
      <c r="BU78" s="65">
        <f t="shared" ca="1" si="75"/>
        <v>4548.4123706023202</v>
      </c>
    </row>
    <row r="79" spans="1:73">
      <c r="A79" s="42">
        <f t="shared" si="76"/>
        <v>40238</v>
      </c>
      <c r="B79" s="30">
        <f>Inputs!$B$8</f>
        <v>50000</v>
      </c>
      <c r="C79" s="17">
        <f t="shared" si="66"/>
        <v>1550000</v>
      </c>
      <c r="D79" s="17">
        <f t="shared" ca="1" si="67"/>
        <v>1002328.5111581873</v>
      </c>
      <c r="E79" s="25">
        <f>VLOOKUP($A79,[1]!CurveTable,MATCH($E$4,[1]!CurveType,0))</f>
        <v>4.2484999999999999</v>
      </c>
      <c r="F79" s="31">
        <f>E79-Inputs!$B$16</f>
        <v>4.3034999999999997</v>
      </c>
      <c r="G79" s="43">
        <f t="shared" si="61"/>
        <v>4.3034999999999997</v>
      </c>
      <c r="H79" s="25">
        <f>VLOOKUP($A79,[1]!CurveTable,MATCH($H$4,[1]!CurveType,0))</f>
        <v>0.18</v>
      </c>
      <c r="I79" s="31">
        <f>H79+Inputs!$B$22</f>
        <v>0.18</v>
      </c>
      <c r="J79" s="44">
        <f t="shared" si="62"/>
        <v>0.18</v>
      </c>
      <c r="K79" s="25">
        <f>VLOOKUP($A79,[1]!CurveTable,MATCH($K$4,[1]!CurveType,0))</f>
        <v>0</v>
      </c>
      <c r="L79" s="31">
        <v>0</v>
      </c>
      <c r="M79" s="45">
        <f t="shared" si="63"/>
        <v>0</v>
      </c>
      <c r="N79" s="25">
        <f>VLOOKUP($A79,[1]!CurveTable,MATCH($N$4,[1]!CurveType,0))</f>
        <v>1.4E-2</v>
      </c>
      <c r="O79" s="31">
        <f>N79+Inputs!$E$22</f>
        <v>1.4E-2</v>
      </c>
      <c r="P79" s="45">
        <f t="shared" si="64"/>
        <v>1.4E-2</v>
      </c>
      <c r="Q79" s="25">
        <f>VLOOKUP($A79,[1]!CurveTable,MATCH($Q$4,[1]!CurveType,0))</f>
        <v>7.4999999999999997E-3</v>
      </c>
      <c r="R79" s="31">
        <v>0</v>
      </c>
      <c r="S79" s="45">
        <f t="shared" si="65"/>
        <v>0</v>
      </c>
      <c r="T79" s="4"/>
      <c r="U79" s="159">
        <f t="shared" si="77"/>
        <v>4.4834999999999994</v>
      </c>
      <c r="V79" s="160"/>
      <c r="W79" s="100">
        <f>VLOOKUP($A79,[1]!CurveTable,MATCH($W$4,[1]!CurveType,0))+$W$9</f>
        <v>0.1875</v>
      </c>
      <c r="X79" s="100">
        <f>VLOOKUP($A79,[1]!CurveTable,MATCH($X$4,[1]!CurveType,0))+$X$9</f>
        <v>0.1925</v>
      </c>
      <c r="Y79" s="158">
        <f t="shared" ca="1" si="68"/>
        <v>0.19388975504242389</v>
      </c>
      <c r="Z79" s="4"/>
      <c r="AA79" s="159">
        <f t="shared" si="78"/>
        <v>4.3174999999999999</v>
      </c>
      <c r="AB79" s="160"/>
      <c r="AC79" s="100">
        <f>VLOOKUP($A79,[1]!CurveTable,MATCH($AC$4,[1]!CurveType,0))+$AC$9</f>
        <v>0.1875</v>
      </c>
      <c r="AD79" s="100">
        <f>VLOOKUP($A79,[1]!CurveTable,MATCH($AD$4,[1]!CurveType,0))+$AD$9</f>
        <v>0.1925</v>
      </c>
      <c r="AE79" s="158">
        <f t="shared" ca="1" si="69"/>
        <v>0.19388975504242389</v>
      </c>
      <c r="AF79" s="4"/>
      <c r="AG79" s="52">
        <f ca="1">((Inputs!$F$20*(X79*AD79)*(A79-$C$3))+(Inputs!$F$19*W79*AC79*(DAY(EOMONTH(A79,0))/2)))/(AN79*Y79*AE79)</f>
        <v>0.75</v>
      </c>
      <c r="AH79" s="4"/>
      <c r="AI79" s="18">
        <f>Inputs!$B$15</f>
        <v>0.06</v>
      </c>
      <c r="AJ79" s="46"/>
      <c r="AK79" s="18">
        <f t="shared" si="70"/>
        <v>0.10599999999999948</v>
      </c>
      <c r="AL79" s="46"/>
      <c r="AM79" s="62">
        <f t="shared" si="71"/>
        <v>40209</v>
      </c>
      <c r="AN79" s="63">
        <f t="shared" ca="1" si="72"/>
        <v>3016</v>
      </c>
      <c r="AO79" s="63">
        <f t="shared" si="99"/>
        <v>1</v>
      </c>
      <c r="AP79" s="19"/>
      <c r="AQ79" s="74">
        <f ca="1">_xll.SPRDOPT(U79,AA79,AI79,AX79,X79,AD79,AG79,AN79,AO79,0)</f>
        <v>0.47662740891001715</v>
      </c>
      <c r="AR79" s="47">
        <f t="shared" ca="1" si="79"/>
        <v>738772.48381052655</v>
      </c>
      <c r="AS79" s="135">
        <f t="shared" ca="1" si="80"/>
        <v>0.37062740891001766</v>
      </c>
      <c r="AU79" s="5">
        <f t="shared" si="48"/>
        <v>31</v>
      </c>
      <c r="AV79" s="148">
        <f t="shared" si="73"/>
        <v>40252</v>
      </c>
      <c r="AW79" s="41">
        <f t="shared" ca="1" si="74"/>
        <v>3059</v>
      </c>
      <c r="AX79" s="100">
        <f>VLOOKUP($A79,[1]!CurveTable,MATCH(AX$4,[1]!CurveType,0))</f>
        <v>5.2733940532383901E-2</v>
      </c>
      <c r="AY79" s="149">
        <f ca="1">1/(1+CHOOSE(F$3,(AX80+(Inputs!$B$14/10000))/2,(AX79+(Inputs!$B$14/10000))/2))^(2*AW79/365.25)</f>
        <v>0.64666355558592725</v>
      </c>
      <c r="AZ79" s="41">
        <f t="shared" si="49"/>
        <v>1</v>
      </c>
      <c r="BA79" s="72">
        <f t="shared" si="50"/>
        <v>31</v>
      </c>
      <c r="BC79" s="65">
        <f t="shared" ca="1" si="81"/>
        <v>4258392.6796555584</v>
      </c>
      <c r="BD79" s="65">
        <f t="shared" ca="1" si="82"/>
        <v>4313520.7477692589</v>
      </c>
      <c r="BE79" s="65">
        <f t="shared" ca="1" si="83"/>
        <v>4313520.7477692589</v>
      </c>
      <c r="BF79" s="65">
        <f t="shared" ca="1" si="84"/>
        <v>180419.13200847371</v>
      </c>
      <c r="BG79" s="65">
        <f t="shared" ca="1" si="85"/>
        <v>180419.13200847371</v>
      </c>
      <c r="BH79" s="65">
        <f t="shared" ca="1" si="86"/>
        <v>180419.13200847371</v>
      </c>
      <c r="BI79" s="65">
        <f t="shared" ca="1" si="87"/>
        <v>0</v>
      </c>
      <c r="BJ79" s="65">
        <f t="shared" ca="1" si="88"/>
        <v>0</v>
      </c>
      <c r="BK79" s="65">
        <f t="shared" ca="1" si="89"/>
        <v>0</v>
      </c>
      <c r="BL79" s="65">
        <f t="shared" ca="1" si="90"/>
        <v>14032.599156214623</v>
      </c>
      <c r="BM79" s="65">
        <f t="shared" ca="1" si="91"/>
        <v>14032.599156214623</v>
      </c>
      <c r="BN79" s="65">
        <f t="shared" ca="1" si="92"/>
        <v>14032.599156214623</v>
      </c>
      <c r="BO79" s="65">
        <f t="shared" ca="1" si="93"/>
        <v>7517.4638336864045</v>
      </c>
      <c r="BP79" s="65">
        <f t="shared" ca="1" si="94"/>
        <v>0</v>
      </c>
      <c r="BQ79" s="65">
        <f t="shared" ca="1" si="95"/>
        <v>0</v>
      </c>
      <c r="BR79" s="65">
        <f t="shared" ca="1" si="96"/>
        <v>4493939.8797777323</v>
      </c>
      <c r="BS79" s="65">
        <f t="shared" ca="1" si="97"/>
        <v>4327553.3469254738</v>
      </c>
      <c r="BT79" s="65">
        <f t="shared" ca="1" si="98"/>
        <v>60139.710669491236</v>
      </c>
      <c r="BU79" s="65">
        <f t="shared" ca="1" si="75"/>
        <v>106246.82218276734</v>
      </c>
    </row>
    <row r="80" spans="1:73">
      <c r="A80" s="42">
        <f t="shared" si="76"/>
        <v>40269</v>
      </c>
      <c r="B80" s="30">
        <f>Inputs!$B$8</f>
        <v>50000</v>
      </c>
      <c r="C80" s="17">
        <f t="shared" si="66"/>
        <v>1500000</v>
      </c>
      <c r="D80" s="17">
        <f t="shared" ca="1" si="67"/>
        <v>964840.40770610631</v>
      </c>
      <c r="E80" s="25">
        <f>VLOOKUP($A80,[1]!CurveTable,MATCH($E$4,[1]!CurveType,0))</f>
        <v>4.0945</v>
      </c>
      <c r="F80" s="31">
        <f>E80-Inputs!$B$16</f>
        <v>4.1494999999999997</v>
      </c>
      <c r="G80" s="43">
        <f t="shared" si="61"/>
        <v>4.1494999999999997</v>
      </c>
      <c r="H80" s="25">
        <f>VLOOKUP($A80,[1]!CurveTable,MATCH($H$4,[1]!CurveType,0))</f>
        <v>0.55000000000000004</v>
      </c>
      <c r="I80" s="31">
        <f>H80+Inputs!$B$22</f>
        <v>0.55000000000000004</v>
      </c>
      <c r="J80" s="44">
        <f t="shared" si="62"/>
        <v>0.55000000000000004</v>
      </c>
      <c r="K80" s="25">
        <f>VLOOKUP($A80,[1]!CurveTable,MATCH($K$4,[1]!CurveType,0))</f>
        <v>0</v>
      </c>
      <c r="L80" s="31">
        <v>0</v>
      </c>
      <c r="M80" s="45">
        <f t="shared" si="63"/>
        <v>0</v>
      </c>
      <c r="N80" s="25">
        <f>VLOOKUP($A80,[1]!CurveTable,MATCH($N$4,[1]!CurveType,0))</f>
        <v>1.4E-2</v>
      </c>
      <c r="O80" s="31">
        <f>N80+Inputs!$E$22</f>
        <v>1.4E-2</v>
      </c>
      <c r="P80" s="45">
        <f t="shared" si="64"/>
        <v>1.4E-2</v>
      </c>
      <c r="Q80" s="25">
        <f>VLOOKUP($A80,[1]!CurveTable,MATCH($Q$4,[1]!CurveType,0))</f>
        <v>0.01</v>
      </c>
      <c r="R80" s="31">
        <v>0</v>
      </c>
      <c r="S80" s="45">
        <f t="shared" si="65"/>
        <v>0</v>
      </c>
      <c r="T80" s="4"/>
      <c r="U80" s="159">
        <f t="shared" si="77"/>
        <v>4.6994999999999996</v>
      </c>
      <c r="V80" s="160"/>
      <c r="W80" s="100">
        <f>VLOOKUP($A80,[1]!CurveTable,MATCH($W$4,[1]!CurveType,0))+$W$9</f>
        <v>0.185</v>
      </c>
      <c r="X80" s="100">
        <f>VLOOKUP($A80,[1]!CurveTable,MATCH($X$4,[1]!CurveType,0))+$X$9</f>
        <v>0.19</v>
      </c>
      <c r="Y80" s="158">
        <f t="shared" ca="1" si="68"/>
        <v>0.1914370708679401</v>
      </c>
      <c r="Z80" s="4"/>
      <c r="AA80" s="159">
        <f t="shared" si="78"/>
        <v>4.1635</v>
      </c>
      <c r="AB80" s="160"/>
      <c r="AC80" s="100">
        <f>VLOOKUP($A80,[1]!CurveTable,MATCH($AC$4,[1]!CurveType,0))+$AC$9</f>
        <v>0.185</v>
      </c>
      <c r="AD80" s="100">
        <f>VLOOKUP($A80,[1]!CurveTable,MATCH($AD$4,[1]!CurveType,0))+$AD$9</f>
        <v>0.19</v>
      </c>
      <c r="AE80" s="158">
        <f t="shared" ca="1" si="69"/>
        <v>0.1914370708679401</v>
      </c>
      <c r="AF80" s="4"/>
      <c r="AG80" s="52">
        <f ca="1">((Inputs!$F$20*(X80*AD80)*(A80-$C$3))+(Inputs!$F$19*W80*AC80*(DAY(EOMONTH(A80,0))/2)))/(AN80*Y80*AE80)</f>
        <v>0.74999999999999989</v>
      </c>
      <c r="AH80" s="4"/>
      <c r="AI80" s="18">
        <f>Inputs!$B$15</f>
        <v>0.06</v>
      </c>
      <c r="AJ80" s="46"/>
      <c r="AK80" s="18">
        <f t="shared" si="70"/>
        <v>0.47599999999999959</v>
      </c>
      <c r="AL80" s="46"/>
      <c r="AM80" s="62">
        <f t="shared" si="71"/>
        <v>40237</v>
      </c>
      <c r="AN80" s="63">
        <f t="shared" ca="1" si="72"/>
        <v>3044</v>
      </c>
      <c r="AO80" s="63">
        <f t="shared" si="99"/>
        <v>1</v>
      </c>
      <c r="AP80" s="19"/>
      <c r="AQ80" s="74">
        <f ca="1">_xll.SPRDOPT(U80,AA80,AI80,AX80,X80,AD80,AG80,AN80,AO80,0)</f>
        <v>0.60841836916398895</v>
      </c>
      <c r="AR80" s="47">
        <f t="shared" ca="1" si="79"/>
        <v>912627.5537459834</v>
      </c>
      <c r="AS80" s="135">
        <f t="shared" ca="1" si="80"/>
        <v>0.13241836916398936</v>
      </c>
      <c r="AU80" s="5">
        <f t="shared" ref="AU80:AU143" si="100">A81-A80</f>
        <v>30</v>
      </c>
      <c r="AV80" s="148">
        <f t="shared" si="73"/>
        <v>40283</v>
      </c>
      <c r="AW80" s="41">
        <f t="shared" ca="1" si="74"/>
        <v>3090</v>
      </c>
      <c r="AX80" s="100">
        <f>VLOOKUP($A80,[1]!CurveTable,MATCH(AX$4,[1]!CurveType,0))</f>
        <v>5.2844446438784498E-2</v>
      </c>
      <c r="AY80" s="149">
        <f ca="1">1/(1+CHOOSE(F$3,(AX81+(Inputs!$B$14/10000))/2,(AX80+(Inputs!$B$14/10000))/2))^(2*AW80/365.25)</f>
        <v>0.64322693847073753</v>
      </c>
      <c r="AZ80" s="41">
        <f t="shared" ref="AZ80:AZ143" si="101">IF(AND(mthbeg&lt;=A80,mthend&gt;=A80),1,0)</f>
        <v>1</v>
      </c>
      <c r="BA80" s="72">
        <f t="shared" ref="BA80:BA143" si="102">AU80*AZ80</f>
        <v>30</v>
      </c>
      <c r="BC80" s="65">
        <f t="shared" ca="1" si="81"/>
        <v>3950539.0493526524</v>
      </c>
      <c r="BD80" s="65">
        <f t="shared" ca="1" si="82"/>
        <v>4003605.2717764881</v>
      </c>
      <c r="BE80" s="65">
        <f t="shared" ca="1" si="83"/>
        <v>4003605.2717764881</v>
      </c>
      <c r="BF80" s="65">
        <f t="shared" ca="1" si="84"/>
        <v>530662.22423835855</v>
      </c>
      <c r="BG80" s="65">
        <f t="shared" ca="1" si="85"/>
        <v>530662.22423835855</v>
      </c>
      <c r="BH80" s="65">
        <f t="shared" ca="1" si="86"/>
        <v>530662.22423835855</v>
      </c>
      <c r="BI80" s="65">
        <f t="shared" ca="1" si="87"/>
        <v>0</v>
      </c>
      <c r="BJ80" s="65">
        <f t="shared" ca="1" si="88"/>
        <v>0</v>
      </c>
      <c r="BK80" s="65">
        <f t="shared" ca="1" si="89"/>
        <v>0</v>
      </c>
      <c r="BL80" s="65">
        <f t="shared" ca="1" si="90"/>
        <v>13507.765707885488</v>
      </c>
      <c r="BM80" s="65">
        <f t="shared" ca="1" si="91"/>
        <v>13507.765707885488</v>
      </c>
      <c r="BN80" s="65">
        <f t="shared" ca="1" si="92"/>
        <v>13507.765707885488</v>
      </c>
      <c r="BO80" s="65">
        <f t="shared" ca="1" si="93"/>
        <v>9648.4040770610627</v>
      </c>
      <c r="BP80" s="65">
        <f t="shared" ca="1" si="94"/>
        <v>0</v>
      </c>
      <c r="BQ80" s="65">
        <f t="shared" ca="1" si="95"/>
        <v>0</v>
      </c>
      <c r="BR80" s="65">
        <f t="shared" ca="1" si="96"/>
        <v>4534267.4960148465</v>
      </c>
      <c r="BS80" s="65">
        <f t="shared" ca="1" si="97"/>
        <v>4017113.0374843734</v>
      </c>
      <c r="BT80" s="65">
        <f t="shared" ca="1" si="98"/>
        <v>57890.424462366376</v>
      </c>
      <c r="BU80" s="65">
        <f t="shared" ca="1" si="75"/>
        <v>459264.03406810621</v>
      </c>
    </row>
    <row r="81" spans="1:73">
      <c r="A81" s="42">
        <f t="shared" si="76"/>
        <v>40299</v>
      </c>
      <c r="B81" s="30">
        <f>Inputs!$B$8</f>
        <v>50000</v>
      </c>
      <c r="C81" s="17">
        <f t="shared" si="66"/>
        <v>1550000</v>
      </c>
      <c r="D81" s="17">
        <f t="shared" ca="1" si="67"/>
        <v>991856.57131380611</v>
      </c>
      <c r="E81" s="25">
        <f>VLOOKUP($A81,[1]!CurveTable,MATCH($E$4,[1]!CurveType,0))</f>
        <v>4.0994999999999999</v>
      </c>
      <c r="F81" s="31">
        <f>E81-Inputs!$B$16</f>
        <v>4.1544999999999996</v>
      </c>
      <c r="G81" s="43">
        <f t="shared" si="61"/>
        <v>4.1544999999999996</v>
      </c>
      <c r="H81" s="25">
        <f>VLOOKUP($A81,[1]!CurveTable,MATCH($H$4,[1]!CurveType,0))</f>
        <v>0.7</v>
      </c>
      <c r="I81" s="31">
        <f>H81+Inputs!$B$22</f>
        <v>0.7</v>
      </c>
      <c r="J81" s="44">
        <f t="shared" si="62"/>
        <v>0.7</v>
      </c>
      <c r="K81" s="25">
        <f>VLOOKUP($A81,[1]!CurveTable,MATCH($K$4,[1]!CurveType,0))</f>
        <v>0</v>
      </c>
      <c r="L81" s="31">
        <v>0</v>
      </c>
      <c r="M81" s="45">
        <f t="shared" si="63"/>
        <v>0</v>
      </c>
      <c r="N81" s="25">
        <f>VLOOKUP($A81,[1]!CurveTable,MATCH($N$4,[1]!CurveType,0))</f>
        <v>1.6500000000000001E-2</v>
      </c>
      <c r="O81" s="31">
        <f>N81+Inputs!$E$22</f>
        <v>1.6500000000000001E-2</v>
      </c>
      <c r="P81" s="45">
        <f t="shared" si="64"/>
        <v>1.6500000000000001E-2</v>
      </c>
      <c r="Q81" s="25">
        <f>VLOOKUP($A81,[1]!CurveTable,MATCH($Q$4,[1]!CurveType,0))</f>
        <v>0.01</v>
      </c>
      <c r="R81" s="31">
        <v>0</v>
      </c>
      <c r="S81" s="45">
        <f t="shared" si="65"/>
        <v>0</v>
      </c>
      <c r="T81" s="4"/>
      <c r="U81" s="159">
        <f t="shared" si="77"/>
        <v>4.8544999999999998</v>
      </c>
      <c r="V81" s="160"/>
      <c r="W81" s="100">
        <f>VLOOKUP($A81,[1]!CurveTable,MATCH($W$4,[1]!CurveType,0))+$W$9</f>
        <v>0.37</v>
      </c>
      <c r="X81" s="100">
        <f>VLOOKUP($A81,[1]!CurveTable,MATCH($X$4,[1]!CurveType,0))+$X$9</f>
        <v>0.375</v>
      </c>
      <c r="Y81" s="158">
        <f t="shared" ca="1" si="68"/>
        <v>0.37779987819939759</v>
      </c>
      <c r="Z81" s="4"/>
      <c r="AA81" s="159">
        <f t="shared" si="78"/>
        <v>4.1709999999999994</v>
      </c>
      <c r="AB81" s="160"/>
      <c r="AC81" s="100">
        <f>VLOOKUP($A81,[1]!CurveTable,MATCH($AC$4,[1]!CurveType,0))+$AC$9</f>
        <v>0.185</v>
      </c>
      <c r="AD81" s="100">
        <f>VLOOKUP($A81,[1]!CurveTable,MATCH($AD$4,[1]!CurveType,0))+$AD$9</f>
        <v>0.19</v>
      </c>
      <c r="AE81" s="158">
        <f t="shared" ca="1" si="69"/>
        <v>0.19140650777732765</v>
      </c>
      <c r="AF81" s="4"/>
      <c r="AG81" s="52">
        <f ca="1">((Inputs!$F$20*(X81*AD81)*(A81-$C$3))+(Inputs!$F$19*W81*AC81*(DAY(EOMONTH(A81,0))/2)))/(AN81*Y81*AE81)</f>
        <v>0.74999968759303604</v>
      </c>
      <c r="AH81" s="4"/>
      <c r="AI81" s="18">
        <f>Inputs!$B$15</f>
        <v>0.06</v>
      </c>
      <c r="AJ81" s="46"/>
      <c r="AK81" s="18">
        <f t="shared" si="70"/>
        <v>0.62350000000000039</v>
      </c>
      <c r="AL81" s="46"/>
      <c r="AM81" s="62">
        <f t="shared" si="71"/>
        <v>40268</v>
      </c>
      <c r="AN81" s="63">
        <f t="shared" ca="1" si="72"/>
        <v>3075</v>
      </c>
      <c r="AO81" s="63">
        <f t="shared" si="99"/>
        <v>1</v>
      </c>
      <c r="AP81" s="19"/>
      <c r="AQ81" s="74">
        <f ca="1">_xll.SPRDOPT(U81,AA81,AI81,AX81,X81,AD81,AG81,AN81,AO81,0)</f>
        <v>1.0842208455332865</v>
      </c>
      <c r="AR81" s="47">
        <f t="shared" ca="1" si="79"/>
        <v>1680542.310576594</v>
      </c>
      <c r="AS81" s="135">
        <f t="shared" ca="1" si="80"/>
        <v>0.46072084553328607</v>
      </c>
      <c r="AU81" s="5">
        <f t="shared" si="100"/>
        <v>31</v>
      </c>
      <c r="AV81" s="148">
        <f t="shared" si="73"/>
        <v>40313</v>
      </c>
      <c r="AW81" s="41">
        <f t="shared" ca="1" si="74"/>
        <v>3120</v>
      </c>
      <c r="AX81" s="100">
        <f>VLOOKUP($A81,[1]!CurveTable,MATCH(AX$4,[1]!CurveType,0))</f>
        <v>5.29513876424028E-2</v>
      </c>
      <c r="AY81" s="149">
        <f ca="1">1/(1+CHOOSE(F$3,(AX82+(Inputs!$B$14/10000))/2,(AX81+(Inputs!$B$14/10000))/2))^(2*AW81/365.25)</f>
        <v>0.63990746536374588</v>
      </c>
      <c r="AZ81" s="41">
        <f t="shared" si="101"/>
        <v>1</v>
      </c>
      <c r="BA81" s="72">
        <f t="shared" si="102"/>
        <v>31</v>
      </c>
      <c r="BC81" s="65">
        <f t="shared" ca="1" si="81"/>
        <v>4066116.0141009479</v>
      </c>
      <c r="BD81" s="65">
        <f t="shared" ca="1" si="82"/>
        <v>4120668.1255232072</v>
      </c>
      <c r="BE81" s="65">
        <f t="shared" ca="1" si="83"/>
        <v>4120668.1255232072</v>
      </c>
      <c r="BF81" s="65">
        <f t="shared" ca="1" si="84"/>
        <v>694299.59991966421</v>
      </c>
      <c r="BG81" s="65">
        <f t="shared" ca="1" si="85"/>
        <v>694299.59991966421</v>
      </c>
      <c r="BH81" s="65">
        <f t="shared" ca="1" si="86"/>
        <v>694299.59991966421</v>
      </c>
      <c r="BI81" s="65">
        <f t="shared" ca="1" si="87"/>
        <v>0</v>
      </c>
      <c r="BJ81" s="65">
        <f t="shared" ca="1" si="88"/>
        <v>0</v>
      </c>
      <c r="BK81" s="65">
        <f t="shared" ca="1" si="89"/>
        <v>0</v>
      </c>
      <c r="BL81" s="65">
        <f t="shared" ca="1" si="90"/>
        <v>16365.633426677801</v>
      </c>
      <c r="BM81" s="65">
        <f t="shared" ca="1" si="91"/>
        <v>16365.633426677801</v>
      </c>
      <c r="BN81" s="65">
        <f t="shared" ca="1" si="92"/>
        <v>16365.633426677801</v>
      </c>
      <c r="BO81" s="65">
        <f t="shared" ca="1" si="93"/>
        <v>9918.5657131380613</v>
      </c>
      <c r="BP81" s="65">
        <f t="shared" ca="1" si="94"/>
        <v>0</v>
      </c>
      <c r="BQ81" s="65">
        <f t="shared" ca="1" si="95"/>
        <v>0</v>
      </c>
      <c r="BR81" s="65">
        <f t="shared" ca="1" si="96"/>
        <v>4814967.7254428715</v>
      </c>
      <c r="BS81" s="65">
        <f t="shared" ca="1" si="97"/>
        <v>4137033.7589498847</v>
      </c>
      <c r="BT81" s="65">
        <f t="shared" ca="1" si="98"/>
        <v>59511.394278828368</v>
      </c>
      <c r="BU81" s="65">
        <f t="shared" ca="1" si="75"/>
        <v>618422.57221415848</v>
      </c>
    </row>
    <row r="82" spans="1:73">
      <c r="A82" s="42">
        <f t="shared" si="76"/>
        <v>40330</v>
      </c>
      <c r="B82" s="30">
        <f>Inputs!$B$8</f>
        <v>50000</v>
      </c>
      <c r="C82" s="17">
        <f t="shared" si="66"/>
        <v>1500000</v>
      </c>
      <c r="D82" s="17">
        <f t="shared" ca="1" si="67"/>
        <v>954725.88912234583</v>
      </c>
      <c r="E82" s="25">
        <f>VLOOKUP($A82,[1]!CurveTable,MATCH($E$4,[1]!CurveType,0))</f>
        <v>4.1375000000000002</v>
      </c>
      <c r="F82" s="31">
        <f>E82-Inputs!$B$16</f>
        <v>4.1924999999999999</v>
      </c>
      <c r="G82" s="43">
        <f t="shared" si="61"/>
        <v>4.1924999999999999</v>
      </c>
      <c r="H82" s="25">
        <f>VLOOKUP($A82,[1]!CurveTable,MATCH($H$4,[1]!CurveType,0))</f>
        <v>0.8</v>
      </c>
      <c r="I82" s="31">
        <f>H82+Inputs!$B$22</f>
        <v>0.8</v>
      </c>
      <c r="J82" s="44">
        <f t="shared" si="62"/>
        <v>0.8</v>
      </c>
      <c r="K82" s="25">
        <f>VLOOKUP($A82,[1]!CurveTable,MATCH($K$4,[1]!CurveType,0))</f>
        <v>0</v>
      </c>
      <c r="L82" s="31">
        <v>0</v>
      </c>
      <c r="M82" s="45">
        <f t="shared" si="63"/>
        <v>0</v>
      </c>
      <c r="N82" s="25">
        <f>VLOOKUP($A82,[1]!CurveTable,MATCH($N$4,[1]!CurveType,0))</f>
        <v>1.4E-2</v>
      </c>
      <c r="O82" s="31">
        <f>N82+Inputs!$E$22</f>
        <v>1.4E-2</v>
      </c>
      <c r="P82" s="45">
        <f t="shared" si="64"/>
        <v>1.4E-2</v>
      </c>
      <c r="Q82" s="25">
        <f>VLOOKUP($A82,[1]!CurveTable,MATCH($Q$4,[1]!CurveType,0))</f>
        <v>0.01</v>
      </c>
      <c r="R82" s="31">
        <v>0</v>
      </c>
      <c r="S82" s="45">
        <f t="shared" si="65"/>
        <v>0</v>
      </c>
      <c r="T82" s="4"/>
      <c r="U82" s="159">
        <f t="shared" si="77"/>
        <v>4.9924999999999997</v>
      </c>
      <c r="V82" s="160"/>
      <c r="W82" s="100">
        <f>VLOOKUP($A82,[1]!CurveTable,MATCH($W$4,[1]!CurveType,0))+$W$9</f>
        <v>0.37</v>
      </c>
      <c r="X82" s="100">
        <f>VLOOKUP($A82,[1]!CurveTable,MATCH($X$4,[1]!CurveType,0))+$X$9</f>
        <v>0.375</v>
      </c>
      <c r="Y82" s="158">
        <f t="shared" ca="1" si="68"/>
        <v>0.37780368979050966</v>
      </c>
      <c r="Z82" s="4"/>
      <c r="AA82" s="159">
        <f t="shared" si="78"/>
        <v>4.2065000000000001</v>
      </c>
      <c r="AB82" s="160"/>
      <c r="AC82" s="100">
        <f>VLOOKUP($A82,[1]!CurveTable,MATCH($AC$4,[1]!CurveType,0))+$AC$9</f>
        <v>0.185</v>
      </c>
      <c r="AD82" s="100">
        <f>VLOOKUP($A82,[1]!CurveTable,MATCH($AD$4,[1]!CurveType,0))+$AD$9</f>
        <v>0.19</v>
      </c>
      <c r="AE82" s="158">
        <f t="shared" ca="1" si="69"/>
        <v>0.19140894245781212</v>
      </c>
      <c r="AF82" s="4"/>
      <c r="AG82" s="52">
        <f ca="1">((Inputs!$F$20*(X82*AD82)*(A82-$C$3))+(Inputs!$F$19*W82*AC82*(DAY(EOMONTH(A82,0))/2)))/(AN82*Y82*AE82)</f>
        <v>0.74999970053880682</v>
      </c>
      <c r="AH82" s="4"/>
      <c r="AI82" s="18">
        <f>Inputs!$B$15</f>
        <v>0.06</v>
      </c>
      <c r="AJ82" s="46"/>
      <c r="AK82" s="18">
        <f t="shared" si="70"/>
        <v>0.72599999999999953</v>
      </c>
      <c r="AL82" s="46"/>
      <c r="AM82" s="62">
        <f t="shared" si="71"/>
        <v>40298</v>
      </c>
      <c r="AN82" s="63">
        <f t="shared" ca="1" si="72"/>
        <v>3105</v>
      </c>
      <c r="AO82" s="63">
        <f t="shared" si="99"/>
        <v>1</v>
      </c>
      <c r="AP82" s="19"/>
      <c r="AQ82" s="74">
        <f ca="1">_xll.SPRDOPT(U82,AA82,AI82,AX82,X82,AD82,AG82,AN82,AO82,0)</f>
        <v>1.135994304818968</v>
      </c>
      <c r="AR82" s="47">
        <f t="shared" ca="1" si="79"/>
        <v>1703991.457228452</v>
      </c>
      <c r="AS82" s="135">
        <f t="shared" ca="1" si="80"/>
        <v>0.40999430481896848</v>
      </c>
      <c r="AU82" s="5">
        <f t="shared" si="100"/>
        <v>30</v>
      </c>
      <c r="AV82" s="148">
        <f t="shared" si="73"/>
        <v>40344</v>
      </c>
      <c r="AW82" s="41">
        <f t="shared" ca="1" si="74"/>
        <v>3151</v>
      </c>
      <c r="AX82" s="100">
        <f>VLOOKUP($A82,[1]!CurveTable,MATCH(AX$4,[1]!CurveType,0))</f>
        <v>5.3061893556814801E-2</v>
      </c>
      <c r="AY82" s="149">
        <f ca="1">1/(1+CHOOSE(F$3,(AX83+(Inputs!$B$14/10000))/2,(AX82+(Inputs!$B$14/10000))/2))^(2*AW82/365.25)</f>
        <v>0.6364839260815639</v>
      </c>
      <c r="AZ82" s="41">
        <f t="shared" si="101"/>
        <v>1</v>
      </c>
      <c r="BA82" s="72">
        <f t="shared" si="102"/>
        <v>30</v>
      </c>
      <c r="BC82" s="65">
        <f t="shared" ca="1" si="81"/>
        <v>3950178.3662437061</v>
      </c>
      <c r="BD82" s="65">
        <f t="shared" ca="1" si="82"/>
        <v>4002688.2901454349</v>
      </c>
      <c r="BE82" s="65">
        <f t="shared" ca="1" si="83"/>
        <v>4002688.2901454349</v>
      </c>
      <c r="BF82" s="65">
        <f t="shared" ca="1" si="84"/>
        <v>763780.71129787667</v>
      </c>
      <c r="BG82" s="65">
        <f t="shared" ca="1" si="85"/>
        <v>763780.71129787667</v>
      </c>
      <c r="BH82" s="65">
        <f t="shared" ca="1" si="86"/>
        <v>763780.71129787667</v>
      </c>
      <c r="BI82" s="65">
        <f t="shared" ca="1" si="87"/>
        <v>0</v>
      </c>
      <c r="BJ82" s="65">
        <f t="shared" ca="1" si="88"/>
        <v>0</v>
      </c>
      <c r="BK82" s="65">
        <f t="shared" ca="1" si="89"/>
        <v>0</v>
      </c>
      <c r="BL82" s="65">
        <f t="shared" ca="1" si="90"/>
        <v>13366.162447712843</v>
      </c>
      <c r="BM82" s="65">
        <f t="shared" ca="1" si="91"/>
        <v>13366.162447712843</v>
      </c>
      <c r="BN82" s="65">
        <f t="shared" ca="1" si="92"/>
        <v>13366.162447712843</v>
      </c>
      <c r="BO82" s="65">
        <f t="shared" ca="1" si="93"/>
        <v>9547.2588912234587</v>
      </c>
      <c r="BP82" s="65">
        <f t="shared" ca="1" si="94"/>
        <v>0</v>
      </c>
      <c r="BQ82" s="65">
        <f t="shared" ca="1" si="95"/>
        <v>0</v>
      </c>
      <c r="BR82" s="65">
        <f t="shared" ca="1" si="96"/>
        <v>4766469.0014433116</v>
      </c>
      <c r="BS82" s="65">
        <f t="shared" ca="1" si="97"/>
        <v>4016054.4525931478</v>
      </c>
      <c r="BT82" s="65">
        <f t="shared" ca="1" si="98"/>
        <v>57283.553347340749</v>
      </c>
      <c r="BU82" s="65">
        <f t="shared" ca="1" si="75"/>
        <v>693130.99550282268</v>
      </c>
    </row>
    <row r="83" spans="1:73">
      <c r="A83" s="42">
        <f t="shared" si="76"/>
        <v>40360</v>
      </c>
      <c r="B83" s="30">
        <f>Inputs!$B$8</f>
        <v>50000</v>
      </c>
      <c r="C83" s="17">
        <f t="shared" si="66"/>
        <v>1550000</v>
      </c>
      <c r="D83" s="17">
        <f t="shared" ca="1" si="67"/>
        <v>981424.78026990895</v>
      </c>
      <c r="E83" s="25">
        <f>VLOOKUP($A83,[1]!CurveTable,MATCH($E$4,[1]!CurveType,0))</f>
        <v>4.1825000000000001</v>
      </c>
      <c r="F83" s="31">
        <f>E83-Inputs!$B$16</f>
        <v>4.2374999999999998</v>
      </c>
      <c r="G83" s="43">
        <f t="shared" si="61"/>
        <v>4.2374999999999998</v>
      </c>
      <c r="H83" s="25">
        <f>VLOOKUP($A83,[1]!CurveTable,MATCH($H$4,[1]!CurveType,0))</f>
        <v>1</v>
      </c>
      <c r="I83" s="31">
        <f>H83+Inputs!$B$22</f>
        <v>1</v>
      </c>
      <c r="J83" s="44">
        <f t="shared" si="62"/>
        <v>1</v>
      </c>
      <c r="K83" s="25">
        <f>VLOOKUP($A83,[1]!CurveTable,MATCH($K$4,[1]!CurveType,0))</f>
        <v>0</v>
      </c>
      <c r="L83" s="31">
        <v>0</v>
      </c>
      <c r="M83" s="45">
        <f t="shared" si="63"/>
        <v>0</v>
      </c>
      <c r="N83" s="25">
        <f>VLOOKUP($A83,[1]!CurveTable,MATCH($N$4,[1]!CurveType,0))</f>
        <v>1.15E-2</v>
      </c>
      <c r="O83" s="31">
        <f>N83+Inputs!$E$22</f>
        <v>1.15E-2</v>
      </c>
      <c r="P83" s="45">
        <f t="shared" si="64"/>
        <v>1.15E-2</v>
      </c>
      <c r="Q83" s="25">
        <f>VLOOKUP($A83,[1]!CurveTable,MATCH($Q$4,[1]!CurveType,0))</f>
        <v>0.01</v>
      </c>
      <c r="R83" s="31">
        <v>0</v>
      </c>
      <c r="S83" s="45">
        <f t="shared" si="65"/>
        <v>0</v>
      </c>
      <c r="T83" s="4"/>
      <c r="U83" s="159">
        <f t="shared" si="77"/>
        <v>5.2374999999999998</v>
      </c>
      <c r="V83" s="160"/>
      <c r="W83" s="100">
        <f>VLOOKUP($A83,[1]!CurveTable,MATCH($W$4,[1]!CurveType,0))+$W$9</f>
        <v>0.37</v>
      </c>
      <c r="X83" s="100">
        <f>VLOOKUP($A83,[1]!CurveTable,MATCH($X$4,[1]!CurveType,0))+$X$9</f>
        <v>0.375</v>
      </c>
      <c r="Y83" s="158">
        <f t="shared" ca="1" si="68"/>
        <v>0.37774561419474795</v>
      </c>
      <c r="Z83" s="4"/>
      <c r="AA83" s="159">
        <f t="shared" si="78"/>
        <v>4.2489999999999997</v>
      </c>
      <c r="AB83" s="160"/>
      <c r="AC83" s="100">
        <f>VLOOKUP($A83,[1]!CurveTable,MATCH($AC$4,[1]!CurveType,0))+$AC$9</f>
        <v>0.185</v>
      </c>
      <c r="AD83" s="100">
        <f>VLOOKUP($A83,[1]!CurveTable,MATCH($AD$4,[1]!CurveType,0))+$AD$9</f>
        <v>0.19</v>
      </c>
      <c r="AE83" s="158">
        <f t="shared" ca="1" si="69"/>
        <v>0.19137924762678393</v>
      </c>
      <c r="AF83" s="4"/>
      <c r="AG83" s="52">
        <f ca="1">((Inputs!$F$20*(X83*AD83)*(A83-$C$3))+(Inputs!$F$19*W83*AC83*(DAY(EOMONTH(A83,0))/2)))/(AN83*Y83*AE83)</f>
        <v>0.74999969355402019</v>
      </c>
      <c r="AH83" s="4"/>
      <c r="AI83" s="18">
        <f>Inputs!$B$15</f>
        <v>0.06</v>
      </c>
      <c r="AJ83" s="46"/>
      <c r="AK83" s="18">
        <f t="shared" si="70"/>
        <v>0.9285000000000001</v>
      </c>
      <c r="AL83" s="46"/>
      <c r="AM83" s="62">
        <f t="shared" si="71"/>
        <v>40329</v>
      </c>
      <c r="AN83" s="63">
        <f t="shared" ca="1" si="72"/>
        <v>3136</v>
      </c>
      <c r="AO83" s="63">
        <f t="shared" si="99"/>
        <v>1</v>
      </c>
      <c r="AP83" s="19"/>
      <c r="AQ83" s="74">
        <f ca="1">_xll.SPRDOPT(U83,AA83,AI83,AX83,X83,AD83,AG83,AN83,AO83,0)</f>
        <v>1.2356164724151004</v>
      </c>
      <c r="AR83" s="47">
        <f t="shared" ca="1" si="79"/>
        <v>1915205.5322434057</v>
      </c>
      <c r="AS83" s="135">
        <f t="shared" ca="1" si="80"/>
        <v>0.30711647241510032</v>
      </c>
      <c r="AU83" s="5">
        <f t="shared" si="100"/>
        <v>31</v>
      </c>
      <c r="AV83" s="148">
        <f t="shared" si="73"/>
        <v>40374</v>
      </c>
      <c r="AW83" s="41">
        <f t="shared" ca="1" si="74"/>
        <v>3181</v>
      </c>
      <c r="AX83" s="100">
        <f>VLOOKUP($A83,[1]!CurveTable,MATCH(AX$4,[1]!CurveType,0))</f>
        <v>5.3168834768186499E-2</v>
      </c>
      <c r="AY83" s="149">
        <f ca="1">1/(1+CHOOSE(F$3,(AX84+(Inputs!$B$14/10000))/2,(AX83+(Inputs!$B$14/10000))/2))^(2*AW83/365.25)</f>
        <v>0.63317727759348963</v>
      </c>
      <c r="AZ83" s="41">
        <f t="shared" si="101"/>
        <v>1</v>
      </c>
      <c r="BA83" s="72">
        <f t="shared" si="102"/>
        <v>31</v>
      </c>
      <c r="BC83" s="65">
        <f t="shared" ca="1" si="81"/>
        <v>4104809.1434788941</v>
      </c>
      <c r="BD83" s="65">
        <f t="shared" ca="1" si="82"/>
        <v>4158787.506393739</v>
      </c>
      <c r="BE83" s="65">
        <f t="shared" ca="1" si="83"/>
        <v>4158787.506393739</v>
      </c>
      <c r="BF83" s="65">
        <f t="shared" ca="1" si="84"/>
        <v>981424.78026990895</v>
      </c>
      <c r="BG83" s="65">
        <f t="shared" ca="1" si="85"/>
        <v>981424.78026990895</v>
      </c>
      <c r="BH83" s="65">
        <f t="shared" ca="1" si="86"/>
        <v>981424.78026990895</v>
      </c>
      <c r="BI83" s="65">
        <f t="shared" ca="1" si="87"/>
        <v>0</v>
      </c>
      <c r="BJ83" s="65">
        <f t="shared" ca="1" si="88"/>
        <v>0</v>
      </c>
      <c r="BK83" s="65">
        <f t="shared" ca="1" si="89"/>
        <v>0</v>
      </c>
      <c r="BL83" s="65">
        <f t="shared" ca="1" si="90"/>
        <v>11286.384973103954</v>
      </c>
      <c r="BM83" s="65">
        <f t="shared" ca="1" si="91"/>
        <v>11286.384973103954</v>
      </c>
      <c r="BN83" s="65">
        <f t="shared" ca="1" si="92"/>
        <v>11286.384973103954</v>
      </c>
      <c r="BO83" s="65">
        <f t="shared" ca="1" si="93"/>
        <v>9814.2478026990902</v>
      </c>
      <c r="BP83" s="65">
        <f t="shared" ca="1" si="94"/>
        <v>0</v>
      </c>
      <c r="BQ83" s="65">
        <f t="shared" ca="1" si="95"/>
        <v>0</v>
      </c>
      <c r="BR83" s="65">
        <f t="shared" ca="1" si="96"/>
        <v>5140212.2866636477</v>
      </c>
      <c r="BS83" s="65">
        <f t="shared" ca="1" si="97"/>
        <v>4170073.8913668427</v>
      </c>
      <c r="BT83" s="65">
        <f t="shared" ca="1" si="98"/>
        <v>58885.486816194534</v>
      </c>
      <c r="BU83" s="65">
        <f t="shared" ca="1" si="75"/>
        <v>911252.90848061058</v>
      </c>
    </row>
    <row r="84" spans="1:73">
      <c r="A84" s="42">
        <f t="shared" si="76"/>
        <v>40391</v>
      </c>
      <c r="B84" s="30">
        <f>Inputs!$B$8</f>
        <v>50000</v>
      </c>
      <c r="C84" s="17">
        <f t="shared" si="66"/>
        <v>1550000</v>
      </c>
      <c r="D84" s="17">
        <f t="shared" ca="1" si="67"/>
        <v>976139.10270581325</v>
      </c>
      <c r="E84" s="25">
        <f>VLOOKUP($A84,[1]!CurveTable,MATCH($E$4,[1]!CurveType,0))</f>
        <v>4.2205000000000004</v>
      </c>
      <c r="F84" s="31">
        <f>E84-Inputs!$B$16</f>
        <v>4.2755000000000001</v>
      </c>
      <c r="G84" s="43">
        <f t="shared" si="61"/>
        <v>4.2755000000000001</v>
      </c>
      <c r="H84" s="25">
        <f>VLOOKUP($A84,[1]!CurveTable,MATCH($H$4,[1]!CurveType,0))</f>
        <v>1</v>
      </c>
      <c r="I84" s="31">
        <f>H84+Inputs!$B$22</f>
        <v>1</v>
      </c>
      <c r="J84" s="44">
        <f t="shared" si="62"/>
        <v>1</v>
      </c>
      <c r="K84" s="25">
        <f>VLOOKUP($A84,[1]!CurveTable,MATCH($K$4,[1]!CurveType,0))</f>
        <v>0</v>
      </c>
      <c r="L84" s="31">
        <v>0</v>
      </c>
      <c r="M84" s="45">
        <f t="shared" si="63"/>
        <v>0</v>
      </c>
      <c r="N84" s="25">
        <f>VLOOKUP($A84,[1]!CurveTable,MATCH($N$4,[1]!CurveType,0))</f>
        <v>1.15E-2</v>
      </c>
      <c r="O84" s="31">
        <f>N84+Inputs!$E$22</f>
        <v>1.15E-2</v>
      </c>
      <c r="P84" s="45">
        <f t="shared" si="64"/>
        <v>1.15E-2</v>
      </c>
      <c r="Q84" s="25">
        <f>VLOOKUP($A84,[1]!CurveTable,MATCH($Q$4,[1]!CurveType,0))</f>
        <v>0.01</v>
      </c>
      <c r="R84" s="31">
        <v>0</v>
      </c>
      <c r="S84" s="45">
        <f t="shared" si="65"/>
        <v>0</v>
      </c>
      <c r="T84" s="4"/>
      <c r="U84" s="159">
        <f t="shared" si="77"/>
        <v>5.2755000000000001</v>
      </c>
      <c r="V84" s="160"/>
      <c r="W84" s="100">
        <f>VLOOKUP($A84,[1]!CurveTable,MATCH($W$4,[1]!CurveType,0))+$W$9</f>
        <v>0.37</v>
      </c>
      <c r="X84" s="100">
        <f>VLOOKUP($A84,[1]!CurveTable,MATCH($X$4,[1]!CurveType,0))+$X$9</f>
        <v>0.375</v>
      </c>
      <c r="Y84" s="158">
        <f t="shared" ca="1" si="68"/>
        <v>0.37777848329200553</v>
      </c>
      <c r="Z84" s="4"/>
      <c r="AA84" s="159">
        <f t="shared" si="78"/>
        <v>4.2869999999999999</v>
      </c>
      <c r="AB84" s="160"/>
      <c r="AC84" s="100">
        <f>VLOOKUP($A84,[1]!CurveTable,MATCH($AC$4,[1]!CurveType,0))+$AC$9</f>
        <v>0.185</v>
      </c>
      <c r="AD84" s="100">
        <f>VLOOKUP($A84,[1]!CurveTable,MATCH($AD$4,[1]!CurveType,0))+$AD$9</f>
        <v>0.19</v>
      </c>
      <c r="AE84" s="158">
        <f t="shared" ca="1" si="69"/>
        <v>0.19139601474400217</v>
      </c>
      <c r="AF84" s="4"/>
      <c r="AG84" s="52">
        <f ca="1">((Inputs!$F$20*(X84*AD84)*(A84-$C$3))+(Inputs!$F$19*W84*AC84*(DAY(EOMONTH(A84,0))/2)))/(AN84*Y84*AE84)</f>
        <v>0.74999969649703446</v>
      </c>
      <c r="AH84" s="4"/>
      <c r="AI84" s="18">
        <f>Inputs!$B$15</f>
        <v>0.06</v>
      </c>
      <c r="AJ84" s="46"/>
      <c r="AK84" s="18">
        <f t="shared" si="70"/>
        <v>0.9285000000000001</v>
      </c>
      <c r="AL84" s="46"/>
      <c r="AM84" s="62">
        <f t="shared" si="71"/>
        <v>40359</v>
      </c>
      <c r="AN84" s="63">
        <f t="shared" ca="1" si="72"/>
        <v>3166</v>
      </c>
      <c r="AO84" s="63">
        <f t="shared" si="99"/>
        <v>1</v>
      </c>
      <c r="AP84" s="19"/>
      <c r="AQ84" s="74">
        <f ca="1">_xll.SPRDOPT(U84,AA84,AI84,AX84,X84,AD84,AG84,AN84,AO84,0)</f>
        <v>1.2400675097385221</v>
      </c>
      <c r="AR84" s="47">
        <f t="shared" ca="1" si="79"/>
        <v>1922104.6400947093</v>
      </c>
      <c r="AS84" s="135">
        <f t="shared" ca="1" si="80"/>
        <v>0.31156750973852199</v>
      </c>
      <c r="AU84" s="5">
        <f t="shared" si="100"/>
        <v>31</v>
      </c>
      <c r="AV84" s="148">
        <f t="shared" si="73"/>
        <v>40405</v>
      </c>
      <c r="AW84" s="41">
        <f t="shared" ca="1" si="74"/>
        <v>3212</v>
      </c>
      <c r="AX84" s="100">
        <f>VLOOKUP($A84,[1]!CurveTable,MATCH(AX$4,[1]!CurveType,0))</f>
        <v>5.3279340690608898E-2</v>
      </c>
      <c r="AY84" s="149">
        <f ca="1">1/(1+CHOOSE(F$3,(AX85+(Inputs!$B$14/10000))/2,(AX84+(Inputs!$B$14/10000))/2))^(2*AW84/365.25)</f>
        <v>0.62976716303600855</v>
      </c>
      <c r="AZ84" s="41">
        <f t="shared" si="101"/>
        <v>1</v>
      </c>
      <c r="BA84" s="72">
        <f t="shared" si="102"/>
        <v>31</v>
      </c>
      <c r="BC84" s="65">
        <f t="shared" ca="1" si="81"/>
        <v>4119795.0829698853</v>
      </c>
      <c r="BD84" s="65">
        <f t="shared" ca="1" si="82"/>
        <v>4173482.7336187046</v>
      </c>
      <c r="BE84" s="65">
        <f t="shared" ca="1" si="83"/>
        <v>4173482.7336187046</v>
      </c>
      <c r="BF84" s="65">
        <f t="shared" ca="1" si="84"/>
        <v>976139.10270581325</v>
      </c>
      <c r="BG84" s="65">
        <f t="shared" ca="1" si="85"/>
        <v>976139.10270581325</v>
      </c>
      <c r="BH84" s="65">
        <f t="shared" ca="1" si="86"/>
        <v>976139.10270581325</v>
      </c>
      <c r="BI84" s="65">
        <f t="shared" ca="1" si="87"/>
        <v>0</v>
      </c>
      <c r="BJ84" s="65">
        <f t="shared" ca="1" si="88"/>
        <v>0</v>
      </c>
      <c r="BK84" s="65">
        <f t="shared" ca="1" si="89"/>
        <v>0</v>
      </c>
      <c r="BL84" s="65">
        <f t="shared" ca="1" si="90"/>
        <v>11225.599681116852</v>
      </c>
      <c r="BM84" s="65">
        <f t="shared" ca="1" si="91"/>
        <v>11225.599681116852</v>
      </c>
      <c r="BN84" s="65">
        <f t="shared" ca="1" si="92"/>
        <v>11225.599681116852</v>
      </c>
      <c r="BO84" s="65">
        <f t="shared" ca="1" si="93"/>
        <v>9761.3910270581327</v>
      </c>
      <c r="BP84" s="65">
        <f t="shared" ca="1" si="94"/>
        <v>0</v>
      </c>
      <c r="BQ84" s="65">
        <f t="shared" ca="1" si="95"/>
        <v>0</v>
      </c>
      <c r="BR84" s="65">
        <f t="shared" ca="1" si="96"/>
        <v>5149621.8363245176</v>
      </c>
      <c r="BS84" s="65">
        <f t="shared" ca="1" si="97"/>
        <v>4184708.3332998212</v>
      </c>
      <c r="BT84" s="65">
        <f t="shared" ca="1" si="98"/>
        <v>58568.346162348789</v>
      </c>
      <c r="BU84" s="65">
        <f t="shared" ca="1" si="75"/>
        <v>906345.15686234774</v>
      </c>
    </row>
    <row r="85" spans="1:73">
      <c r="A85" s="42">
        <f t="shared" si="76"/>
        <v>40422</v>
      </c>
      <c r="B85" s="30">
        <f>Inputs!$B$8</f>
        <v>50000</v>
      </c>
      <c r="C85" s="17">
        <f t="shared" si="66"/>
        <v>1500000</v>
      </c>
      <c r="D85" s="17">
        <f t="shared" ca="1" si="67"/>
        <v>939546.00255985057</v>
      </c>
      <c r="E85" s="25">
        <f>VLOOKUP($A85,[1]!CurveTable,MATCH($E$4,[1]!CurveType,0))</f>
        <v>4.2145000000000001</v>
      </c>
      <c r="F85" s="31">
        <f>E85-Inputs!$B$16</f>
        <v>4.2694999999999999</v>
      </c>
      <c r="G85" s="43">
        <f t="shared" si="61"/>
        <v>4.2694999999999999</v>
      </c>
      <c r="H85" s="25">
        <f>VLOOKUP($A85,[1]!CurveTable,MATCH($H$4,[1]!CurveType,0))</f>
        <v>0.6</v>
      </c>
      <c r="I85" s="31">
        <f>H85+Inputs!$B$22</f>
        <v>0.6</v>
      </c>
      <c r="J85" s="44">
        <f t="shared" si="62"/>
        <v>0.6</v>
      </c>
      <c r="K85" s="25">
        <f>VLOOKUP($A85,[1]!CurveTable,MATCH($K$4,[1]!CurveType,0))</f>
        <v>0</v>
      </c>
      <c r="L85" s="31">
        <v>0</v>
      </c>
      <c r="M85" s="45">
        <f t="shared" si="63"/>
        <v>0</v>
      </c>
      <c r="N85" s="25">
        <f>VLOOKUP($A85,[1]!CurveTable,MATCH($N$4,[1]!CurveType,0))</f>
        <v>1.15E-2</v>
      </c>
      <c r="O85" s="31">
        <f>N85+Inputs!$E$22</f>
        <v>1.15E-2</v>
      </c>
      <c r="P85" s="45">
        <f t="shared" si="64"/>
        <v>1.15E-2</v>
      </c>
      <c r="Q85" s="25">
        <f>VLOOKUP($A85,[1]!CurveTable,MATCH($Q$4,[1]!CurveType,0))</f>
        <v>0.01</v>
      </c>
      <c r="R85" s="31">
        <v>0</v>
      </c>
      <c r="S85" s="45">
        <f t="shared" si="65"/>
        <v>0</v>
      </c>
      <c r="T85" s="4"/>
      <c r="U85" s="159">
        <f t="shared" si="77"/>
        <v>4.8694999999999995</v>
      </c>
      <c r="V85" s="160"/>
      <c r="W85" s="100">
        <f>VLOOKUP($A85,[1]!CurveTable,MATCH($W$4,[1]!CurveType,0))+$W$9</f>
        <v>0.37</v>
      </c>
      <c r="X85" s="100">
        <f>VLOOKUP($A85,[1]!CurveTable,MATCH($X$4,[1]!CurveType,0))+$X$9</f>
        <v>0.375</v>
      </c>
      <c r="Y85" s="158">
        <f t="shared" ca="1" si="68"/>
        <v>0.3777232988873796</v>
      </c>
      <c r="Z85" s="4"/>
      <c r="AA85" s="159">
        <f t="shared" si="78"/>
        <v>4.2809999999999997</v>
      </c>
      <c r="AB85" s="160"/>
      <c r="AC85" s="100">
        <f>VLOOKUP($A85,[1]!CurveTable,MATCH($AC$4,[1]!CurveType,0))+$AC$9</f>
        <v>0.185</v>
      </c>
      <c r="AD85" s="100">
        <f>VLOOKUP($A85,[1]!CurveTable,MATCH($AD$4,[1]!CurveType,0))+$AD$9</f>
        <v>0.19</v>
      </c>
      <c r="AE85" s="158">
        <f t="shared" ca="1" si="69"/>
        <v>0.19136854231181752</v>
      </c>
      <c r="AF85" s="4"/>
      <c r="AG85" s="52">
        <f ca="1">((Inputs!$F$20*(X85*AD85)*(A85-$C$3))+(Inputs!$F$19*W85*AC85*(DAY(EOMONTH(A85,0))/2)))/(AN85*Y85*AE85)</f>
        <v>0.7499997089951661</v>
      </c>
      <c r="AH85" s="4"/>
      <c r="AI85" s="18">
        <f>Inputs!$B$15</f>
        <v>0.06</v>
      </c>
      <c r="AJ85" s="46"/>
      <c r="AK85" s="18">
        <f t="shared" si="70"/>
        <v>0.52849999999999975</v>
      </c>
      <c r="AL85" s="46"/>
      <c r="AM85" s="62">
        <f t="shared" si="71"/>
        <v>40390</v>
      </c>
      <c r="AN85" s="63">
        <f t="shared" ca="1" si="72"/>
        <v>3197</v>
      </c>
      <c r="AO85" s="63">
        <f t="shared" si="99"/>
        <v>1</v>
      </c>
      <c r="AP85" s="19"/>
      <c r="AQ85" s="74">
        <f ca="1">_xll.SPRDOPT(U85,AA85,AI85,AX85,X85,AD85,AG85,AN85,AO85,0)</f>
        <v>1.0552005520944476</v>
      </c>
      <c r="AR85" s="47">
        <f t="shared" ca="1" si="79"/>
        <v>1582800.8281416714</v>
      </c>
      <c r="AS85" s="135">
        <f t="shared" ca="1" si="80"/>
        <v>0.52670055209444788</v>
      </c>
      <c r="AU85" s="5">
        <f t="shared" si="100"/>
        <v>30</v>
      </c>
      <c r="AV85" s="148">
        <f t="shared" si="73"/>
        <v>40436</v>
      </c>
      <c r="AW85" s="41">
        <f t="shared" ca="1" si="74"/>
        <v>3243</v>
      </c>
      <c r="AX85" s="100">
        <f>VLOOKUP($A85,[1]!CurveTable,MATCH(AX$4,[1]!CurveType,0))</f>
        <v>5.3389846617102305E-2</v>
      </c>
      <c r="AY85" s="149">
        <f ca="1">1/(1+CHOOSE(F$3,(AX86+(Inputs!$B$14/10000))/2,(AX85+(Inputs!$B$14/10000))/2))^(2*AW85/365.25)</f>
        <v>0.62636400170656703</v>
      </c>
      <c r="AZ85" s="41">
        <f t="shared" si="101"/>
        <v>1</v>
      </c>
      <c r="BA85" s="72">
        <f t="shared" si="102"/>
        <v>30</v>
      </c>
      <c r="BC85" s="65">
        <f t="shared" ca="1" si="81"/>
        <v>3959716.6277884902</v>
      </c>
      <c r="BD85" s="65">
        <f t="shared" ca="1" si="82"/>
        <v>4011391.6579292817</v>
      </c>
      <c r="BE85" s="65">
        <f t="shared" ca="1" si="83"/>
        <v>4011391.6579292817</v>
      </c>
      <c r="BF85" s="65">
        <f t="shared" ca="1" si="84"/>
        <v>563727.60153591027</v>
      </c>
      <c r="BG85" s="65">
        <f t="shared" ca="1" si="85"/>
        <v>563727.60153591027</v>
      </c>
      <c r="BH85" s="65">
        <f t="shared" ca="1" si="86"/>
        <v>563727.60153591027</v>
      </c>
      <c r="BI85" s="65">
        <f t="shared" ca="1" si="87"/>
        <v>0</v>
      </c>
      <c r="BJ85" s="65">
        <f t="shared" ca="1" si="88"/>
        <v>0</v>
      </c>
      <c r="BK85" s="65">
        <f t="shared" ca="1" si="89"/>
        <v>0</v>
      </c>
      <c r="BL85" s="65">
        <f t="shared" ca="1" si="90"/>
        <v>10804.779029438281</v>
      </c>
      <c r="BM85" s="65">
        <f t="shared" ca="1" si="91"/>
        <v>10804.779029438281</v>
      </c>
      <c r="BN85" s="65">
        <f t="shared" ca="1" si="92"/>
        <v>10804.779029438281</v>
      </c>
      <c r="BO85" s="65">
        <f t="shared" ca="1" si="93"/>
        <v>9395.460025598506</v>
      </c>
      <c r="BP85" s="65">
        <f t="shared" ca="1" si="94"/>
        <v>0</v>
      </c>
      <c r="BQ85" s="65">
        <f t="shared" ca="1" si="95"/>
        <v>0</v>
      </c>
      <c r="BR85" s="65">
        <f t="shared" ca="1" si="96"/>
        <v>4575119.2594651915</v>
      </c>
      <c r="BS85" s="65">
        <f t="shared" ca="1" si="97"/>
        <v>4022196.43695872</v>
      </c>
      <c r="BT85" s="65">
        <f t="shared" ca="1" si="98"/>
        <v>56372.760153591029</v>
      </c>
      <c r="BU85" s="65">
        <f t="shared" ca="1" si="75"/>
        <v>496550.06235288078</v>
      </c>
    </row>
    <row r="86" spans="1:73">
      <c r="A86" s="42">
        <f t="shared" si="76"/>
        <v>40452</v>
      </c>
      <c r="B86" s="30">
        <f>Inputs!$B$8</f>
        <v>50000</v>
      </c>
      <c r="C86" s="17">
        <f t="shared" si="66"/>
        <v>1550000</v>
      </c>
      <c r="D86" s="17">
        <f t="shared" ca="1" si="67"/>
        <v>965769.84932116</v>
      </c>
      <c r="E86" s="25">
        <f>VLOOKUP($A86,[1]!CurveTable,MATCH($E$4,[1]!CurveType,0))</f>
        <v>4.2145000000000001</v>
      </c>
      <c r="F86" s="31">
        <f>E86-Inputs!$B$16</f>
        <v>4.2694999999999999</v>
      </c>
      <c r="G86" s="43">
        <f t="shared" si="61"/>
        <v>4.2694999999999999</v>
      </c>
      <c r="H86" s="25">
        <f>VLOOKUP($A86,[1]!CurveTable,MATCH($H$4,[1]!CurveType,0))</f>
        <v>0.3</v>
      </c>
      <c r="I86" s="31">
        <f>H86+Inputs!$B$22</f>
        <v>0.3</v>
      </c>
      <c r="J86" s="44">
        <f t="shared" si="62"/>
        <v>0.3</v>
      </c>
      <c r="K86" s="25">
        <f>VLOOKUP($A86,[1]!CurveTable,MATCH($K$4,[1]!CurveType,0))</f>
        <v>0</v>
      </c>
      <c r="L86" s="31">
        <v>0</v>
      </c>
      <c r="M86" s="45">
        <f t="shared" si="63"/>
        <v>0</v>
      </c>
      <c r="N86" s="25">
        <f>VLOOKUP($A86,[1]!CurveTable,MATCH($N$4,[1]!CurveType,0))</f>
        <v>0.01</v>
      </c>
      <c r="O86" s="31">
        <f>N86+Inputs!$E$22</f>
        <v>0.01</v>
      </c>
      <c r="P86" s="45">
        <f t="shared" si="64"/>
        <v>0.01</v>
      </c>
      <c r="Q86" s="25">
        <f>VLOOKUP($A86,[1]!CurveTable,MATCH($Q$4,[1]!CurveType,0))</f>
        <v>0.01</v>
      </c>
      <c r="R86" s="31">
        <v>0</v>
      </c>
      <c r="S86" s="45">
        <f t="shared" si="65"/>
        <v>0</v>
      </c>
      <c r="T86" s="4"/>
      <c r="U86" s="159">
        <f t="shared" si="77"/>
        <v>4.5694999999999997</v>
      </c>
      <c r="V86" s="160"/>
      <c r="W86" s="100">
        <f>VLOOKUP($A86,[1]!CurveTable,MATCH($W$4,[1]!CurveType,0))+$W$9</f>
        <v>0.185</v>
      </c>
      <c r="X86" s="100">
        <f>VLOOKUP($A86,[1]!CurveTable,MATCH($X$4,[1]!CurveType,0))+$X$9</f>
        <v>0.19</v>
      </c>
      <c r="Y86" s="158">
        <f t="shared" ca="1" si="68"/>
        <v>0.19134007585514537</v>
      </c>
      <c r="Z86" s="4"/>
      <c r="AA86" s="159">
        <f t="shared" si="78"/>
        <v>4.2794999999999996</v>
      </c>
      <c r="AB86" s="160"/>
      <c r="AC86" s="100">
        <f>VLOOKUP($A86,[1]!CurveTable,MATCH($AC$4,[1]!CurveType,0))+$AC$9</f>
        <v>0.185</v>
      </c>
      <c r="AD86" s="100">
        <f>VLOOKUP($A86,[1]!CurveTable,MATCH($AD$4,[1]!CurveType,0))+$AD$9</f>
        <v>0.19</v>
      </c>
      <c r="AE86" s="158">
        <f t="shared" ca="1" si="69"/>
        <v>0.19134007585514537</v>
      </c>
      <c r="AF86" s="4"/>
      <c r="AG86" s="52">
        <f ca="1">((Inputs!$F$20*(X86*AD86)*(A86-$C$3))+(Inputs!$F$19*W86*AC86*(DAY(EOMONTH(A86,0))/2)))/(AN86*Y86*AE86)</f>
        <v>0.75</v>
      </c>
      <c r="AH86" s="4"/>
      <c r="AI86" s="18">
        <f>Inputs!$B$15</f>
        <v>0.06</v>
      </c>
      <c r="AJ86" s="46"/>
      <c r="AK86" s="18">
        <f t="shared" si="70"/>
        <v>0.23000000000000004</v>
      </c>
      <c r="AL86" s="46"/>
      <c r="AM86" s="62">
        <f t="shared" si="71"/>
        <v>40421</v>
      </c>
      <c r="AN86" s="63">
        <f t="shared" ca="1" si="72"/>
        <v>3228</v>
      </c>
      <c r="AO86" s="63">
        <f t="shared" si="99"/>
        <v>1</v>
      </c>
      <c r="AP86" s="19"/>
      <c r="AQ86" s="74">
        <f ca="1">_xll.SPRDOPT(U86,AA86,AI86,AX86,X86,AD86,AG86,AN86,AO86,0)</f>
        <v>0.51185306753778492</v>
      </c>
      <c r="AR86" s="47">
        <f t="shared" ca="1" si="79"/>
        <v>793372.25468356663</v>
      </c>
      <c r="AS86" s="135">
        <f t="shared" ca="1" si="80"/>
        <v>0.28185306753778488</v>
      </c>
      <c r="AU86" s="5">
        <f t="shared" si="100"/>
        <v>31</v>
      </c>
      <c r="AV86" s="148">
        <f t="shared" si="73"/>
        <v>40466</v>
      </c>
      <c r="AW86" s="41">
        <f t="shared" ca="1" si="74"/>
        <v>3273</v>
      </c>
      <c r="AX86" s="100">
        <f>VLOOKUP($A86,[1]!CurveTable,MATCH(AX$4,[1]!CurveType,0))</f>
        <v>5.3496787840165101E-2</v>
      </c>
      <c r="AY86" s="149">
        <f ca="1">1/(1+CHOOSE(F$3,(AX87+(Inputs!$B$14/10000))/2,(AX86+(Inputs!$B$14/10000))/2))^(2*AW86/365.25)</f>
        <v>0.62307732214268385</v>
      </c>
      <c r="AZ86" s="41">
        <f t="shared" si="101"/>
        <v>1</v>
      </c>
      <c r="BA86" s="72">
        <f t="shared" si="102"/>
        <v>31</v>
      </c>
      <c r="BC86" s="65">
        <f t="shared" ca="1" si="81"/>
        <v>4070237.0299640289</v>
      </c>
      <c r="BD86" s="65">
        <f t="shared" ca="1" si="82"/>
        <v>4123354.3716766923</v>
      </c>
      <c r="BE86" s="65">
        <f t="shared" ca="1" si="83"/>
        <v>4123354.3716766923</v>
      </c>
      <c r="BF86" s="65">
        <f t="shared" ca="1" si="84"/>
        <v>289730.954796348</v>
      </c>
      <c r="BG86" s="65">
        <f t="shared" ca="1" si="85"/>
        <v>289730.954796348</v>
      </c>
      <c r="BH86" s="65">
        <f t="shared" ca="1" si="86"/>
        <v>289730.954796348</v>
      </c>
      <c r="BI86" s="65">
        <f t="shared" ca="1" si="87"/>
        <v>0</v>
      </c>
      <c r="BJ86" s="65">
        <f t="shared" ca="1" si="88"/>
        <v>0</v>
      </c>
      <c r="BK86" s="65">
        <f t="shared" ca="1" si="89"/>
        <v>0</v>
      </c>
      <c r="BL86" s="65">
        <f t="shared" ca="1" si="90"/>
        <v>9657.6984932116011</v>
      </c>
      <c r="BM86" s="65">
        <f t="shared" ca="1" si="91"/>
        <v>9657.6984932116011</v>
      </c>
      <c r="BN86" s="65">
        <f t="shared" ca="1" si="92"/>
        <v>9657.6984932116011</v>
      </c>
      <c r="BO86" s="65">
        <f t="shared" ca="1" si="93"/>
        <v>9657.6984932116011</v>
      </c>
      <c r="BP86" s="65">
        <f t="shared" ca="1" si="94"/>
        <v>0</v>
      </c>
      <c r="BQ86" s="65">
        <f t="shared" ca="1" si="95"/>
        <v>0</v>
      </c>
      <c r="BR86" s="65">
        <f t="shared" ca="1" si="96"/>
        <v>4413085.3264730405</v>
      </c>
      <c r="BS86" s="65">
        <f t="shared" ca="1" si="97"/>
        <v>4133012.0701699038</v>
      </c>
      <c r="BT86" s="65">
        <f t="shared" ca="1" si="98"/>
        <v>57946.190959269596</v>
      </c>
      <c r="BU86" s="65">
        <f t="shared" ca="1" si="75"/>
        <v>222127.06534386682</v>
      </c>
    </row>
    <row r="87" spans="1:73">
      <c r="A87" s="42">
        <f t="shared" si="76"/>
        <v>40483</v>
      </c>
      <c r="B87" s="30">
        <f>Inputs!$B$8</f>
        <v>50000</v>
      </c>
      <c r="C87" s="17">
        <f t="shared" si="66"/>
        <v>1500000</v>
      </c>
      <c r="D87" s="17">
        <f t="shared" ca="1" si="67"/>
        <v>929532.14435185294</v>
      </c>
      <c r="E87" s="25">
        <f>VLOOKUP($A87,[1]!CurveTable,MATCH($E$4,[1]!CurveType,0))</f>
        <v>4.3624999999999998</v>
      </c>
      <c r="F87" s="31">
        <f>E87-Inputs!$B$16</f>
        <v>4.4174999999999995</v>
      </c>
      <c r="G87" s="43">
        <f t="shared" si="61"/>
        <v>4.4174999999999995</v>
      </c>
      <c r="H87" s="25">
        <f>VLOOKUP($A87,[1]!CurveTable,MATCH($H$4,[1]!CurveType,0))</f>
        <v>0.22</v>
      </c>
      <c r="I87" s="31">
        <f>H87+Inputs!$B$22</f>
        <v>0.22</v>
      </c>
      <c r="J87" s="44">
        <f t="shared" si="62"/>
        <v>0.22</v>
      </c>
      <c r="K87" s="25">
        <f>VLOOKUP($A87,[1]!CurveTable,MATCH($K$4,[1]!CurveType,0))</f>
        <v>0</v>
      </c>
      <c r="L87" s="31">
        <v>0</v>
      </c>
      <c r="M87" s="45">
        <f t="shared" si="63"/>
        <v>0</v>
      </c>
      <c r="N87" s="25">
        <f>VLOOKUP($A87,[1]!CurveTable,MATCH($N$4,[1]!CurveType,0))</f>
        <v>1.1000000000000001E-2</v>
      </c>
      <c r="O87" s="31">
        <f>N87+Inputs!$E$22</f>
        <v>1.1000000000000001E-2</v>
      </c>
      <c r="P87" s="45">
        <f t="shared" si="64"/>
        <v>1.1000000000000001E-2</v>
      </c>
      <c r="Q87" s="25">
        <f>VLOOKUP($A87,[1]!CurveTable,MATCH($Q$4,[1]!CurveType,0))</f>
        <v>7.4999999999999997E-3</v>
      </c>
      <c r="R87" s="31">
        <v>0</v>
      </c>
      <c r="S87" s="45">
        <f t="shared" si="65"/>
        <v>0</v>
      </c>
      <c r="T87" s="4"/>
      <c r="U87" s="159">
        <f t="shared" si="77"/>
        <v>4.6374999999999993</v>
      </c>
      <c r="V87" s="160"/>
      <c r="W87" s="100">
        <f>VLOOKUP($A87,[1]!CurveTable,MATCH($W$4,[1]!CurveType,0))+$W$9</f>
        <v>0.185</v>
      </c>
      <c r="X87" s="100">
        <f>VLOOKUP($A87,[1]!CurveTable,MATCH($X$4,[1]!CurveType,0))+$X$9</f>
        <v>0.19</v>
      </c>
      <c r="Y87" s="158">
        <f t="shared" ca="1" si="68"/>
        <v>0.1913430088158784</v>
      </c>
      <c r="Z87" s="4"/>
      <c r="AA87" s="159">
        <f t="shared" si="78"/>
        <v>4.4284999999999997</v>
      </c>
      <c r="AB87" s="160"/>
      <c r="AC87" s="100">
        <f>VLOOKUP($A87,[1]!CurveTable,MATCH($AC$4,[1]!CurveType,0))+$AC$9</f>
        <v>0.185</v>
      </c>
      <c r="AD87" s="100">
        <f>VLOOKUP($A87,[1]!CurveTable,MATCH($AD$4,[1]!CurveType,0))+$AD$9</f>
        <v>0.19</v>
      </c>
      <c r="AE87" s="158">
        <f t="shared" ca="1" si="69"/>
        <v>0.1913430088158784</v>
      </c>
      <c r="AF87" s="4"/>
      <c r="AG87" s="52">
        <f ca="1">((Inputs!$F$20*(X87*AD87)*(A87-$C$3))+(Inputs!$F$19*W87*AC87*(DAY(EOMONTH(A87,0))/2)))/(AN87*Y87*AE87)</f>
        <v>0.75</v>
      </c>
      <c r="AH87" s="4"/>
      <c r="AI87" s="18">
        <f>Inputs!$B$15</f>
        <v>0.06</v>
      </c>
      <c r="AJ87" s="46"/>
      <c r="AK87" s="18">
        <f t="shared" si="70"/>
        <v>0.14899999999999963</v>
      </c>
      <c r="AL87" s="46"/>
      <c r="AM87" s="62">
        <f t="shared" si="71"/>
        <v>40451</v>
      </c>
      <c r="AN87" s="63">
        <f t="shared" ca="1" si="72"/>
        <v>3258</v>
      </c>
      <c r="AO87" s="63">
        <f t="shared" si="99"/>
        <v>1</v>
      </c>
      <c r="AP87" s="19"/>
      <c r="AQ87" s="74">
        <f ca="1">_xll.SPRDOPT(U87,AA87,AI87,AX87,X87,AD87,AG87,AN87,AO87,0)</f>
        <v>0.49454836406974156</v>
      </c>
      <c r="AR87" s="47">
        <f t="shared" ca="1" si="79"/>
        <v>741822.54610461229</v>
      </c>
      <c r="AS87" s="135">
        <f t="shared" ca="1" si="80"/>
        <v>0.34554836406974193</v>
      </c>
      <c r="AU87" s="5">
        <f t="shared" si="100"/>
        <v>30</v>
      </c>
      <c r="AV87" s="148">
        <f t="shared" si="73"/>
        <v>40497</v>
      </c>
      <c r="AW87" s="41">
        <f t="shared" ca="1" si="74"/>
        <v>3304</v>
      </c>
      <c r="AX87" s="100">
        <f>VLOOKUP($A87,[1]!CurveTable,MATCH(AX$4,[1]!CurveType,0))</f>
        <v>5.3607293774668101E-2</v>
      </c>
      <c r="AY87" s="149">
        <f ca="1">1/(1+CHOOSE(F$3,(AX88+(Inputs!$B$14/10000))/2,(AX87+(Inputs!$B$14/10000))/2))^(2*AW87/365.25)</f>
        <v>0.61968809623456866</v>
      </c>
      <c r="AZ87" s="41">
        <f t="shared" si="101"/>
        <v>1</v>
      </c>
      <c r="BA87" s="72">
        <f t="shared" si="102"/>
        <v>30</v>
      </c>
      <c r="BC87" s="65">
        <f t="shared" ca="1" si="81"/>
        <v>4055083.9797349581</v>
      </c>
      <c r="BD87" s="65">
        <f t="shared" ca="1" si="82"/>
        <v>4106208.2476743101</v>
      </c>
      <c r="BE87" s="65">
        <f t="shared" ca="1" si="83"/>
        <v>4106208.2476743101</v>
      </c>
      <c r="BF87" s="65">
        <f t="shared" ca="1" si="84"/>
        <v>204497.07175740766</v>
      </c>
      <c r="BG87" s="65">
        <f t="shared" ca="1" si="85"/>
        <v>204497.07175740766</v>
      </c>
      <c r="BH87" s="65">
        <f t="shared" ca="1" si="86"/>
        <v>204497.07175740766</v>
      </c>
      <c r="BI87" s="65">
        <f t="shared" ca="1" si="87"/>
        <v>0</v>
      </c>
      <c r="BJ87" s="65">
        <f t="shared" ca="1" si="88"/>
        <v>0</v>
      </c>
      <c r="BK87" s="65">
        <f t="shared" ca="1" si="89"/>
        <v>0</v>
      </c>
      <c r="BL87" s="65">
        <f t="shared" ca="1" si="90"/>
        <v>10224.853587870384</v>
      </c>
      <c r="BM87" s="65">
        <f t="shared" ca="1" si="91"/>
        <v>10224.853587870384</v>
      </c>
      <c r="BN87" s="65">
        <f t="shared" ca="1" si="92"/>
        <v>10224.853587870384</v>
      </c>
      <c r="BO87" s="65">
        <f t="shared" ca="1" si="93"/>
        <v>6971.4910826388968</v>
      </c>
      <c r="BP87" s="65">
        <f t="shared" ca="1" si="94"/>
        <v>0</v>
      </c>
      <c r="BQ87" s="65">
        <f t="shared" ca="1" si="95"/>
        <v>0</v>
      </c>
      <c r="BR87" s="65">
        <f t="shared" ca="1" si="96"/>
        <v>4310705.3194317175</v>
      </c>
      <c r="BS87" s="65">
        <f t="shared" ca="1" si="97"/>
        <v>4116433.1012621806</v>
      </c>
      <c r="BT87" s="65">
        <f t="shared" ca="1" si="98"/>
        <v>55771.928661111175</v>
      </c>
      <c r="BU87" s="65">
        <f t="shared" ca="1" si="75"/>
        <v>138500.28950842575</v>
      </c>
    </row>
    <row r="88" spans="1:73">
      <c r="A88" s="42">
        <f t="shared" si="76"/>
        <v>40513</v>
      </c>
      <c r="B88" s="30">
        <f>Inputs!$B$8</f>
        <v>50000</v>
      </c>
      <c r="C88" s="17">
        <f t="shared" si="66"/>
        <v>1550000</v>
      </c>
      <c r="D88" s="17">
        <f t="shared" ca="1" si="67"/>
        <v>955443.34794977435</v>
      </c>
      <c r="E88" s="25">
        <f>VLOOKUP($A88,[1]!CurveTable,MATCH($E$4,[1]!CurveType,0))</f>
        <v>4.5145</v>
      </c>
      <c r="F88" s="31">
        <f>E88-Inputs!$B$16</f>
        <v>4.5694999999999997</v>
      </c>
      <c r="G88" s="43">
        <f t="shared" si="61"/>
        <v>4.5694999999999997</v>
      </c>
      <c r="H88" s="25">
        <f>VLOOKUP($A88,[1]!CurveTable,MATCH($H$4,[1]!CurveType,0))</f>
        <v>0.2</v>
      </c>
      <c r="I88" s="31">
        <f>H88+Inputs!$B$22</f>
        <v>0.2</v>
      </c>
      <c r="J88" s="44">
        <f t="shared" si="62"/>
        <v>0.2</v>
      </c>
      <c r="K88" s="25">
        <f>VLOOKUP($A88,[1]!CurveTable,MATCH($K$4,[1]!CurveType,0))</f>
        <v>0</v>
      </c>
      <c r="L88" s="31">
        <v>0</v>
      </c>
      <c r="M88" s="45">
        <f t="shared" si="63"/>
        <v>0</v>
      </c>
      <c r="N88" s="25">
        <f>VLOOKUP($A88,[1]!CurveTable,MATCH($N$4,[1]!CurveType,0))</f>
        <v>1.1000000000000001E-2</v>
      </c>
      <c r="O88" s="31">
        <f>N88+Inputs!$E$22</f>
        <v>1.1000000000000001E-2</v>
      </c>
      <c r="P88" s="45">
        <f t="shared" si="64"/>
        <v>1.1000000000000001E-2</v>
      </c>
      <c r="Q88" s="25">
        <f>VLOOKUP($A88,[1]!CurveTable,MATCH($Q$4,[1]!CurveType,0))</f>
        <v>7.4999999999999997E-3</v>
      </c>
      <c r="R88" s="31">
        <v>0</v>
      </c>
      <c r="S88" s="45">
        <f t="shared" si="65"/>
        <v>0</v>
      </c>
      <c r="T88" s="4"/>
      <c r="U88" s="159">
        <f t="shared" si="77"/>
        <v>4.7694999999999999</v>
      </c>
      <c r="V88" s="160"/>
      <c r="W88" s="100">
        <f>VLOOKUP($A88,[1]!CurveTable,MATCH($W$4,[1]!CurveType,0))+$W$9</f>
        <v>0.185</v>
      </c>
      <c r="X88" s="100">
        <f>VLOOKUP($A88,[1]!CurveTable,MATCH($X$4,[1]!CurveType,0))+$X$9</f>
        <v>0.19</v>
      </c>
      <c r="Y88" s="158">
        <f t="shared" ca="1" si="68"/>
        <v>0.19131530734037586</v>
      </c>
      <c r="Z88" s="4"/>
      <c r="AA88" s="159">
        <f t="shared" si="78"/>
        <v>4.5804999999999998</v>
      </c>
      <c r="AB88" s="160"/>
      <c r="AC88" s="100">
        <f>VLOOKUP($A88,[1]!CurveTable,MATCH($AC$4,[1]!CurveType,0))+$AC$9</f>
        <v>0.185</v>
      </c>
      <c r="AD88" s="100">
        <f>VLOOKUP($A88,[1]!CurveTable,MATCH($AD$4,[1]!CurveType,0))+$AD$9</f>
        <v>0.19</v>
      </c>
      <c r="AE88" s="158">
        <f t="shared" ca="1" si="69"/>
        <v>0.19131530734037586</v>
      </c>
      <c r="AF88" s="4"/>
      <c r="AG88" s="52">
        <f ca="1">((Inputs!$F$20*(X88*AD88)*(A88-$C$3))+(Inputs!$F$19*W88*AC88*(DAY(EOMONTH(A88,0))/2)))/(AN88*Y88*AE88)</f>
        <v>0.75000000000000011</v>
      </c>
      <c r="AH88" s="4"/>
      <c r="AI88" s="18">
        <f>Inputs!$B$15</f>
        <v>0.06</v>
      </c>
      <c r="AJ88" s="46"/>
      <c r="AK88" s="18">
        <f t="shared" si="70"/>
        <v>0.12900000000000006</v>
      </c>
      <c r="AL88" s="46"/>
      <c r="AM88" s="62">
        <f t="shared" si="71"/>
        <v>40482</v>
      </c>
      <c r="AN88" s="63">
        <f t="shared" ca="1" si="72"/>
        <v>3289</v>
      </c>
      <c r="AO88" s="63">
        <f t="shared" si="99"/>
        <v>1</v>
      </c>
      <c r="AP88" s="19"/>
      <c r="AQ88" s="74">
        <f ca="1">_xll.SPRDOPT(U88,AA88,AI88,AX88,X88,AD88,AG88,AN88,AO88,0)</f>
        <v>0.50132575941165414</v>
      </c>
      <c r="AR88" s="47">
        <f t="shared" ca="1" si="79"/>
        <v>777054.92708806391</v>
      </c>
      <c r="AS88" s="135">
        <f t="shared" ca="1" si="80"/>
        <v>0.37232575941165408</v>
      </c>
      <c r="AU88" s="5">
        <f t="shared" si="100"/>
        <v>31</v>
      </c>
      <c r="AV88" s="148">
        <f t="shared" si="73"/>
        <v>40527</v>
      </c>
      <c r="AW88" s="41">
        <f t="shared" ca="1" si="74"/>
        <v>3334</v>
      </c>
      <c r="AX88" s="100">
        <f>VLOOKUP($A88,[1]!CurveTable,MATCH(AX$4,[1]!CurveType,0))</f>
        <v>5.3714235005481101E-2</v>
      </c>
      <c r="AY88" s="149">
        <f ca="1">1/(1+CHOOSE(F$3,(AX89+(Inputs!$B$14/10000))/2,(AX88+(Inputs!$B$14/10000))/2))^(2*AW88/365.25)</f>
        <v>0.61641506319340278</v>
      </c>
      <c r="AZ88" s="41">
        <f t="shared" si="101"/>
        <v>1</v>
      </c>
      <c r="BA88" s="72">
        <f t="shared" si="102"/>
        <v>31</v>
      </c>
      <c r="BC88" s="65">
        <f t="shared" ca="1" si="81"/>
        <v>4313348.9943192564</v>
      </c>
      <c r="BD88" s="65">
        <f t="shared" ca="1" si="82"/>
        <v>4365898.3784564938</v>
      </c>
      <c r="BE88" s="65">
        <f t="shared" ca="1" si="83"/>
        <v>4365898.3784564938</v>
      </c>
      <c r="BF88" s="65">
        <f t="shared" ca="1" si="84"/>
        <v>191088.66958995489</v>
      </c>
      <c r="BG88" s="65">
        <f t="shared" ca="1" si="85"/>
        <v>191088.66958995489</v>
      </c>
      <c r="BH88" s="65">
        <f t="shared" ca="1" si="86"/>
        <v>191088.66958995489</v>
      </c>
      <c r="BI88" s="65">
        <f t="shared" ca="1" si="87"/>
        <v>0</v>
      </c>
      <c r="BJ88" s="65">
        <f t="shared" ca="1" si="88"/>
        <v>0</v>
      </c>
      <c r="BK88" s="65">
        <f t="shared" ca="1" si="89"/>
        <v>0</v>
      </c>
      <c r="BL88" s="65">
        <f t="shared" ca="1" si="90"/>
        <v>10509.876827447519</v>
      </c>
      <c r="BM88" s="65">
        <f t="shared" ca="1" si="91"/>
        <v>10509.876827447519</v>
      </c>
      <c r="BN88" s="65">
        <f t="shared" ca="1" si="92"/>
        <v>10509.876827447519</v>
      </c>
      <c r="BO88" s="65">
        <f t="shared" ca="1" si="93"/>
        <v>7165.8251096233071</v>
      </c>
      <c r="BP88" s="65">
        <f t="shared" ca="1" si="94"/>
        <v>0</v>
      </c>
      <c r="BQ88" s="65">
        <f t="shared" ca="1" si="95"/>
        <v>0</v>
      </c>
      <c r="BR88" s="65">
        <f t="shared" ca="1" si="96"/>
        <v>4556987.0480464483</v>
      </c>
      <c r="BS88" s="65">
        <f t="shared" ca="1" si="97"/>
        <v>4376408.2552839415</v>
      </c>
      <c r="BT88" s="65">
        <f t="shared" ca="1" si="98"/>
        <v>57326.600876986457</v>
      </c>
      <c r="BU88" s="65">
        <f t="shared" ca="1" si="75"/>
        <v>123252.19188552095</v>
      </c>
    </row>
    <row r="89" spans="1:73">
      <c r="A89" s="42">
        <f t="shared" si="76"/>
        <v>40544</v>
      </c>
      <c r="B89" s="30">
        <f>Inputs!$B$8</f>
        <v>50000</v>
      </c>
      <c r="C89" s="17">
        <f t="shared" si="66"/>
        <v>1550000</v>
      </c>
      <c r="D89" s="17">
        <f t="shared" ca="1" si="67"/>
        <v>950212.15966177057</v>
      </c>
      <c r="E89" s="25">
        <f>VLOOKUP($A89,[1]!CurveTable,MATCH($E$4,[1]!CurveType,0))</f>
        <v>4.5895000000000001</v>
      </c>
      <c r="F89" s="31">
        <f>E89-Inputs!$B$16</f>
        <v>4.6444999999999999</v>
      </c>
      <c r="G89" s="43">
        <f t="shared" si="61"/>
        <v>4.6444999999999999</v>
      </c>
      <c r="H89" s="25">
        <f>VLOOKUP($A89,[1]!CurveTable,MATCH($H$4,[1]!CurveType,0))</f>
        <v>8.5000000000000006E-2</v>
      </c>
      <c r="I89" s="31">
        <f>H89+Inputs!$B$22</f>
        <v>8.5000000000000006E-2</v>
      </c>
      <c r="J89" s="44">
        <f t="shared" si="62"/>
        <v>8.5000000000000006E-2</v>
      </c>
      <c r="K89" s="25">
        <f>VLOOKUP($A89,[1]!CurveTable,MATCH($K$4,[1]!CurveType,0))</f>
        <v>0</v>
      </c>
      <c r="L89" s="31">
        <v>0</v>
      </c>
      <c r="M89" s="45">
        <f t="shared" si="63"/>
        <v>0</v>
      </c>
      <c r="N89" s="25">
        <f>VLOOKUP($A89,[1]!CurveTable,MATCH($N$4,[1]!CurveType,0))</f>
        <v>1.1000000000000001E-2</v>
      </c>
      <c r="O89" s="31">
        <f>N89+Inputs!$E$22</f>
        <v>1.1000000000000001E-2</v>
      </c>
      <c r="P89" s="45">
        <f t="shared" si="64"/>
        <v>1.1000000000000001E-2</v>
      </c>
      <c r="Q89" s="25">
        <f>VLOOKUP($A89,[1]!CurveTable,MATCH($Q$4,[1]!CurveType,0))</f>
        <v>7.4999999999999997E-3</v>
      </c>
      <c r="R89" s="31">
        <v>0</v>
      </c>
      <c r="S89" s="45">
        <f t="shared" si="65"/>
        <v>0</v>
      </c>
      <c r="T89" s="4"/>
      <c r="U89" s="159">
        <f t="shared" si="77"/>
        <v>4.7294999999999998</v>
      </c>
      <c r="V89" s="160"/>
      <c r="W89" s="100">
        <f>VLOOKUP($A89,[1]!CurveTable,MATCH($W$4,[1]!CurveType,0))+$W$9</f>
        <v>0.185</v>
      </c>
      <c r="X89" s="100">
        <f>VLOOKUP($A89,[1]!CurveTable,MATCH($X$4,[1]!CurveType,0))+$X$9</f>
        <v>0.19</v>
      </c>
      <c r="Y89" s="158">
        <f t="shared" ca="1" si="68"/>
        <v>0.19133188489576008</v>
      </c>
      <c r="Z89" s="4"/>
      <c r="AA89" s="159">
        <f t="shared" si="78"/>
        <v>4.6555</v>
      </c>
      <c r="AB89" s="160"/>
      <c r="AC89" s="100">
        <f>VLOOKUP($A89,[1]!CurveTable,MATCH($AC$4,[1]!CurveType,0))+$AC$9</f>
        <v>0.185</v>
      </c>
      <c r="AD89" s="100">
        <f>VLOOKUP($A89,[1]!CurveTable,MATCH($AD$4,[1]!CurveType,0))+$AD$9</f>
        <v>0.19</v>
      </c>
      <c r="AE89" s="158">
        <f t="shared" ca="1" si="69"/>
        <v>0.19133188489576008</v>
      </c>
      <c r="AF89" s="4"/>
      <c r="AG89" s="52">
        <f ca="1">((Inputs!$F$20*(X89*AD89)*(A89-$C$3))+(Inputs!$F$19*W89*AC89*(DAY(EOMONTH(A89,0))/2)))/(AN89*Y89*AE89)</f>
        <v>0.75000000000000011</v>
      </c>
      <c r="AH89" s="4"/>
      <c r="AI89" s="18">
        <f>Inputs!$B$15</f>
        <v>0.06</v>
      </c>
      <c r="AJ89" s="46"/>
      <c r="AK89" s="18">
        <f t="shared" si="70"/>
        <v>1.3999999999999846E-2</v>
      </c>
      <c r="AL89" s="46"/>
      <c r="AM89" s="62">
        <f t="shared" si="71"/>
        <v>40512</v>
      </c>
      <c r="AN89" s="63">
        <f t="shared" ca="1" si="72"/>
        <v>3319</v>
      </c>
      <c r="AO89" s="63">
        <f t="shared" si="99"/>
        <v>1</v>
      </c>
      <c r="AP89" s="19"/>
      <c r="AQ89" s="74">
        <f ca="1">_xll.SPRDOPT(U89,AA89,AI89,AX89,X89,AD89,AG89,AN89,AO89,0)</f>
        <v>0.46611051944129578</v>
      </c>
      <c r="AR89" s="47">
        <f t="shared" ca="1" si="79"/>
        <v>722471.30513400841</v>
      </c>
      <c r="AS89" s="135">
        <f t="shared" ca="1" si="80"/>
        <v>0.45211051944129593</v>
      </c>
      <c r="AU89" s="5">
        <f t="shared" si="100"/>
        <v>31</v>
      </c>
      <c r="AV89" s="148">
        <f t="shared" si="73"/>
        <v>40558</v>
      </c>
      <c r="AW89" s="41">
        <f t="shared" ca="1" si="74"/>
        <v>3365</v>
      </c>
      <c r="AX89" s="100">
        <f>VLOOKUP($A89,[1]!CurveTable,MATCH(AX$4,[1]!CurveType,0))</f>
        <v>5.3824740947992798E-2</v>
      </c>
      <c r="AY89" s="149">
        <f ca="1">1/(1+CHOOSE(F$3,(AX90+(Inputs!$B$14/10000))/2,(AX89+(Inputs!$B$14/10000))/2))^(2*AW89/365.25)</f>
        <v>0.61304010300759393</v>
      </c>
      <c r="AZ89" s="41">
        <f t="shared" si="101"/>
        <v>1</v>
      </c>
      <c r="BA89" s="72">
        <f t="shared" si="102"/>
        <v>31</v>
      </c>
      <c r="BC89" s="65">
        <f t="shared" ca="1" si="81"/>
        <v>4360998.706767696</v>
      </c>
      <c r="BD89" s="65">
        <f t="shared" ca="1" si="82"/>
        <v>4413260.3755490929</v>
      </c>
      <c r="BE89" s="65">
        <f t="shared" ca="1" si="83"/>
        <v>4413260.3755490929</v>
      </c>
      <c r="BF89" s="65">
        <f t="shared" ca="1" si="84"/>
        <v>80768.033571250504</v>
      </c>
      <c r="BG89" s="65">
        <f t="shared" ca="1" si="85"/>
        <v>80768.033571250504</v>
      </c>
      <c r="BH89" s="65">
        <f t="shared" ca="1" si="86"/>
        <v>80768.033571250504</v>
      </c>
      <c r="BI89" s="65">
        <f t="shared" ca="1" si="87"/>
        <v>0</v>
      </c>
      <c r="BJ89" s="65">
        <f t="shared" ca="1" si="88"/>
        <v>0</v>
      </c>
      <c r="BK89" s="65">
        <f t="shared" ca="1" si="89"/>
        <v>0</v>
      </c>
      <c r="BL89" s="65">
        <f t="shared" ca="1" si="90"/>
        <v>10452.333756279477</v>
      </c>
      <c r="BM89" s="65">
        <f t="shared" ca="1" si="91"/>
        <v>10452.333756279477</v>
      </c>
      <c r="BN89" s="65">
        <f t="shared" ca="1" si="92"/>
        <v>10452.333756279477</v>
      </c>
      <c r="BO89" s="65">
        <f t="shared" ca="1" si="93"/>
        <v>7126.5911974632791</v>
      </c>
      <c r="BP89" s="65">
        <f t="shared" ca="1" si="94"/>
        <v>0</v>
      </c>
      <c r="BQ89" s="65">
        <f t="shared" ca="1" si="95"/>
        <v>0</v>
      </c>
      <c r="BR89" s="65">
        <f t="shared" ca="1" si="96"/>
        <v>4494028.4091203436</v>
      </c>
      <c r="BS89" s="65">
        <f t="shared" ca="1" si="97"/>
        <v>4423712.709305373</v>
      </c>
      <c r="BT89" s="65">
        <f t="shared" ca="1" si="98"/>
        <v>57012.729579706232</v>
      </c>
      <c r="BU89" s="65">
        <f t="shared" ca="1" si="75"/>
        <v>13302.970235264642</v>
      </c>
    </row>
    <row r="90" spans="1:73">
      <c r="A90" s="42">
        <f t="shared" si="76"/>
        <v>40575</v>
      </c>
      <c r="B90" s="30">
        <f>Inputs!$B$8</f>
        <v>50000</v>
      </c>
      <c r="C90" s="17">
        <f t="shared" si="66"/>
        <v>1400000</v>
      </c>
      <c r="D90" s="17">
        <f t="shared" ca="1" si="67"/>
        <v>853541.52389149077</v>
      </c>
      <c r="E90" s="25">
        <f>VLOOKUP($A90,[1]!CurveTable,MATCH($E$4,[1]!CurveType,0))</f>
        <v>4.5025000000000004</v>
      </c>
      <c r="F90" s="31">
        <f>E90-Inputs!$B$16</f>
        <v>4.5575000000000001</v>
      </c>
      <c r="G90" s="43">
        <f t="shared" ref="G90:G109" si="103">F90</f>
        <v>4.5575000000000001</v>
      </c>
      <c r="H90" s="25">
        <f>VLOOKUP($A90,[1]!CurveTable,MATCH($H$4,[1]!CurveType,0))</f>
        <v>7.4999999999999997E-2</v>
      </c>
      <c r="I90" s="31">
        <f>H90+Inputs!$B$22</f>
        <v>7.4999999999999997E-2</v>
      </c>
      <c r="J90" s="44">
        <f t="shared" ref="J90:J109" si="104">I90</f>
        <v>7.4999999999999997E-2</v>
      </c>
      <c r="K90" s="25">
        <f>VLOOKUP($A90,[1]!CurveTable,MATCH($K$4,[1]!CurveType,0))</f>
        <v>0</v>
      </c>
      <c r="L90" s="31">
        <v>0</v>
      </c>
      <c r="M90" s="45">
        <f t="shared" ref="M90:M109" si="105">L90</f>
        <v>0</v>
      </c>
      <c r="N90" s="25">
        <f>VLOOKUP($A90,[1]!CurveTable,MATCH($N$4,[1]!CurveType,0))</f>
        <v>1.1000000000000001E-2</v>
      </c>
      <c r="O90" s="31">
        <f>N90+Inputs!$E$22</f>
        <v>1.1000000000000001E-2</v>
      </c>
      <c r="P90" s="45">
        <f t="shared" ref="P90:P109" si="106">O90</f>
        <v>1.1000000000000001E-2</v>
      </c>
      <c r="Q90" s="25">
        <f>VLOOKUP($A90,[1]!CurveTable,MATCH($Q$4,[1]!CurveType,0))</f>
        <v>7.4999999999999997E-3</v>
      </c>
      <c r="R90" s="31">
        <v>0</v>
      </c>
      <c r="S90" s="45">
        <f t="shared" ref="S90:S109" si="107">R90</f>
        <v>0</v>
      </c>
      <c r="T90" s="4"/>
      <c r="U90" s="159">
        <f t="shared" si="77"/>
        <v>4.6325000000000003</v>
      </c>
      <c r="V90" s="160"/>
      <c r="W90" s="100">
        <f>VLOOKUP($A90,[1]!CurveTable,MATCH($W$4,[1]!CurveType,0))+$W$9</f>
        <v>0.185</v>
      </c>
      <c r="X90" s="100">
        <f>VLOOKUP($A90,[1]!CurveTable,MATCH($X$4,[1]!CurveType,0))+$X$9</f>
        <v>0.19</v>
      </c>
      <c r="Y90" s="158">
        <f t="shared" ca="1" si="68"/>
        <v>0.19127954849288459</v>
      </c>
      <c r="Z90" s="4"/>
      <c r="AA90" s="159">
        <f t="shared" si="78"/>
        <v>4.5685000000000002</v>
      </c>
      <c r="AB90" s="160"/>
      <c r="AC90" s="100">
        <f>VLOOKUP($A90,[1]!CurveTable,MATCH($AC$4,[1]!CurveType,0))+$AC$9</f>
        <v>0.185</v>
      </c>
      <c r="AD90" s="100">
        <f>VLOOKUP($A90,[1]!CurveTable,MATCH($AD$4,[1]!CurveType,0))+$AD$9</f>
        <v>0.19</v>
      </c>
      <c r="AE90" s="158">
        <f t="shared" ca="1" si="69"/>
        <v>0.19127954849288459</v>
      </c>
      <c r="AF90" s="4"/>
      <c r="AG90" s="52">
        <f ca="1">((Inputs!$F$20*(X90*AD90)*(A90-$C$3))+(Inputs!$F$19*W90*AC90*(DAY(EOMONTH(A90,0))/2)))/(AN90*Y90*AE90)</f>
        <v>0.75000000000000011</v>
      </c>
      <c r="AH90" s="4"/>
      <c r="AI90" s="18">
        <f>Inputs!$B$15</f>
        <v>0.06</v>
      </c>
      <c r="AJ90" s="46"/>
      <c r="AK90" s="18">
        <f t="shared" si="70"/>
        <v>4.0000000000000591E-3</v>
      </c>
      <c r="AL90" s="46"/>
      <c r="AM90" s="62">
        <f t="shared" si="71"/>
        <v>40543</v>
      </c>
      <c r="AN90" s="63">
        <f t="shared" ca="1" si="72"/>
        <v>3350</v>
      </c>
      <c r="AO90" s="63">
        <f t="shared" si="99"/>
        <v>1</v>
      </c>
      <c r="AP90" s="19"/>
      <c r="AQ90" s="74">
        <f ca="1">_xll.SPRDOPT(U90,AA90,AI90,AX90,X90,AD90,AG90,AN90,AO90,0)</f>
        <v>0.45352604425115861</v>
      </c>
      <c r="AR90" s="47">
        <f t="shared" ca="1" si="79"/>
        <v>634936.46195162204</v>
      </c>
      <c r="AS90" s="135">
        <f t="shared" ca="1" si="80"/>
        <v>0.44952604425115855</v>
      </c>
      <c r="AU90" s="5">
        <f t="shared" si="100"/>
        <v>28</v>
      </c>
      <c r="AV90" s="148">
        <f t="shared" si="73"/>
        <v>40589</v>
      </c>
      <c r="AW90" s="41">
        <f t="shared" ca="1" si="74"/>
        <v>3396</v>
      </c>
      <c r="AX90" s="100">
        <f>VLOOKUP($A90,[1]!CurveTable,MATCH(AX$4,[1]!CurveType,0))</f>
        <v>5.3935246894573699E-2</v>
      </c>
      <c r="AY90" s="149">
        <f ca="1">1/(1+CHOOSE(F$3,(AX91+(Inputs!$B$14/10000))/2,(AX90+(Inputs!$B$14/10000))/2))^(2*AW90/365.25)</f>
        <v>0.60967251706535053</v>
      </c>
      <c r="AZ90" s="41">
        <f t="shared" si="101"/>
        <v>1</v>
      </c>
      <c r="BA90" s="72">
        <f t="shared" si="102"/>
        <v>28</v>
      </c>
      <c r="BC90" s="65">
        <f t="shared" ca="1" si="81"/>
        <v>3843070.7113214377</v>
      </c>
      <c r="BD90" s="65">
        <f t="shared" ca="1" si="82"/>
        <v>3890015.4951354694</v>
      </c>
      <c r="BE90" s="65">
        <f t="shared" ca="1" si="83"/>
        <v>3890015.4951354694</v>
      </c>
      <c r="BF90" s="65">
        <f t="shared" ca="1" si="84"/>
        <v>64015.614291861806</v>
      </c>
      <c r="BG90" s="65">
        <f t="shared" ca="1" si="85"/>
        <v>64015.614291861806</v>
      </c>
      <c r="BH90" s="65">
        <f t="shared" ca="1" si="86"/>
        <v>64015.614291861806</v>
      </c>
      <c r="BI90" s="65">
        <f t="shared" ca="1" si="87"/>
        <v>0</v>
      </c>
      <c r="BJ90" s="65">
        <f t="shared" ca="1" si="88"/>
        <v>0</v>
      </c>
      <c r="BK90" s="65">
        <f t="shared" ca="1" si="89"/>
        <v>0</v>
      </c>
      <c r="BL90" s="65">
        <f t="shared" ca="1" si="90"/>
        <v>9388.9567628063996</v>
      </c>
      <c r="BM90" s="65">
        <f t="shared" ca="1" si="91"/>
        <v>9388.9567628063996</v>
      </c>
      <c r="BN90" s="65">
        <f t="shared" ca="1" si="92"/>
        <v>9388.9567628063996</v>
      </c>
      <c r="BO90" s="65">
        <f t="shared" ca="1" si="93"/>
        <v>6401.5614291861802</v>
      </c>
      <c r="BP90" s="65">
        <f t="shared" ca="1" si="94"/>
        <v>0</v>
      </c>
      <c r="BQ90" s="65">
        <f t="shared" ca="1" si="95"/>
        <v>0</v>
      </c>
      <c r="BR90" s="65">
        <f t="shared" ca="1" si="96"/>
        <v>3954031.109427331</v>
      </c>
      <c r="BS90" s="65">
        <f t="shared" ca="1" si="97"/>
        <v>3899404.4518982759</v>
      </c>
      <c r="BT90" s="65">
        <f t="shared" ca="1" si="98"/>
        <v>51212.491433489442</v>
      </c>
      <c r="BU90" s="65">
        <f t="shared" ca="1" si="75"/>
        <v>3414.1660955660136</v>
      </c>
    </row>
    <row r="91" spans="1:73">
      <c r="A91" s="42">
        <f t="shared" si="76"/>
        <v>40603</v>
      </c>
      <c r="B91" s="30">
        <f>Inputs!$B$8</f>
        <v>50000</v>
      </c>
      <c r="C91" s="17">
        <f t="shared" si="66"/>
        <v>1550000</v>
      </c>
      <c r="D91" s="17">
        <f t="shared" ca="1" si="67"/>
        <v>940287.71219349478</v>
      </c>
      <c r="E91" s="25">
        <f>VLOOKUP($A91,[1]!CurveTable,MATCH($E$4,[1]!CurveType,0))</f>
        <v>4.3635000000000002</v>
      </c>
      <c r="F91" s="31">
        <f>E91-Inputs!$B$16</f>
        <v>4.4184999999999999</v>
      </c>
      <c r="G91" s="43">
        <f t="shared" si="103"/>
        <v>4.4184999999999999</v>
      </c>
      <c r="H91" s="25">
        <f>VLOOKUP($A91,[1]!CurveTable,MATCH($H$4,[1]!CurveType,0))</f>
        <v>0.115</v>
      </c>
      <c r="I91" s="31">
        <f>H91+Inputs!$B$22</f>
        <v>0.115</v>
      </c>
      <c r="J91" s="44">
        <f t="shared" si="104"/>
        <v>0.115</v>
      </c>
      <c r="K91" s="25">
        <f>VLOOKUP($A91,[1]!CurveTable,MATCH($K$4,[1]!CurveType,0))</f>
        <v>0</v>
      </c>
      <c r="L91" s="31">
        <v>0</v>
      </c>
      <c r="M91" s="45">
        <f t="shared" si="105"/>
        <v>0</v>
      </c>
      <c r="N91" s="25">
        <f>VLOOKUP($A91,[1]!CurveTable,MATCH($N$4,[1]!CurveType,0))</f>
        <v>1.4999999999999999E-2</v>
      </c>
      <c r="O91" s="31">
        <f>N91+Inputs!$E$22</f>
        <v>1.4999999999999999E-2</v>
      </c>
      <c r="P91" s="45">
        <f t="shared" si="106"/>
        <v>1.4999999999999999E-2</v>
      </c>
      <c r="Q91" s="25">
        <f>VLOOKUP($A91,[1]!CurveTable,MATCH($Q$4,[1]!CurveType,0))</f>
        <v>7.4999999999999997E-3</v>
      </c>
      <c r="R91" s="31">
        <v>0</v>
      </c>
      <c r="S91" s="45">
        <f t="shared" si="107"/>
        <v>0</v>
      </c>
      <c r="T91" s="4"/>
      <c r="U91" s="159">
        <f t="shared" si="77"/>
        <v>4.5335000000000001</v>
      </c>
      <c r="V91" s="160"/>
      <c r="W91" s="100">
        <f>VLOOKUP($A91,[1]!CurveTable,MATCH($W$4,[1]!CurveType,0))+$W$9</f>
        <v>0.18</v>
      </c>
      <c r="X91" s="100">
        <f>VLOOKUP($A91,[1]!CurveTable,MATCH($X$4,[1]!CurveType,0))+$X$9</f>
        <v>0.185</v>
      </c>
      <c r="Y91" s="158">
        <f t="shared" ca="1" si="68"/>
        <v>0.18619101893986648</v>
      </c>
      <c r="Z91" s="4"/>
      <c r="AA91" s="159">
        <f t="shared" si="78"/>
        <v>4.4334999999999996</v>
      </c>
      <c r="AB91" s="160"/>
      <c r="AC91" s="100">
        <f>VLOOKUP($A91,[1]!CurveTable,MATCH($AC$4,[1]!CurveType,0))+$AC$9</f>
        <v>0.18</v>
      </c>
      <c r="AD91" s="100">
        <f>VLOOKUP($A91,[1]!CurveTable,MATCH($AD$4,[1]!CurveType,0))+$AD$9</f>
        <v>0.185</v>
      </c>
      <c r="AE91" s="158">
        <f t="shared" ca="1" si="69"/>
        <v>0.18619101893986648</v>
      </c>
      <c r="AF91" s="4"/>
      <c r="AG91" s="52">
        <f ca="1">((Inputs!$F$20*(X91*AD91)*(A91-$C$3))+(Inputs!$F$19*W91*AC91*(DAY(EOMONTH(A91,0))/2)))/(AN91*Y91*AE91)</f>
        <v>0.75</v>
      </c>
      <c r="AH91" s="4"/>
      <c r="AI91" s="18">
        <f>Inputs!$B$15</f>
        <v>0.06</v>
      </c>
      <c r="AJ91" s="46"/>
      <c r="AK91" s="18">
        <f t="shared" si="70"/>
        <v>4.0000000000000535E-2</v>
      </c>
      <c r="AL91" s="46"/>
      <c r="AM91" s="62">
        <f t="shared" si="71"/>
        <v>40574</v>
      </c>
      <c r="AN91" s="63">
        <f t="shared" ca="1" si="72"/>
        <v>3381</v>
      </c>
      <c r="AO91" s="63">
        <f t="shared" si="99"/>
        <v>1</v>
      </c>
      <c r="AP91" s="19"/>
      <c r="AQ91" s="74">
        <f ca="1">_xll.SPRDOPT(U91,AA91,AI91,AX91,X91,AD91,AG91,AN91,AO91,0)</f>
        <v>0.44117734804283859</v>
      </c>
      <c r="AR91" s="47">
        <f t="shared" ca="1" si="79"/>
        <v>683824.88946639979</v>
      </c>
      <c r="AS91" s="135">
        <f t="shared" ca="1" si="80"/>
        <v>0.40117734804283806</v>
      </c>
      <c r="AU91" s="5">
        <f t="shared" si="100"/>
        <v>31</v>
      </c>
      <c r="AV91" s="148">
        <f t="shared" si="73"/>
        <v>40617</v>
      </c>
      <c r="AW91" s="41">
        <f t="shared" ca="1" si="74"/>
        <v>3424</v>
      </c>
      <c r="AX91" s="100">
        <f>VLOOKUP($A91,[1]!CurveTable,MATCH(AX$4,[1]!CurveType,0))</f>
        <v>5.4035058720790299E-2</v>
      </c>
      <c r="AY91" s="149">
        <f ca="1">1/(1+CHOOSE(F$3,(AX92+(Inputs!$B$14/10000))/2,(AX91+(Inputs!$B$14/10000))/2))^(2*AW91/365.25)</f>
        <v>0.60663723367322242</v>
      </c>
      <c r="AZ91" s="41">
        <f t="shared" si="101"/>
        <v>1</v>
      </c>
      <c r="BA91" s="72">
        <f t="shared" si="102"/>
        <v>31</v>
      </c>
      <c r="BC91" s="65">
        <f t="shared" ca="1" si="81"/>
        <v>4102945.4321563146</v>
      </c>
      <c r="BD91" s="65">
        <f t="shared" ca="1" si="82"/>
        <v>4154661.2563269567</v>
      </c>
      <c r="BE91" s="65">
        <f t="shared" ca="1" si="83"/>
        <v>4154661.2563269567</v>
      </c>
      <c r="BF91" s="65">
        <f t="shared" ca="1" si="84"/>
        <v>108133.0869022519</v>
      </c>
      <c r="BG91" s="65">
        <f t="shared" ca="1" si="85"/>
        <v>108133.0869022519</v>
      </c>
      <c r="BH91" s="65">
        <f t="shared" ca="1" si="86"/>
        <v>108133.0869022519</v>
      </c>
      <c r="BI91" s="65">
        <f t="shared" ca="1" si="87"/>
        <v>0</v>
      </c>
      <c r="BJ91" s="65">
        <f t="shared" ca="1" si="88"/>
        <v>0</v>
      </c>
      <c r="BK91" s="65">
        <f t="shared" ca="1" si="89"/>
        <v>0</v>
      </c>
      <c r="BL91" s="65">
        <f t="shared" ca="1" si="90"/>
        <v>14104.315682902421</v>
      </c>
      <c r="BM91" s="65">
        <f t="shared" ca="1" si="91"/>
        <v>14104.315682902421</v>
      </c>
      <c r="BN91" s="65">
        <f t="shared" ca="1" si="92"/>
        <v>14104.315682902421</v>
      </c>
      <c r="BO91" s="65">
        <f t="shared" ca="1" si="93"/>
        <v>7052.1578414512105</v>
      </c>
      <c r="BP91" s="65">
        <f t="shared" ca="1" si="94"/>
        <v>0</v>
      </c>
      <c r="BQ91" s="65">
        <f t="shared" ca="1" si="95"/>
        <v>0</v>
      </c>
      <c r="BR91" s="65">
        <f t="shared" ca="1" si="96"/>
        <v>4262794.3432292091</v>
      </c>
      <c r="BS91" s="65">
        <f t="shared" ca="1" si="97"/>
        <v>4168765.5720098587</v>
      </c>
      <c r="BT91" s="65">
        <f t="shared" ca="1" si="98"/>
        <v>56417.262731609684</v>
      </c>
      <c r="BU91" s="65">
        <f t="shared" ca="1" si="75"/>
        <v>37611.508487740291</v>
      </c>
    </row>
    <row r="92" spans="1:73">
      <c r="A92" s="42">
        <f t="shared" si="76"/>
        <v>40634</v>
      </c>
      <c r="B92" s="30">
        <f>Inputs!$B$8</f>
        <v>50000</v>
      </c>
      <c r="C92" s="17">
        <f t="shared" si="66"/>
        <v>1500000</v>
      </c>
      <c r="D92" s="17">
        <f t="shared" ca="1" si="67"/>
        <v>904925.86554595968</v>
      </c>
      <c r="E92" s="25">
        <f>VLOOKUP($A92,[1]!CurveTable,MATCH($E$4,[1]!CurveType,0))</f>
        <v>4.2095000000000002</v>
      </c>
      <c r="F92" s="31">
        <f>E92-Inputs!$B$16</f>
        <v>4.2645</v>
      </c>
      <c r="G92" s="43">
        <f t="shared" si="103"/>
        <v>4.2645</v>
      </c>
      <c r="H92" s="25">
        <f>VLOOKUP($A92,[1]!CurveTable,MATCH($H$4,[1]!CurveType,0))</f>
        <v>0.55000000000000004</v>
      </c>
      <c r="I92" s="31">
        <f>H92+Inputs!$B$22</f>
        <v>0.55000000000000004</v>
      </c>
      <c r="J92" s="44">
        <f t="shared" si="104"/>
        <v>0.55000000000000004</v>
      </c>
      <c r="K92" s="25">
        <f>VLOOKUP($A92,[1]!CurveTable,MATCH($K$4,[1]!CurveType,0))</f>
        <v>0</v>
      </c>
      <c r="L92" s="31">
        <v>0</v>
      </c>
      <c r="M92" s="45">
        <f t="shared" si="105"/>
        <v>0</v>
      </c>
      <c r="N92" s="25">
        <f>VLOOKUP($A92,[1]!CurveTable,MATCH($N$4,[1]!CurveType,0))</f>
        <v>1.4999999999999999E-2</v>
      </c>
      <c r="O92" s="31">
        <f>N92+Inputs!$E$22</f>
        <v>1.4999999999999999E-2</v>
      </c>
      <c r="P92" s="45">
        <f t="shared" si="106"/>
        <v>1.4999999999999999E-2</v>
      </c>
      <c r="Q92" s="25">
        <f>VLOOKUP($A92,[1]!CurveTable,MATCH($Q$4,[1]!CurveType,0))</f>
        <v>0.01</v>
      </c>
      <c r="R92" s="31">
        <v>0</v>
      </c>
      <c r="S92" s="45">
        <f t="shared" si="107"/>
        <v>0</v>
      </c>
      <c r="T92" s="4"/>
      <c r="U92" s="159">
        <f t="shared" si="77"/>
        <v>4.8144999999999998</v>
      </c>
      <c r="V92" s="160"/>
      <c r="W92" s="100">
        <f>VLOOKUP($A92,[1]!CurveTable,MATCH($W$4,[1]!CurveType,0))+$W$9</f>
        <v>0.18</v>
      </c>
      <c r="X92" s="100">
        <f>VLOOKUP($A92,[1]!CurveTable,MATCH($X$4,[1]!CurveType,0))+$X$9</f>
        <v>0.185</v>
      </c>
      <c r="Y92" s="158">
        <f t="shared" ca="1" si="68"/>
        <v>0.18624937861774005</v>
      </c>
      <c r="Z92" s="4"/>
      <c r="AA92" s="159">
        <f t="shared" si="78"/>
        <v>4.2794999999999996</v>
      </c>
      <c r="AB92" s="160"/>
      <c r="AC92" s="100">
        <f>VLOOKUP($A92,[1]!CurveTable,MATCH($AC$4,[1]!CurveType,0))+$AC$9</f>
        <v>0.18</v>
      </c>
      <c r="AD92" s="100">
        <f>VLOOKUP($A92,[1]!CurveTable,MATCH($AD$4,[1]!CurveType,0))+$AD$9</f>
        <v>0.185</v>
      </c>
      <c r="AE92" s="158">
        <f t="shared" ca="1" si="69"/>
        <v>0.18624937861774005</v>
      </c>
      <c r="AF92" s="4"/>
      <c r="AG92" s="52">
        <f ca="1">((Inputs!$F$20*(X92*AD92)*(A92-$C$3))+(Inputs!$F$19*W92*AC92*(DAY(EOMONTH(A92,0))/2)))/(AN92*Y92*AE92)</f>
        <v>0.74999999999999989</v>
      </c>
      <c r="AH92" s="4"/>
      <c r="AI92" s="18">
        <f>Inputs!$B$15</f>
        <v>0.06</v>
      </c>
      <c r="AJ92" s="46"/>
      <c r="AK92" s="18">
        <f t="shared" si="70"/>
        <v>0.47500000000000014</v>
      </c>
      <c r="AL92" s="46"/>
      <c r="AM92" s="62">
        <f t="shared" si="71"/>
        <v>40602</v>
      </c>
      <c r="AN92" s="63">
        <f t="shared" ca="1" si="72"/>
        <v>3409</v>
      </c>
      <c r="AO92" s="63">
        <f t="shared" si="99"/>
        <v>1</v>
      </c>
      <c r="AP92" s="19"/>
      <c r="AQ92" s="74">
        <f ca="1">_xll.SPRDOPT(U92,AA92,AI92,AX92,X92,AD92,AG92,AN92,AO92,0)</f>
        <v>0.59232182380518672</v>
      </c>
      <c r="AR92" s="47">
        <f t="shared" ca="1" si="79"/>
        <v>888482.73570778011</v>
      </c>
      <c r="AS92" s="135">
        <f t="shared" ca="1" si="80"/>
        <v>0.11732182380518658</v>
      </c>
      <c r="AU92" s="5">
        <f t="shared" si="100"/>
        <v>30</v>
      </c>
      <c r="AV92" s="148">
        <f t="shared" si="73"/>
        <v>40648</v>
      </c>
      <c r="AW92" s="41">
        <f t="shared" ca="1" si="74"/>
        <v>3455</v>
      </c>
      <c r="AX92" s="100">
        <f>VLOOKUP($A92,[1]!CurveTable,MATCH(AX$4,[1]!CurveType,0))</f>
        <v>5.4145564675116602E-2</v>
      </c>
      <c r="AY92" s="149">
        <f ca="1">1/(1+CHOOSE(F$3,(AX93+(Inputs!$B$14/10000))/2,(AX92+(Inputs!$B$14/10000))/2))^(2*AW92/365.25)</f>
        <v>0.60328391036397311</v>
      </c>
      <c r="AZ92" s="41">
        <f t="shared" si="101"/>
        <v>1</v>
      </c>
      <c r="BA92" s="72">
        <f t="shared" si="102"/>
        <v>30</v>
      </c>
      <c r="BC92" s="65">
        <f t="shared" ca="1" si="81"/>
        <v>3809285.4310157173</v>
      </c>
      <c r="BD92" s="65">
        <f t="shared" ca="1" si="82"/>
        <v>3859056.3536207448</v>
      </c>
      <c r="BE92" s="65">
        <f t="shared" ca="1" si="83"/>
        <v>3859056.3536207448</v>
      </c>
      <c r="BF92" s="65">
        <f t="shared" ca="1" si="84"/>
        <v>497709.22605027788</v>
      </c>
      <c r="BG92" s="65">
        <f t="shared" ca="1" si="85"/>
        <v>497709.22605027788</v>
      </c>
      <c r="BH92" s="65">
        <f t="shared" ca="1" si="86"/>
        <v>497709.22605027788</v>
      </c>
      <c r="BI92" s="65">
        <f t="shared" ca="1" si="87"/>
        <v>0</v>
      </c>
      <c r="BJ92" s="65">
        <f t="shared" ca="1" si="88"/>
        <v>0</v>
      </c>
      <c r="BK92" s="65">
        <f t="shared" ca="1" si="89"/>
        <v>0</v>
      </c>
      <c r="BL92" s="65">
        <f t="shared" ca="1" si="90"/>
        <v>13573.887983189396</v>
      </c>
      <c r="BM92" s="65">
        <f t="shared" ca="1" si="91"/>
        <v>13573.887983189396</v>
      </c>
      <c r="BN92" s="65">
        <f t="shared" ca="1" si="92"/>
        <v>13573.887983189396</v>
      </c>
      <c r="BO92" s="65">
        <f t="shared" ca="1" si="93"/>
        <v>9049.2586554595964</v>
      </c>
      <c r="BP92" s="65">
        <f t="shared" ca="1" si="94"/>
        <v>0</v>
      </c>
      <c r="BQ92" s="65">
        <f t="shared" ca="1" si="95"/>
        <v>0</v>
      </c>
      <c r="BR92" s="65">
        <f t="shared" ca="1" si="96"/>
        <v>4356765.5796710225</v>
      </c>
      <c r="BS92" s="65">
        <f t="shared" ca="1" si="97"/>
        <v>3872630.2416039342</v>
      </c>
      <c r="BT92" s="65">
        <f t="shared" ca="1" si="98"/>
        <v>54295.551932757582</v>
      </c>
      <c r="BU92" s="65">
        <f t="shared" ca="1" si="75"/>
        <v>429839.78613433096</v>
      </c>
    </row>
    <row r="93" spans="1:73">
      <c r="A93" s="42">
        <f t="shared" si="76"/>
        <v>40664</v>
      </c>
      <c r="B93" s="30">
        <f>Inputs!$B$8</f>
        <v>50000</v>
      </c>
      <c r="C93" s="17">
        <f t="shared" si="66"/>
        <v>1550000</v>
      </c>
      <c r="D93" s="17">
        <f t="shared" ca="1" si="67"/>
        <v>930071.30859268853</v>
      </c>
      <c r="E93" s="25">
        <f>VLOOKUP($A93,[1]!CurveTable,MATCH($E$4,[1]!CurveType,0))</f>
        <v>4.2145000000000001</v>
      </c>
      <c r="F93" s="31">
        <f>E93-Inputs!$B$16</f>
        <v>4.2694999999999999</v>
      </c>
      <c r="G93" s="43">
        <f t="shared" si="103"/>
        <v>4.2694999999999999</v>
      </c>
      <c r="H93" s="25">
        <f>VLOOKUP($A93,[1]!CurveTable,MATCH($H$4,[1]!CurveType,0))</f>
        <v>0.7</v>
      </c>
      <c r="I93" s="31">
        <f>H93+Inputs!$B$22</f>
        <v>0.7</v>
      </c>
      <c r="J93" s="44">
        <f t="shared" si="104"/>
        <v>0.7</v>
      </c>
      <c r="K93" s="25">
        <f>VLOOKUP($A93,[1]!CurveTable,MATCH($K$4,[1]!CurveType,0))</f>
        <v>0</v>
      </c>
      <c r="L93" s="31">
        <v>0</v>
      </c>
      <c r="M93" s="45">
        <f t="shared" si="105"/>
        <v>0</v>
      </c>
      <c r="N93" s="25">
        <f>VLOOKUP($A93,[1]!CurveTable,MATCH($N$4,[1]!CurveType,0))</f>
        <v>1.7500000000000002E-2</v>
      </c>
      <c r="O93" s="31">
        <f>N93+Inputs!$E$22</f>
        <v>1.7500000000000002E-2</v>
      </c>
      <c r="P93" s="45">
        <f t="shared" si="106"/>
        <v>1.7500000000000002E-2</v>
      </c>
      <c r="Q93" s="25">
        <f>VLOOKUP($A93,[1]!CurveTable,MATCH($Q$4,[1]!CurveType,0))</f>
        <v>0.01</v>
      </c>
      <c r="R93" s="31">
        <v>0</v>
      </c>
      <c r="S93" s="45">
        <f t="shared" si="107"/>
        <v>0</v>
      </c>
      <c r="T93" s="4"/>
      <c r="U93" s="159">
        <f t="shared" si="77"/>
        <v>4.9695</v>
      </c>
      <c r="V93" s="160"/>
      <c r="W93" s="100">
        <f>VLOOKUP($A93,[1]!CurveTable,MATCH($W$4,[1]!CurveType,0))+$W$9</f>
        <v>0.36</v>
      </c>
      <c r="X93" s="100">
        <f>VLOOKUP($A93,[1]!CurveTable,MATCH($X$4,[1]!CurveType,0))+$X$9</f>
        <v>0.36499999999999999</v>
      </c>
      <c r="Y93" s="158">
        <f t="shared" ca="1" si="68"/>
        <v>0.36743642663225301</v>
      </c>
      <c r="Z93" s="4"/>
      <c r="AA93" s="159">
        <f t="shared" si="78"/>
        <v>4.2869999999999999</v>
      </c>
      <c r="AB93" s="160"/>
      <c r="AC93" s="100">
        <f>VLOOKUP($A93,[1]!CurveTable,MATCH($AC$4,[1]!CurveType,0))+$AC$9</f>
        <v>0.18</v>
      </c>
      <c r="AD93" s="100">
        <f>VLOOKUP($A93,[1]!CurveTable,MATCH($AD$4,[1]!CurveType,0))+$AD$9</f>
        <v>0.185</v>
      </c>
      <c r="AE93" s="158">
        <f t="shared" ca="1" si="69"/>
        <v>0.18622408903578855</v>
      </c>
      <c r="AF93" s="4"/>
      <c r="AG93" s="52">
        <f ca="1">((Inputs!$F$20*(X93*AD93)*(A93-$C$3))+(Inputs!$F$19*W93*AC93*(DAY(EOMONTH(A93,0))/2)))/(AN93*Y93*AE93)</f>
        <v>0.74999970504914204</v>
      </c>
      <c r="AH93" s="4"/>
      <c r="AI93" s="18">
        <f>Inputs!$B$15</f>
        <v>0.06</v>
      </c>
      <c r="AJ93" s="46"/>
      <c r="AK93" s="18">
        <f t="shared" si="70"/>
        <v>0.62250000000000005</v>
      </c>
      <c r="AL93" s="46"/>
      <c r="AM93" s="62">
        <f t="shared" si="71"/>
        <v>40633</v>
      </c>
      <c r="AN93" s="63">
        <f t="shared" ca="1" si="72"/>
        <v>3440</v>
      </c>
      <c r="AO93" s="63">
        <f t="shared" si="99"/>
        <v>1</v>
      </c>
      <c r="AP93" s="19"/>
      <c r="AQ93" s="74">
        <f ca="1">_xll.SPRDOPT(U93,AA93,AI93,AX93,X93,AD93,AG93,AN93,AO93,0)</f>
        <v>1.0588177096268454</v>
      </c>
      <c r="AR93" s="47">
        <f t="shared" ca="1" si="79"/>
        <v>1641167.4499216103</v>
      </c>
      <c r="AS93" s="135">
        <f t="shared" ca="1" si="80"/>
        <v>0.43631770962684535</v>
      </c>
      <c r="AU93" s="5">
        <f t="shared" si="100"/>
        <v>31</v>
      </c>
      <c r="AV93" s="148">
        <f t="shared" si="73"/>
        <v>40678</v>
      </c>
      <c r="AW93" s="41">
        <f t="shared" ca="1" si="74"/>
        <v>3485</v>
      </c>
      <c r="AX93" s="100">
        <f>VLOOKUP($A93,[1]!CurveTable,MATCH(AX$4,[1]!CurveType,0))</f>
        <v>5.4252505925112403E-2</v>
      </c>
      <c r="AY93" s="149">
        <f ca="1">1/(1+CHOOSE(F$3,(AX94+(Inputs!$B$14/10000))/2,(AX93+(Inputs!$B$14/10000))/2))^(2*AW93/365.25)</f>
        <v>0.60004600554367005</v>
      </c>
      <c r="AZ93" s="41">
        <f t="shared" si="101"/>
        <v>1</v>
      </c>
      <c r="BA93" s="72">
        <f t="shared" si="102"/>
        <v>31</v>
      </c>
      <c r="BC93" s="65">
        <f t="shared" ca="1" si="81"/>
        <v>3919785.5300638857</v>
      </c>
      <c r="BD93" s="65">
        <f t="shared" ca="1" si="82"/>
        <v>3970939.4520364837</v>
      </c>
      <c r="BE93" s="65">
        <f t="shared" ca="1" si="83"/>
        <v>3970939.4520364837</v>
      </c>
      <c r="BF93" s="65">
        <f t="shared" ca="1" si="84"/>
        <v>651049.91601488192</v>
      </c>
      <c r="BG93" s="65">
        <f t="shared" ca="1" si="85"/>
        <v>651049.91601488192</v>
      </c>
      <c r="BH93" s="65">
        <f t="shared" ca="1" si="86"/>
        <v>651049.91601488192</v>
      </c>
      <c r="BI93" s="65">
        <f t="shared" ca="1" si="87"/>
        <v>0</v>
      </c>
      <c r="BJ93" s="65">
        <f t="shared" ca="1" si="88"/>
        <v>0</v>
      </c>
      <c r="BK93" s="65">
        <f t="shared" ca="1" si="89"/>
        <v>0</v>
      </c>
      <c r="BL93" s="65">
        <f t="shared" ca="1" si="90"/>
        <v>16276.247900372051</v>
      </c>
      <c r="BM93" s="65">
        <f t="shared" ca="1" si="91"/>
        <v>16276.247900372051</v>
      </c>
      <c r="BN93" s="65">
        <f t="shared" ca="1" si="92"/>
        <v>16276.247900372051</v>
      </c>
      <c r="BO93" s="65">
        <f t="shared" ca="1" si="93"/>
        <v>9300.7130859268855</v>
      </c>
      <c r="BP93" s="65">
        <f t="shared" ca="1" si="94"/>
        <v>0</v>
      </c>
      <c r="BQ93" s="65">
        <f t="shared" ca="1" si="95"/>
        <v>0</v>
      </c>
      <c r="BR93" s="65">
        <f t="shared" ca="1" si="96"/>
        <v>4621989.3680513659</v>
      </c>
      <c r="BS93" s="65">
        <f t="shared" ca="1" si="97"/>
        <v>3987215.6999368556</v>
      </c>
      <c r="BT93" s="65">
        <f t="shared" ca="1" si="98"/>
        <v>55804.278515561309</v>
      </c>
      <c r="BU93" s="65">
        <f t="shared" ca="1" si="75"/>
        <v>578969.38959894865</v>
      </c>
    </row>
    <row r="94" spans="1:73">
      <c r="A94" s="42">
        <f t="shared" si="76"/>
        <v>40695</v>
      </c>
      <c r="B94" s="30">
        <f>Inputs!$B$8</f>
        <v>50000</v>
      </c>
      <c r="C94" s="17">
        <f t="shared" si="66"/>
        <v>1500000</v>
      </c>
      <c r="D94" s="17">
        <f t="shared" ca="1" si="67"/>
        <v>895061.60539262707</v>
      </c>
      <c r="E94" s="25">
        <f>VLOOKUP($A94,[1]!CurveTable,MATCH($E$4,[1]!CurveType,0))</f>
        <v>4.2525000000000004</v>
      </c>
      <c r="F94" s="31">
        <f>E94-Inputs!$B$16</f>
        <v>4.3075000000000001</v>
      </c>
      <c r="G94" s="43">
        <f t="shared" si="103"/>
        <v>4.3075000000000001</v>
      </c>
      <c r="H94" s="25">
        <f>VLOOKUP($A94,[1]!CurveTable,MATCH($H$4,[1]!CurveType,0))</f>
        <v>0.8</v>
      </c>
      <c r="I94" s="31">
        <f>H94+Inputs!$B$22</f>
        <v>0.8</v>
      </c>
      <c r="J94" s="44">
        <f t="shared" si="104"/>
        <v>0.8</v>
      </c>
      <c r="K94" s="25">
        <f>VLOOKUP($A94,[1]!CurveTable,MATCH($K$4,[1]!CurveType,0))</f>
        <v>0</v>
      </c>
      <c r="L94" s="31">
        <v>0</v>
      </c>
      <c r="M94" s="45">
        <f t="shared" si="105"/>
        <v>0</v>
      </c>
      <c r="N94" s="25">
        <f>VLOOKUP($A94,[1]!CurveTable,MATCH($N$4,[1]!CurveType,0))</f>
        <v>1.4999999999999999E-2</v>
      </c>
      <c r="O94" s="31">
        <f>N94+Inputs!$E$22</f>
        <v>1.4999999999999999E-2</v>
      </c>
      <c r="P94" s="45">
        <f t="shared" si="106"/>
        <v>1.4999999999999999E-2</v>
      </c>
      <c r="Q94" s="25">
        <f>VLOOKUP($A94,[1]!CurveTable,MATCH($Q$4,[1]!CurveType,0))</f>
        <v>0.01</v>
      </c>
      <c r="R94" s="31">
        <v>0</v>
      </c>
      <c r="S94" s="45">
        <f t="shared" si="107"/>
        <v>0</v>
      </c>
      <c r="T94" s="4"/>
      <c r="U94" s="159">
        <f t="shared" si="77"/>
        <v>5.1074999999999999</v>
      </c>
      <c r="V94" s="160"/>
      <c r="W94" s="100">
        <f>VLOOKUP($A94,[1]!CurveTable,MATCH($W$4,[1]!CurveType,0))+$W$9</f>
        <v>0.36</v>
      </c>
      <c r="X94" s="100">
        <f>VLOOKUP($A94,[1]!CurveTable,MATCH($X$4,[1]!CurveType,0))+$X$9</f>
        <v>0.36499999999999999</v>
      </c>
      <c r="Y94" s="158">
        <f t="shared" ca="1" si="68"/>
        <v>0.36744226545649866</v>
      </c>
      <c r="Z94" s="4"/>
      <c r="AA94" s="159">
        <f t="shared" si="78"/>
        <v>4.3224999999999998</v>
      </c>
      <c r="AB94" s="160"/>
      <c r="AC94" s="100">
        <f>VLOOKUP($A94,[1]!CurveTable,MATCH($AC$4,[1]!CurveType,0))+$AC$9</f>
        <v>0.18</v>
      </c>
      <c r="AD94" s="100">
        <f>VLOOKUP($A94,[1]!CurveTable,MATCH($AD$4,[1]!CurveType,0))+$AD$9</f>
        <v>0.185</v>
      </c>
      <c r="AE94" s="158">
        <f t="shared" ca="1" si="69"/>
        <v>0.18622748785673235</v>
      </c>
      <c r="AF94" s="4"/>
      <c r="AG94" s="52">
        <f ca="1">((Inputs!$F$20*(X94*AD94)*(A94-$C$3))+(Inputs!$F$19*W94*AC94*(DAY(EOMONTH(A94,0))/2)))/(AN94*Y94*AE94)</f>
        <v>0.74999971699179302</v>
      </c>
      <c r="AH94" s="4"/>
      <c r="AI94" s="18">
        <f>Inputs!$B$15</f>
        <v>0.06</v>
      </c>
      <c r="AJ94" s="46"/>
      <c r="AK94" s="18">
        <f t="shared" si="70"/>
        <v>0.72500000000000009</v>
      </c>
      <c r="AL94" s="46"/>
      <c r="AM94" s="62">
        <f t="shared" si="71"/>
        <v>40663</v>
      </c>
      <c r="AN94" s="63">
        <f t="shared" ca="1" si="72"/>
        <v>3470</v>
      </c>
      <c r="AO94" s="63">
        <f t="shared" si="99"/>
        <v>1</v>
      </c>
      <c r="AP94" s="19"/>
      <c r="AQ94" s="74">
        <f ca="1">_xll.SPRDOPT(U94,AA94,AI94,AX94,X94,AD94,AG94,AN94,AO94,0)</f>
        <v>1.1068433410644978</v>
      </c>
      <c r="AR94" s="47">
        <f t="shared" ca="1" si="79"/>
        <v>1660265.0115967467</v>
      </c>
      <c r="AS94" s="135">
        <f t="shared" ca="1" si="80"/>
        <v>0.38184334106449769</v>
      </c>
      <c r="AU94" s="5">
        <f t="shared" si="100"/>
        <v>30</v>
      </c>
      <c r="AV94" s="148">
        <f t="shared" si="73"/>
        <v>40709</v>
      </c>
      <c r="AW94" s="41">
        <f t="shared" ca="1" si="74"/>
        <v>3516</v>
      </c>
      <c r="AX94" s="100">
        <f>VLOOKUP($A94,[1]!CurveTable,MATCH(AX$4,[1]!CurveType,0))</f>
        <v>5.4363011887444704E-2</v>
      </c>
      <c r="AY94" s="149">
        <f ca="1">1/(1+CHOOSE(F$3,(AX95+(Inputs!$B$14/10000))/2,(AX94+(Inputs!$B$14/10000))/2))^(2*AW94/365.25)</f>
        <v>0.59670773692841805</v>
      </c>
      <c r="AZ94" s="41">
        <f t="shared" si="101"/>
        <v>1</v>
      </c>
      <c r="BA94" s="72">
        <f t="shared" si="102"/>
        <v>30</v>
      </c>
      <c r="BC94" s="65">
        <f t="shared" ca="1" si="81"/>
        <v>3806249.4769321471</v>
      </c>
      <c r="BD94" s="65">
        <f t="shared" ca="1" si="82"/>
        <v>3855477.865228741</v>
      </c>
      <c r="BE94" s="65">
        <f t="shared" ca="1" si="83"/>
        <v>3855477.865228741</v>
      </c>
      <c r="BF94" s="65">
        <f t="shared" ca="1" si="84"/>
        <v>716049.28431410168</v>
      </c>
      <c r="BG94" s="65">
        <f t="shared" ca="1" si="85"/>
        <v>716049.28431410168</v>
      </c>
      <c r="BH94" s="65">
        <f t="shared" ca="1" si="86"/>
        <v>716049.28431410168</v>
      </c>
      <c r="BI94" s="65">
        <f t="shared" ca="1" si="87"/>
        <v>0</v>
      </c>
      <c r="BJ94" s="65">
        <f t="shared" ca="1" si="88"/>
        <v>0</v>
      </c>
      <c r="BK94" s="65">
        <f t="shared" ca="1" si="89"/>
        <v>0</v>
      </c>
      <c r="BL94" s="65">
        <f t="shared" ca="1" si="90"/>
        <v>13425.924080889405</v>
      </c>
      <c r="BM94" s="65">
        <f t="shared" ca="1" si="91"/>
        <v>13425.924080889405</v>
      </c>
      <c r="BN94" s="65">
        <f t="shared" ca="1" si="92"/>
        <v>13425.924080889405</v>
      </c>
      <c r="BO94" s="65">
        <f t="shared" ca="1" si="93"/>
        <v>8950.616053926271</v>
      </c>
      <c r="BP94" s="65">
        <f t="shared" ca="1" si="94"/>
        <v>0</v>
      </c>
      <c r="BQ94" s="65">
        <f t="shared" ca="1" si="95"/>
        <v>0</v>
      </c>
      <c r="BR94" s="65">
        <f t="shared" ca="1" si="96"/>
        <v>4571527.149542843</v>
      </c>
      <c r="BS94" s="65">
        <f t="shared" ca="1" si="97"/>
        <v>3868903.7893096302</v>
      </c>
      <c r="BT94" s="65">
        <f t="shared" ca="1" si="98"/>
        <v>53703.696323557619</v>
      </c>
      <c r="BU94" s="65">
        <f t="shared" ca="1" si="75"/>
        <v>648919.66390965472</v>
      </c>
    </row>
    <row r="95" spans="1:73">
      <c r="A95" s="42">
        <f t="shared" si="76"/>
        <v>40725</v>
      </c>
      <c r="B95" s="30">
        <f>Inputs!$B$8</f>
        <v>50000</v>
      </c>
      <c r="C95" s="17">
        <f t="shared" si="66"/>
        <v>1550000</v>
      </c>
      <c r="D95" s="17">
        <f t="shared" ca="1" si="67"/>
        <v>919901.05339965352</v>
      </c>
      <c r="E95" s="25">
        <f>VLOOKUP($A95,[1]!CurveTable,MATCH($E$4,[1]!CurveType,0))</f>
        <v>4.2975000000000003</v>
      </c>
      <c r="F95" s="31">
        <f>E95-Inputs!$B$16</f>
        <v>4.3525</v>
      </c>
      <c r="G95" s="43">
        <f t="shared" si="103"/>
        <v>4.3525</v>
      </c>
      <c r="H95" s="25">
        <f>VLOOKUP($A95,[1]!CurveTable,MATCH($H$4,[1]!CurveType,0))</f>
        <v>1</v>
      </c>
      <c r="I95" s="31">
        <f>H95+Inputs!$B$22</f>
        <v>1</v>
      </c>
      <c r="J95" s="44">
        <f t="shared" si="104"/>
        <v>1</v>
      </c>
      <c r="K95" s="25">
        <f>VLOOKUP($A95,[1]!CurveTable,MATCH($K$4,[1]!CurveType,0))</f>
        <v>0</v>
      </c>
      <c r="L95" s="31">
        <v>0</v>
      </c>
      <c r="M95" s="45">
        <f t="shared" si="105"/>
        <v>0</v>
      </c>
      <c r="N95" s="25">
        <f>VLOOKUP($A95,[1]!CurveTable,MATCH($N$4,[1]!CurveType,0))</f>
        <v>1.2500000000000001E-2</v>
      </c>
      <c r="O95" s="31">
        <f>N95+Inputs!$E$22</f>
        <v>1.2500000000000001E-2</v>
      </c>
      <c r="P95" s="45">
        <f t="shared" si="106"/>
        <v>1.2500000000000001E-2</v>
      </c>
      <c r="Q95" s="25">
        <f>VLOOKUP($A95,[1]!CurveTable,MATCH($Q$4,[1]!CurveType,0))</f>
        <v>0.01</v>
      </c>
      <c r="R95" s="31">
        <v>0</v>
      </c>
      <c r="S95" s="45">
        <f t="shared" si="107"/>
        <v>0</v>
      </c>
      <c r="T95" s="4"/>
      <c r="U95" s="159">
        <f t="shared" si="77"/>
        <v>5.3525</v>
      </c>
      <c r="V95" s="160"/>
      <c r="W95" s="100">
        <f>VLOOKUP($A95,[1]!CurveTable,MATCH($W$4,[1]!CurveType,0))+$W$9</f>
        <v>0.36</v>
      </c>
      <c r="X95" s="100">
        <f>VLOOKUP($A95,[1]!CurveTable,MATCH($X$4,[1]!CurveType,0))+$X$9</f>
        <v>0.36499999999999999</v>
      </c>
      <c r="Y95" s="158">
        <f t="shared" ca="1" si="68"/>
        <v>0.36739411363402852</v>
      </c>
      <c r="Z95" s="4"/>
      <c r="AA95" s="159">
        <f t="shared" si="78"/>
        <v>4.3650000000000002</v>
      </c>
      <c r="AB95" s="160"/>
      <c r="AC95" s="100">
        <f>VLOOKUP($A95,[1]!CurveTable,MATCH($AC$4,[1]!CurveType,0))+$AC$9</f>
        <v>0.18</v>
      </c>
      <c r="AD95" s="100">
        <f>VLOOKUP($A95,[1]!CurveTable,MATCH($AD$4,[1]!CurveType,0))+$AD$9</f>
        <v>0.185</v>
      </c>
      <c r="AE95" s="158">
        <f t="shared" ca="1" si="69"/>
        <v>0.18620282988960576</v>
      </c>
      <c r="AF95" s="4"/>
      <c r="AG95" s="52">
        <f ca="1">((Inputs!$F$20*(X95*AD95)*(A95-$C$3))+(Inputs!$F$19*W95*AC95*(DAY(EOMONTH(A95,0))/2)))/(AN95*Y95*AE95)</f>
        <v>0.74999971010041044</v>
      </c>
      <c r="AH95" s="4"/>
      <c r="AI95" s="18">
        <f>Inputs!$B$15</f>
        <v>0.06</v>
      </c>
      <c r="AJ95" s="46"/>
      <c r="AK95" s="18">
        <f t="shared" si="70"/>
        <v>0.92749999999999977</v>
      </c>
      <c r="AL95" s="46"/>
      <c r="AM95" s="62">
        <f t="shared" si="71"/>
        <v>40694</v>
      </c>
      <c r="AN95" s="63">
        <f t="shared" ca="1" si="72"/>
        <v>3501</v>
      </c>
      <c r="AO95" s="63">
        <f t="shared" si="99"/>
        <v>1</v>
      </c>
      <c r="AP95" s="19"/>
      <c r="AQ95" s="74">
        <f ca="1">_xll.SPRDOPT(U95,AA95,AI95,AX95,X95,AD95,AG95,AN95,AO95,0)</f>
        <v>1.1996313949814525</v>
      </c>
      <c r="AR95" s="47">
        <f t="shared" ca="1" si="79"/>
        <v>1859428.6622212515</v>
      </c>
      <c r="AS95" s="135">
        <f t="shared" ca="1" si="80"/>
        <v>0.27213139498145278</v>
      </c>
      <c r="AU95" s="5">
        <f t="shared" si="100"/>
        <v>31</v>
      </c>
      <c r="AV95" s="148">
        <f t="shared" si="73"/>
        <v>40739</v>
      </c>
      <c r="AW95" s="41">
        <f t="shared" ca="1" si="74"/>
        <v>3546</v>
      </c>
      <c r="AX95" s="100">
        <f>VLOOKUP($A95,[1]!CurveTable,MATCH(AX$4,[1]!CurveType,0))</f>
        <v>5.4469953145189098E-2</v>
      </c>
      <c r="AY95" s="149">
        <f ca="1">1/(1+CHOOSE(F$3,(AX96+(Inputs!$B$14/10000))/2,(AX95+(Inputs!$B$14/10000))/2))^(2*AW95/365.25)</f>
        <v>0.5934845505804216</v>
      </c>
      <c r="AZ95" s="41">
        <f t="shared" si="101"/>
        <v>1</v>
      </c>
      <c r="BA95" s="72">
        <f t="shared" si="102"/>
        <v>31</v>
      </c>
      <c r="BC95" s="65">
        <f t="shared" ca="1" si="81"/>
        <v>3953274.7769850115</v>
      </c>
      <c r="BD95" s="65">
        <f t="shared" ca="1" si="82"/>
        <v>4003869.3349219919</v>
      </c>
      <c r="BE95" s="65">
        <f t="shared" ca="1" si="83"/>
        <v>4003869.3349219919</v>
      </c>
      <c r="BF95" s="65">
        <f t="shared" ca="1" si="84"/>
        <v>919901.05339965352</v>
      </c>
      <c r="BG95" s="65">
        <f t="shared" ca="1" si="85"/>
        <v>919901.05339965352</v>
      </c>
      <c r="BH95" s="65">
        <f t="shared" ca="1" si="86"/>
        <v>919901.05339965352</v>
      </c>
      <c r="BI95" s="65">
        <f t="shared" ca="1" si="87"/>
        <v>0</v>
      </c>
      <c r="BJ95" s="65">
        <f t="shared" ca="1" si="88"/>
        <v>0</v>
      </c>
      <c r="BK95" s="65">
        <f t="shared" ca="1" si="89"/>
        <v>0</v>
      </c>
      <c r="BL95" s="65">
        <f t="shared" ca="1" si="90"/>
        <v>11498.76316749567</v>
      </c>
      <c r="BM95" s="65">
        <f t="shared" ca="1" si="91"/>
        <v>11498.76316749567</v>
      </c>
      <c r="BN95" s="65">
        <f t="shared" ca="1" si="92"/>
        <v>11498.76316749567</v>
      </c>
      <c r="BO95" s="65">
        <f t="shared" ca="1" si="93"/>
        <v>9199.0105339965357</v>
      </c>
      <c r="BP95" s="65">
        <f t="shared" ca="1" si="94"/>
        <v>0</v>
      </c>
      <c r="BQ95" s="65">
        <f t="shared" ca="1" si="95"/>
        <v>0</v>
      </c>
      <c r="BR95" s="65">
        <f t="shared" ca="1" si="96"/>
        <v>4923770.3883216456</v>
      </c>
      <c r="BS95" s="65">
        <f t="shared" ca="1" si="97"/>
        <v>4015368.0980894878</v>
      </c>
      <c r="BT95" s="65">
        <f t="shared" ca="1" si="98"/>
        <v>55194.063203979211</v>
      </c>
      <c r="BU95" s="65">
        <f t="shared" ca="1" si="75"/>
        <v>853208.2270281784</v>
      </c>
    </row>
    <row r="96" spans="1:73">
      <c r="A96" s="42">
        <f t="shared" si="76"/>
        <v>40756</v>
      </c>
      <c r="B96" s="30">
        <f>Inputs!$B$8</f>
        <v>50000</v>
      </c>
      <c r="C96" s="17">
        <f t="shared" si="66"/>
        <v>1550000</v>
      </c>
      <c r="D96" s="17">
        <f t="shared" ca="1" si="67"/>
        <v>914750.54783259192</v>
      </c>
      <c r="E96" s="25">
        <f>VLOOKUP($A96,[1]!CurveTable,MATCH($E$4,[1]!CurveType,0))</f>
        <v>4.3355000000000006</v>
      </c>
      <c r="F96" s="31">
        <f>E96-Inputs!$B$16</f>
        <v>4.3905000000000003</v>
      </c>
      <c r="G96" s="43">
        <f t="shared" si="103"/>
        <v>4.3905000000000003</v>
      </c>
      <c r="H96" s="25">
        <f>VLOOKUP($A96,[1]!CurveTable,MATCH($H$4,[1]!CurveType,0))</f>
        <v>1</v>
      </c>
      <c r="I96" s="31">
        <f>H96+Inputs!$B$22</f>
        <v>1</v>
      </c>
      <c r="J96" s="44">
        <f t="shared" si="104"/>
        <v>1</v>
      </c>
      <c r="K96" s="25">
        <f>VLOOKUP($A96,[1]!CurveTable,MATCH($K$4,[1]!CurveType,0))</f>
        <v>0</v>
      </c>
      <c r="L96" s="31">
        <v>0</v>
      </c>
      <c r="M96" s="45">
        <f t="shared" si="105"/>
        <v>0</v>
      </c>
      <c r="N96" s="25">
        <f>VLOOKUP($A96,[1]!CurveTable,MATCH($N$4,[1]!CurveType,0))</f>
        <v>1.2500000000000001E-2</v>
      </c>
      <c r="O96" s="31">
        <f>N96+Inputs!$E$22</f>
        <v>1.2500000000000001E-2</v>
      </c>
      <c r="P96" s="45">
        <f t="shared" si="106"/>
        <v>1.2500000000000001E-2</v>
      </c>
      <c r="Q96" s="25">
        <f>VLOOKUP($A96,[1]!CurveTable,MATCH($Q$4,[1]!CurveType,0))</f>
        <v>0.01</v>
      </c>
      <c r="R96" s="31">
        <v>0</v>
      </c>
      <c r="S96" s="45">
        <f t="shared" si="107"/>
        <v>0</v>
      </c>
      <c r="T96" s="4"/>
      <c r="U96" s="159">
        <f t="shared" si="77"/>
        <v>5.3905000000000003</v>
      </c>
      <c r="V96" s="160"/>
      <c r="W96" s="100">
        <f>VLOOKUP($A96,[1]!CurveTable,MATCH($W$4,[1]!CurveType,0))+$W$9</f>
        <v>0.36</v>
      </c>
      <c r="X96" s="100">
        <f>VLOOKUP($A96,[1]!CurveTable,MATCH($X$4,[1]!CurveType,0))+$X$9</f>
        <v>0.36499999999999999</v>
      </c>
      <c r="Y96" s="158">
        <f t="shared" ca="1" si="68"/>
        <v>0.36742518605337982</v>
      </c>
      <c r="Z96" s="4"/>
      <c r="AA96" s="159">
        <f t="shared" si="78"/>
        <v>4.4030000000000005</v>
      </c>
      <c r="AB96" s="160"/>
      <c r="AC96" s="100">
        <f>VLOOKUP($A96,[1]!CurveTable,MATCH($AC$4,[1]!CurveType,0))+$AC$9</f>
        <v>0.18</v>
      </c>
      <c r="AD96" s="100">
        <f>VLOOKUP($A96,[1]!CurveTable,MATCH($AD$4,[1]!CurveType,0))+$AD$9</f>
        <v>0.185</v>
      </c>
      <c r="AE96" s="158">
        <f t="shared" ca="1" si="69"/>
        <v>0.18621867008916229</v>
      </c>
      <c r="AF96" s="4"/>
      <c r="AG96" s="52">
        <f ca="1">((Inputs!$F$20*(X96*AD96)*(A96-$C$3))+(Inputs!$F$19*W96*AC96*(DAY(EOMONTH(A96,0))/2)))/(AN96*Y96*AE96)</f>
        <v>0.74999971260171772</v>
      </c>
      <c r="AH96" s="4"/>
      <c r="AI96" s="18">
        <f>Inputs!$B$15</f>
        <v>0.06</v>
      </c>
      <c r="AJ96" s="46"/>
      <c r="AK96" s="18">
        <f t="shared" si="70"/>
        <v>0.92749999999999977</v>
      </c>
      <c r="AL96" s="46"/>
      <c r="AM96" s="62">
        <f t="shared" si="71"/>
        <v>40724</v>
      </c>
      <c r="AN96" s="63">
        <f t="shared" ca="1" si="72"/>
        <v>3531</v>
      </c>
      <c r="AO96" s="63">
        <f t="shared" si="99"/>
        <v>1</v>
      </c>
      <c r="AP96" s="19"/>
      <c r="AQ96" s="74">
        <f ca="1">_xll.SPRDOPT(U96,AA96,AI96,AX96,X96,AD96,AG96,AN96,AO96,0)</f>
        <v>1.2032935708400456</v>
      </c>
      <c r="AR96" s="47">
        <f t="shared" ca="1" si="79"/>
        <v>1865105.0348020708</v>
      </c>
      <c r="AS96" s="135">
        <f t="shared" ca="1" si="80"/>
        <v>0.27579357084004585</v>
      </c>
      <c r="AU96" s="5">
        <f t="shared" si="100"/>
        <v>31</v>
      </c>
      <c r="AV96" s="148">
        <f t="shared" si="73"/>
        <v>40770</v>
      </c>
      <c r="AW96" s="41">
        <f t="shared" ca="1" si="74"/>
        <v>3577</v>
      </c>
      <c r="AX96" s="100">
        <f>VLOOKUP($A96,[1]!CurveTable,MATCH(AX$4,[1]!CurveType,0))</f>
        <v>5.4580459115527398E-2</v>
      </c>
      <c r="AY96" s="149">
        <f ca="1">1/(1+CHOOSE(F$3,(AX97+(Inputs!$B$14/10000))/2,(AX96+(Inputs!$B$14/10000))/2))^(2*AW96/365.25)</f>
        <v>0.59016164376296254</v>
      </c>
      <c r="AZ96" s="41">
        <f t="shared" si="101"/>
        <v>1</v>
      </c>
      <c r="BA96" s="72">
        <f t="shared" si="102"/>
        <v>31</v>
      </c>
      <c r="BC96" s="65">
        <f t="shared" ca="1" si="81"/>
        <v>3965901.0001282026</v>
      </c>
      <c r="BD96" s="65">
        <f t="shared" ca="1" si="82"/>
        <v>4016212.280258995</v>
      </c>
      <c r="BE96" s="65">
        <f t="shared" ca="1" si="83"/>
        <v>4016212.280258995</v>
      </c>
      <c r="BF96" s="65">
        <f t="shared" ca="1" si="84"/>
        <v>914750.54783259192</v>
      </c>
      <c r="BG96" s="65">
        <f t="shared" ca="1" si="85"/>
        <v>914750.54783259192</v>
      </c>
      <c r="BH96" s="65">
        <f t="shared" ca="1" si="86"/>
        <v>914750.54783259192</v>
      </c>
      <c r="BI96" s="65">
        <f t="shared" ca="1" si="87"/>
        <v>0</v>
      </c>
      <c r="BJ96" s="65">
        <f t="shared" ca="1" si="88"/>
        <v>0</v>
      </c>
      <c r="BK96" s="65">
        <f t="shared" ca="1" si="89"/>
        <v>0</v>
      </c>
      <c r="BL96" s="65">
        <f t="shared" ca="1" si="90"/>
        <v>11434.3818479074</v>
      </c>
      <c r="BM96" s="65">
        <f t="shared" ca="1" si="91"/>
        <v>11434.3818479074</v>
      </c>
      <c r="BN96" s="65">
        <f t="shared" ca="1" si="92"/>
        <v>11434.3818479074</v>
      </c>
      <c r="BO96" s="65">
        <f t="shared" ca="1" si="93"/>
        <v>9147.5054783259202</v>
      </c>
      <c r="BP96" s="65">
        <f t="shared" ca="1" si="94"/>
        <v>0</v>
      </c>
      <c r="BQ96" s="65">
        <f t="shared" ca="1" si="95"/>
        <v>0</v>
      </c>
      <c r="BR96" s="65">
        <f t="shared" ca="1" si="96"/>
        <v>4930962.8280915869</v>
      </c>
      <c r="BS96" s="65">
        <f t="shared" ca="1" si="97"/>
        <v>4027646.6621069028</v>
      </c>
      <c r="BT96" s="65">
        <f t="shared" ca="1" si="98"/>
        <v>54885.03286995551</v>
      </c>
      <c r="BU96" s="65">
        <f t="shared" ca="1" si="75"/>
        <v>848431.13311472884</v>
      </c>
    </row>
    <row r="97" spans="1:73">
      <c r="A97" s="42">
        <f t="shared" si="76"/>
        <v>40787</v>
      </c>
      <c r="B97" s="30">
        <f>Inputs!$B$8</f>
        <v>50000</v>
      </c>
      <c r="C97" s="17">
        <f t="shared" si="66"/>
        <v>1500000</v>
      </c>
      <c r="D97" s="17">
        <f t="shared" ca="1" si="67"/>
        <v>880269.98895595165</v>
      </c>
      <c r="E97" s="25">
        <f>VLOOKUP($A97,[1]!CurveTable,MATCH($E$4,[1]!CurveType,0))</f>
        <v>4.3295000000000003</v>
      </c>
      <c r="F97" s="31">
        <f>E97-Inputs!$B$16</f>
        <v>4.3845000000000001</v>
      </c>
      <c r="G97" s="43">
        <f t="shared" si="103"/>
        <v>4.3845000000000001</v>
      </c>
      <c r="H97" s="25">
        <f>VLOOKUP($A97,[1]!CurveTable,MATCH($H$4,[1]!CurveType,0))</f>
        <v>0.6</v>
      </c>
      <c r="I97" s="31">
        <f>H97+Inputs!$B$22</f>
        <v>0.6</v>
      </c>
      <c r="J97" s="44">
        <f t="shared" si="104"/>
        <v>0.6</v>
      </c>
      <c r="K97" s="25">
        <f>VLOOKUP($A97,[1]!CurveTable,MATCH($K$4,[1]!CurveType,0))</f>
        <v>0</v>
      </c>
      <c r="L97" s="31">
        <v>0</v>
      </c>
      <c r="M97" s="45">
        <f t="shared" si="105"/>
        <v>0</v>
      </c>
      <c r="N97" s="25">
        <f>VLOOKUP($A97,[1]!CurveTable,MATCH($N$4,[1]!CurveType,0))</f>
        <v>1.2500000000000001E-2</v>
      </c>
      <c r="O97" s="31">
        <f>N97+Inputs!$E$22</f>
        <v>1.2500000000000001E-2</v>
      </c>
      <c r="P97" s="45">
        <f t="shared" si="106"/>
        <v>1.2500000000000001E-2</v>
      </c>
      <c r="Q97" s="25">
        <f>VLOOKUP($A97,[1]!CurveTable,MATCH($Q$4,[1]!CurveType,0))</f>
        <v>0.01</v>
      </c>
      <c r="R97" s="31">
        <v>0</v>
      </c>
      <c r="S97" s="45">
        <f t="shared" si="107"/>
        <v>0</v>
      </c>
      <c r="T97" s="4"/>
      <c r="U97" s="159">
        <f t="shared" si="77"/>
        <v>4.9844999999999997</v>
      </c>
      <c r="V97" s="160"/>
      <c r="W97" s="100">
        <f>VLOOKUP($A97,[1]!CurveTable,MATCH($W$4,[1]!CurveType,0))+$W$9</f>
        <v>0.36</v>
      </c>
      <c r="X97" s="100">
        <f>VLOOKUP($A97,[1]!CurveTable,MATCH($X$4,[1]!CurveType,0))+$X$9</f>
        <v>0.36499999999999999</v>
      </c>
      <c r="Y97" s="158">
        <f t="shared" ca="1" si="68"/>
        <v>0.36737939042300671</v>
      </c>
      <c r="Z97" s="4"/>
      <c r="AA97" s="159">
        <f t="shared" si="78"/>
        <v>4.3970000000000002</v>
      </c>
      <c r="AB97" s="160"/>
      <c r="AC97" s="100">
        <f>VLOOKUP($A97,[1]!CurveTable,MATCH($AC$4,[1]!CurveType,0))+$AC$9</f>
        <v>0.18</v>
      </c>
      <c r="AD97" s="100">
        <f>VLOOKUP($A97,[1]!CurveTable,MATCH($AD$4,[1]!CurveType,0))+$AD$9</f>
        <v>0.185</v>
      </c>
      <c r="AE97" s="158">
        <f t="shared" ca="1" si="69"/>
        <v>0.18619588587533456</v>
      </c>
      <c r="AF97" s="4"/>
      <c r="AG97" s="52">
        <f ca="1">((Inputs!$F$20*(X97*AD97)*(A97-$C$3))+(Inputs!$F$19*W97*AC97*(DAY(EOMONTH(A97,0))/2)))/(AN97*Y97*AE97)</f>
        <v>0.74999972417849248</v>
      </c>
      <c r="AH97" s="4"/>
      <c r="AI97" s="18">
        <f>Inputs!$B$15</f>
        <v>0.06</v>
      </c>
      <c r="AJ97" s="46"/>
      <c r="AK97" s="18">
        <f t="shared" si="70"/>
        <v>0.52749999999999941</v>
      </c>
      <c r="AL97" s="46"/>
      <c r="AM97" s="62">
        <f t="shared" si="71"/>
        <v>40755</v>
      </c>
      <c r="AN97" s="63">
        <f t="shared" ca="1" si="72"/>
        <v>3562</v>
      </c>
      <c r="AO97" s="63">
        <f t="shared" si="99"/>
        <v>1</v>
      </c>
      <c r="AP97" s="19"/>
      <c r="AQ97" s="74">
        <f ca="1">_xll.SPRDOPT(U97,AA97,AI97,AX97,X97,AD97,AG97,AN97,AO97,0)</f>
        <v>1.029448683836051</v>
      </c>
      <c r="AR97" s="47">
        <f t="shared" ca="1" si="79"/>
        <v>1544173.0257540767</v>
      </c>
      <c r="AS97" s="135">
        <f t="shared" ca="1" si="80"/>
        <v>0.50194868383605162</v>
      </c>
      <c r="AU97" s="5">
        <f t="shared" si="100"/>
        <v>30</v>
      </c>
      <c r="AV97" s="148">
        <f t="shared" si="73"/>
        <v>40801</v>
      </c>
      <c r="AW97" s="41">
        <f t="shared" ca="1" si="74"/>
        <v>3608</v>
      </c>
      <c r="AX97" s="100">
        <f>VLOOKUP($A97,[1]!CurveTable,MATCH(AX$4,[1]!CurveType,0))</f>
        <v>5.4690965089934103E-2</v>
      </c>
      <c r="AY97" s="149">
        <f ca="1">1/(1+CHOOSE(F$3,(AX98+(Inputs!$B$14/10000))/2,(AX97+(Inputs!$B$14/10000))/2))^(2*AW97/365.25)</f>
        <v>0.58684665930396773</v>
      </c>
      <c r="AZ97" s="41">
        <f t="shared" si="101"/>
        <v>1</v>
      </c>
      <c r="BA97" s="72">
        <f t="shared" si="102"/>
        <v>30</v>
      </c>
      <c r="BC97" s="65">
        <f t="shared" ca="1" si="81"/>
        <v>3811128.9171847929</v>
      </c>
      <c r="BD97" s="65">
        <f t="shared" ca="1" si="82"/>
        <v>3859543.76657737</v>
      </c>
      <c r="BE97" s="65">
        <f t="shared" ca="1" si="83"/>
        <v>3859543.76657737</v>
      </c>
      <c r="BF97" s="65">
        <f t="shared" ca="1" si="84"/>
        <v>528161.99337357096</v>
      </c>
      <c r="BG97" s="65">
        <f t="shared" ca="1" si="85"/>
        <v>528161.99337357096</v>
      </c>
      <c r="BH97" s="65">
        <f t="shared" ca="1" si="86"/>
        <v>528161.99337357096</v>
      </c>
      <c r="BI97" s="65">
        <f t="shared" ca="1" si="87"/>
        <v>0</v>
      </c>
      <c r="BJ97" s="65">
        <f t="shared" ca="1" si="88"/>
        <v>0</v>
      </c>
      <c r="BK97" s="65">
        <f t="shared" ca="1" si="89"/>
        <v>0</v>
      </c>
      <c r="BL97" s="65">
        <f t="shared" ca="1" si="90"/>
        <v>11003.374861949396</v>
      </c>
      <c r="BM97" s="65">
        <f t="shared" ca="1" si="91"/>
        <v>11003.374861949396</v>
      </c>
      <c r="BN97" s="65">
        <f t="shared" ca="1" si="92"/>
        <v>11003.374861949396</v>
      </c>
      <c r="BO97" s="65">
        <f t="shared" ca="1" si="93"/>
        <v>8802.699889559517</v>
      </c>
      <c r="BP97" s="65">
        <f t="shared" ca="1" si="94"/>
        <v>0</v>
      </c>
      <c r="BQ97" s="65">
        <f t="shared" ca="1" si="95"/>
        <v>0</v>
      </c>
      <c r="BR97" s="65">
        <f t="shared" ca="1" si="96"/>
        <v>4387705.7599509405</v>
      </c>
      <c r="BS97" s="65">
        <f t="shared" ca="1" si="97"/>
        <v>3870547.1414393196</v>
      </c>
      <c r="BT97" s="65">
        <f t="shared" ca="1" si="98"/>
        <v>52816.199337357095</v>
      </c>
      <c r="BU97" s="65">
        <f t="shared" ca="1" si="75"/>
        <v>464342.41917426395</v>
      </c>
    </row>
    <row r="98" spans="1:73">
      <c r="A98" s="42">
        <f t="shared" si="76"/>
        <v>40817</v>
      </c>
      <c r="B98" s="30">
        <f>Inputs!$B$8</f>
        <v>50000</v>
      </c>
      <c r="C98" s="17">
        <f t="shared" si="66"/>
        <v>1550000</v>
      </c>
      <c r="D98" s="17">
        <f t="shared" ca="1" si="67"/>
        <v>904651.64908921218</v>
      </c>
      <c r="E98" s="25">
        <f>VLOOKUP($A98,[1]!CurveTable,MATCH($E$4,[1]!CurveType,0))</f>
        <v>4.3295000000000003</v>
      </c>
      <c r="F98" s="31">
        <f>E98-Inputs!$B$16</f>
        <v>4.3845000000000001</v>
      </c>
      <c r="G98" s="43">
        <f t="shared" si="103"/>
        <v>4.3845000000000001</v>
      </c>
      <c r="H98" s="25">
        <f>VLOOKUP($A98,[1]!CurveTable,MATCH($H$4,[1]!CurveType,0))</f>
        <v>0.3</v>
      </c>
      <c r="I98" s="31">
        <f>H98+Inputs!$B$22</f>
        <v>0.3</v>
      </c>
      <c r="J98" s="44">
        <f t="shared" si="104"/>
        <v>0.3</v>
      </c>
      <c r="K98" s="25">
        <f>VLOOKUP($A98,[1]!CurveTable,MATCH($K$4,[1]!CurveType,0))</f>
        <v>0</v>
      </c>
      <c r="L98" s="31">
        <v>0</v>
      </c>
      <c r="M98" s="45">
        <f t="shared" si="105"/>
        <v>0</v>
      </c>
      <c r="N98" s="25">
        <f>VLOOKUP($A98,[1]!CurveTable,MATCH($N$4,[1]!CurveType,0))</f>
        <v>1.1000000000000001E-2</v>
      </c>
      <c r="O98" s="31">
        <f>N98+Inputs!$E$22</f>
        <v>1.1000000000000001E-2</v>
      </c>
      <c r="P98" s="45">
        <f t="shared" si="106"/>
        <v>1.1000000000000001E-2</v>
      </c>
      <c r="Q98" s="25">
        <f>VLOOKUP($A98,[1]!CurveTable,MATCH($Q$4,[1]!CurveType,0))</f>
        <v>0.01</v>
      </c>
      <c r="R98" s="31">
        <v>0</v>
      </c>
      <c r="S98" s="45">
        <f t="shared" si="107"/>
        <v>0</v>
      </c>
      <c r="T98" s="4"/>
      <c r="U98" s="159">
        <f t="shared" si="77"/>
        <v>4.6844999999999999</v>
      </c>
      <c r="V98" s="160"/>
      <c r="W98" s="100">
        <f>VLOOKUP($A98,[1]!CurveTable,MATCH($W$4,[1]!CurveType,0))+$W$9</f>
        <v>0.18</v>
      </c>
      <c r="X98" s="100">
        <f>VLOOKUP($A98,[1]!CurveTable,MATCH($X$4,[1]!CurveType,0))+$X$9</f>
        <v>0.185</v>
      </c>
      <c r="Y98" s="158">
        <f t="shared" ca="1" si="68"/>
        <v>0.18617212796272639</v>
      </c>
      <c r="Z98" s="4"/>
      <c r="AA98" s="159">
        <f t="shared" si="78"/>
        <v>4.3955000000000002</v>
      </c>
      <c r="AB98" s="160"/>
      <c r="AC98" s="100">
        <f>VLOOKUP($A98,[1]!CurveTable,MATCH($AC$4,[1]!CurveType,0))+$AC$9</f>
        <v>0.18</v>
      </c>
      <c r="AD98" s="100">
        <f>VLOOKUP($A98,[1]!CurveTable,MATCH($AD$4,[1]!CurveType,0))+$AD$9</f>
        <v>0.185</v>
      </c>
      <c r="AE98" s="158">
        <f t="shared" ca="1" si="69"/>
        <v>0.18617212796272639</v>
      </c>
      <c r="AF98" s="4"/>
      <c r="AG98" s="52">
        <f ca="1">((Inputs!$F$20*(X98*AD98)*(A98-$C$3))+(Inputs!$F$19*W98*AC98*(DAY(EOMONTH(A98,0))/2)))/(AN98*Y98*AE98)</f>
        <v>0.75</v>
      </c>
      <c r="AH98" s="4"/>
      <c r="AI98" s="18">
        <f>Inputs!$B$15</f>
        <v>0.06</v>
      </c>
      <c r="AJ98" s="46"/>
      <c r="AK98" s="18">
        <f t="shared" si="70"/>
        <v>0.2289999999999997</v>
      </c>
      <c r="AL98" s="46"/>
      <c r="AM98" s="62">
        <f t="shared" si="71"/>
        <v>40786</v>
      </c>
      <c r="AN98" s="63">
        <f t="shared" ca="1" si="72"/>
        <v>3593</v>
      </c>
      <c r="AO98" s="63">
        <f t="shared" si="99"/>
        <v>1</v>
      </c>
      <c r="AP98" s="19"/>
      <c r="AQ98" s="74">
        <f ca="1">_xll.SPRDOPT(U98,AA98,AI98,AX98,X98,AD98,AG98,AN98,AO98,0)</f>
        <v>0.50047320274401419</v>
      </c>
      <c r="AR98" s="47">
        <f t="shared" ca="1" si="79"/>
        <v>775733.46425322199</v>
      </c>
      <c r="AS98" s="135">
        <f t="shared" ca="1" si="80"/>
        <v>0.27147320274401449</v>
      </c>
      <c r="AU98" s="5">
        <f t="shared" si="100"/>
        <v>31</v>
      </c>
      <c r="AV98" s="148">
        <f t="shared" si="73"/>
        <v>40831</v>
      </c>
      <c r="AW98" s="41">
        <f t="shared" ca="1" si="74"/>
        <v>3638</v>
      </c>
      <c r="AX98" s="100">
        <f>VLOOKUP($A98,[1]!CurveTable,MATCH(AX$4,[1]!CurveType,0))</f>
        <v>5.4797906359361999E-2</v>
      </c>
      <c r="AY98" s="149">
        <f ca="1">1/(1+CHOOSE(F$3,(AX99+(Inputs!$B$14/10000))/2,(AX98+(Inputs!$B$14/10000))/2))^(2*AW98/365.25)</f>
        <v>0.58364622521884657</v>
      </c>
      <c r="AZ98" s="41">
        <f t="shared" si="101"/>
        <v>1</v>
      </c>
      <c r="BA98" s="72">
        <f t="shared" si="102"/>
        <v>31</v>
      </c>
      <c r="BC98" s="65">
        <f t="shared" ca="1" si="81"/>
        <v>3916689.3147317446</v>
      </c>
      <c r="BD98" s="65">
        <f t="shared" ca="1" si="82"/>
        <v>3966445.155431651</v>
      </c>
      <c r="BE98" s="65">
        <f t="shared" ca="1" si="83"/>
        <v>3966445.155431651</v>
      </c>
      <c r="BF98" s="65">
        <f t="shared" ca="1" si="84"/>
        <v>271395.49472676363</v>
      </c>
      <c r="BG98" s="65">
        <f t="shared" ca="1" si="85"/>
        <v>271395.49472676363</v>
      </c>
      <c r="BH98" s="65">
        <f t="shared" ca="1" si="86"/>
        <v>271395.49472676363</v>
      </c>
      <c r="BI98" s="65">
        <f t="shared" ca="1" si="87"/>
        <v>0</v>
      </c>
      <c r="BJ98" s="65">
        <f t="shared" ca="1" si="88"/>
        <v>0</v>
      </c>
      <c r="BK98" s="65">
        <f t="shared" ca="1" si="89"/>
        <v>0</v>
      </c>
      <c r="BL98" s="65">
        <f t="shared" ca="1" si="90"/>
        <v>9951.1681399813351</v>
      </c>
      <c r="BM98" s="65">
        <f t="shared" ca="1" si="91"/>
        <v>9951.1681399813351</v>
      </c>
      <c r="BN98" s="65">
        <f t="shared" ca="1" si="92"/>
        <v>9951.1681399813351</v>
      </c>
      <c r="BO98" s="65">
        <f t="shared" ca="1" si="93"/>
        <v>9046.5164908921215</v>
      </c>
      <c r="BP98" s="65">
        <f t="shared" ca="1" si="94"/>
        <v>0</v>
      </c>
      <c r="BQ98" s="65">
        <f t="shared" ca="1" si="95"/>
        <v>0</v>
      </c>
      <c r="BR98" s="65">
        <f t="shared" ca="1" si="96"/>
        <v>4237840.6501584146</v>
      </c>
      <c r="BS98" s="65">
        <f t="shared" ca="1" si="97"/>
        <v>3976396.3235716322</v>
      </c>
      <c r="BT98" s="65">
        <f t="shared" ca="1" si="98"/>
        <v>54279.098945352729</v>
      </c>
      <c r="BU98" s="65">
        <f t="shared" ca="1" si="75"/>
        <v>207165.22764142932</v>
      </c>
    </row>
    <row r="99" spans="1:73">
      <c r="A99" s="42">
        <f t="shared" si="76"/>
        <v>40848</v>
      </c>
      <c r="B99" s="30">
        <f>Inputs!$B$8</f>
        <v>50000</v>
      </c>
      <c r="C99" s="17">
        <f t="shared" si="66"/>
        <v>1500000</v>
      </c>
      <c r="D99" s="17">
        <f t="shared" ca="1" si="67"/>
        <v>870621.08340296603</v>
      </c>
      <c r="E99" s="25">
        <f>VLOOKUP($A99,[1]!CurveTable,MATCH($E$4,[1]!CurveType,0))</f>
        <v>4.4775</v>
      </c>
      <c r="F99" s="31">
        <f>E99-Inputs!$B$16</f>
        <v>4.5324999999999998</v>
      </c>
      <c r="G99" s="43">
        <f t="shared" si="103"/>
        <v>4.5324999999999998</v>
      </c>
      <c r="H99" s="25">
        <f>VLOOKUP($A99,[1]!CurveTable,MATCH($H$4,[1]!CurveType,0))</f>
        <v>0.23</v>
      </c>
      <c r="I99" s="31">
        <f>H99+Inputs!$B$22</f>
        <v>0.23</v>
      </c>
      <c r="J99" s="44">
        <f t="shared" si="104"/>
        <v>0.23</v>
      </c>
      <c r="K99" s="25">
        <f>VLOOKUP($A99,[1]!CurveTable,MATCH($K$4,[1]!CurveType,0))</f>
        <v>0</v>
      </c>
      <c r="L99" s="31">
        <v>0</v>
      </c>
      <c r="M99" s="45">
        <f t="shared" si="105"/>
        <v>0</v>
      </c>
      <c r="N99" s="25">
        <f>VLOOKUP($A99,[1]!CurveTable,MATCH($N$4,[1]!CurveType,0))</f>
        <v>1.2E-2</v>
      </c>
      <c r="O99" s="31">
        <f>N99+Inputs!$E$22</f>
        <v>1.2E-2</v>
      </c>
      <c r="P99" s="45">
        <f t="shared" si="106"/>
        <v>1.2E-2</v>
      </c>
      <c r="Q99" s="25">
        <f>VLOOKUP($A99,[1]!CurveTable,MATCH($Q$4,[1]!CurveType,0))</f>
        <v>7.4999999999999997E-3</v>
      </c>
      <c r="R99" s="31">
        <v>0</v>
      </c>
      <c r="S99" s="45">
        <f t="shared" si="107"/>
        <v>0</v>
      </c>
      <c r="T99" s="4"/>
      <c r="U99" s="159">
        <f t="shared" si="77"/>
        <v>4.7625000000000002</v>
      </c>
      <c r="V99" s="160"/>
      <c r="W99" s="100">
        <f>VLOOKUP($A99,[1]!CurveTable,MATCH($W$4,[1]!CurveType,0))+$W$9</f>
        <v>0.18</v>
      </c>
      <c r="X99" s="100">
        <f>VLOOKUP($A99,[1]!CurveTable,MATCH($X$4,[1]!CurveType,0))+$X$9</f>
        <v>0.185</v>
      </c>
      <c r="Y99" s="158">
        <f t="shared" ca="1" si="68"/>
        <v>0.18617581447267126</v>
      </c>
      <c r="Z99" s="4"/>
      <c r="AA99" s="159">
        <f t="shared" si="78"/>
        <v>4.5444999999999993</v>
      </c>
      <c r="AB99" s="160"/>
      <c r="AC99" s="100">
        <f>VLOOKUP($A99,[1]!CurveTable,MATCH($AC$4,[1]!CurveType,0))+$AC$9</f>
        <v>0.18</v>
      </c>
      <c r="AD99" s="100">
        <f>VLOOKUP($A99,[1]!CurveTable,MATCH($AD$4,[1]!CurveType,0))+$AD$9</f>
        <v>0.185</v>
      </c>
      <c r="AE99" s="158">
        <f t="shared" ca="1" si="69"/>
        <v>0.18617581447267126</v>
      </c>
      <c r="AF99" s="4"/>
      <c r="AG99" s="52">
        <f ca="1">((Inputs!$F$20*(X99*AD99)*(A99-$C$3))+(Inputs!$F$19*W99*AC99*(DAY(EOMONTH(A99,0))/2)))/(AN99*Y99*AE99)</f>
        <v>0.75000000000000022</v>
      </c>
      <c r="AH99" s="4"/>
      <c r="AI99" s="18">
        <f>Inputs!$B$15</f>
        <v>0.06</v>
      </c>
      <c r="AJ99" s="46"/>
      <c r="AK99" s="18">
        <f t="shared" si="70"/>
        <v>0.15800000000000086</v>
      </c>
      <c r="AL99" s="46"/>
      <c r="AM99" s="62">
        <f t="shared" si="71"/>
        <v>40816</v>
      </c>
      <c r="AN99" s="63">
        <f t="shared" ca="1" si="72"/>
        <v>3623</v>
      </c>
      <c r="AO99" s="63">
        <f t="shared" si="99"/>
        <v>1</v>
      </c>
      <c r="AP99" s="19"/>
      <c r="AQ99" s="74">
        <f ca="1">_xll.SPRDOPT(U99,AA99,AI99,AX99,X99,AD99,AG99,AN99,AO99,0)</f>
        <v>0.48794677647484258</v>
      </c>
      <c r="AR99" s="47">
        <f t="shared" ca="1" si="79"/>
        <v>731920.16471226385</v>
      </c>
      <c r="AS99" s="135">
        <f t="shared" ca="1" si="80"/>
        <v>0.32994677647484172</v>
      </c>
      <c r="AU99" s="5">
        <f t="shared" si="100"/>
        <v>30</v>
      </c>
      <c r="AV99" s="148">
        <f t="shared" si="73"/>
        <v>40862</v>
      </c>
      <c r="AW99" s="41">
        <f t="shared" ca="1" si="74"/>
        <v>3669</v>
      </c>
      <c r="AX99" s="100">
        <f>VLOOKUP($A99,[1]!CurveTable,MATCH(AX$4,[1]!CurveType,0))</f>
        <v>5.4896604180521398E-2</v>
      </c>
      <c r="AY99" s="149">
        <f ca="1">1/(1+CHOOSE(F$3,(AX100+(Inputs!$B$14/10000))/2,(AX99+(Inputs!$B$14/10000))/2))^(2*AW99/365.25)</f>
        <v>0.58041405560197734</v>
      </c>
      <c r="AZ99" s="41">
        <f t="shared" si="101"/>
        <v>1</v>
      </c>
      <c r="BA99" s="72">
        <f t="shared" si="102"/>
        <v>30</v>
      </c>
      <c r="BC99" s="65">
        <f t="shared" ca="1" si="81"/>
        <v>3898205.9009367805</v>
      </c>
      <c r="BD99" s="65">
        <f t="shared" ca="1" si="82"/>
        <v>3946090.0605239435</v>
      </c>
      <c r="BE99" s="65">
        <f t="shared" ca="1" si="83"/>
        <v>3946090.0605239435</v>
      </c>
      <c r="BF99" s="65">
        <f t="shared" ca="1" si="84"/>
        <v>200242.8491826822</v>
      </c>
      <c r="BG99" s="65">
        <f t="shared" ca="1" si="85"/>
        <v>200242.8491826822</v>
      </c>
      <c r="BH99" s="65">
        <f t="shared" ca="1" si="86"/>
        <v>200242.8491826822</v>
      </c>
      <c r="BI99" s="65">
        <f t="shared" ca="1" si="87"/>
        <v>0</v>
      </c>
      <c r="BJ99" s="65">
        <f t="shared" ca="1" si="88"/>
        <v>0</v>
      </c>
      <c r="BK99" s="65">
        <f t="shared" ca="1" si="89"/>
        <v>0</v>
      </c>
      <c r="BL99" s="65">
        <f t="shared" ca="1" si="90"/>
        <v>10447.453000835592</v>
      </c>
      <c r="BM99" s="65">
        <f t="shared" ca="1" si="91"/>
        <v>10447.453000835592</v>
      </c>
      <c r="BN99" s="65">
        <f t="shared" ca="1" si="92"/>
        <v>10447.453000835592</v>
      </c>
      <c r="BO99" s="65">
        <f t="shared" ca="1" si="93"/>
        <v>6529.6581255222454</v>
      </c>
      <c r="BP99" s="65">
        <f t="shared" ca="1" si="94"/>
        <v>0</v>
      </c>
      <c r="BQ99" s="65">
        <f t="shared" ca="1" si="95"/>
        <v>0</v>
      </c>
      <c r="BR99" s="65">
        <f t="shared" ca="1" si="96"/>
        <v>4146332.9097066261</v>
      </c>
      <c r="BS99" s="65">
        <f t="shared" ca="1" si="97"/>
        <v>3956537.5135247787</v>
      </c>
      <c r="BT99" s="65">
        <f t="shared" ca="1" si="98"/>
        <v>52237.265004177963</v>
      </c>
      <c r="BU99" s="65">
        <f t="shared" ca="1" si="75"/>
        <v>137558.13117766939</v>
      </c>
    </row>
    <row r="100" spans="1:73">
      <c r="A100" s="42">
        <f t="shared" si="76"/>
        <v>40878</v>
      </c>
      <c r="B100" s="30">
        <f>Inputs!$B$8</f>
        <v>50000</v>
      </c>
      <c r="C100" s="17">
        <f t="shared" si="66"/>
        <v>1550000</v>
      </c>
      <c r="D100" s="17">
        <f t="shared" ca="1" si="67"/>
        <v>895151.70608200505</v>
      </c>
      <c r="E100" s="25">
        <f>VLOOKUP($A100,[1]!CurveTable,MATCH($E$4,[1]!CurveType,0))</f>
        <v>4.6295000000000002</v>
      </c>
      <c r="F100" s="31">
        <f>E100-Inputs!$B$16</f>
        <v>4.6844999999999999</v>
      </c>
      <c r="G100" s="43">
        <f t="shared" si="103"/>
        <v>4.6844999999999999</v>
      </c>
      <c r="H100" s="25">
        <f>VLOOKUP($A100,[1]!CurveTable,MATCH($H$4,[1]!CurveType,0))</f>
        <v>0.26</v>
      </c>
      <c r="I100" s="31">
        <f>H100+Inputs!$B$22</f>
        <v>0.26</v>
      </c>
      <c r="J100" s="44">
        <f t="shared" si="104"/>
        <v>0.26</v>
      </c>
      <c r="K100" s="25">
        <f>VLOOKUP($A100,[1]!CurveTable,MATCH($K$4,[1]!CurveType,0))</f>
        <v>0</v>
      </c>
      <c r="L100" s="31">
        <v>0</v>
      </c>
      <c r="M100" s="45">
        <f t="shared" si="105"/>
        <v>0</v>
      </c>
      <c r="N100" s="25">
        <f>VLOOKUP($A100,[1]!CurveTable,MATCH($N$4,[1]!CurveType,0))</f>
        <v>1.2E-2</v>
      </c>
      <c r="O100" s="31">
        <f>N100+Inputs!$E$22</f>
        <v>1.2E-2</v>
      </c>
      <c r="P100" s="45">
        <f t="shared" si="106"/>
        <v>1.2E-2</v>
      </c>
      <c r="Q100" s="25">
        <f>VLOOKUP($A100,[1]!CurveTable,MATCH($Q$4,[1]!CurveType,0))</f>
        <v>7.4999999999999997E-3</v>
      </c>
      <c r="R100" s="31">
        <v>0</v>
      </c>
      <c r="S100" s="45">
        <f t="shared" si="107"/>
        <v>0</v>
      </c>
      <c r="T100" s="4"/>
      <c r="U100" s="159">
        <f t="shared" si="77"/>
        <v>4.9444999999999997</v>
      </c>
      <c r="V100" s="160"/>
      <c r="W100" s="100">
        <f>VLOOKUP($A100,[1]!CurveTable,MATCH($W$4,[1]!CurveType,0))+$W$9</f>
        <v>0.18</v>
      </c>
      <c r="X100" s="100">
        <f>VLOOKUP($A100,[1]!CurveTable,MATCH($X$4,[1]!CurveType,0))+$X$9</f>
        <v>0.185</v>
      </c>
      <c r="Y100" s="158">
        <f t="shared" ca="1" si="68"/>
        <v>0.18615262099478841</v>
      </c>
      <c r="Z100" s="4"/>
      <c r="AA100" s="159">
        <f t="shared" si="78"/>
        <v>4.6964999999999995</v>
      </c>
      <c r="AB100" s="160"/>
      <c r="AC100" s="100">
        <f>VLOOKUP($A100,[1]!CurveTable,MATCH($AC$4,[1]!CurveType,0))+$AC$9</f>
        <v>0.18</v>
      </c>
      <c r="AD100" s="100">
        <f>VLOOKUP($A100,[1]!CurveTable,MATCH($AD$4,[1]!CurveType,0))+$AD$9</f>
        <v>0.185</v>
      </c>
      <c r="AE100" s="158">
        <f t="shared" ca="1" si="69"/>
        <v>0.18615262099478841</v>
      </c>
      <c r="AF100" s="4"/>
      <c r="AG100" s="52">
        <f ca="1">((Inputs!$F$20*(X100*AD100)*(A100-$C$3))+(Inputs!$F$19*W100*AC100*(DAY(EOMONTH(A100,0))/2)))/(AN100*Y100*AE100)</f>
        <v>0.74999999999999989</v>
      </c>
      <c r="AH100" s="4"/>
      <c r="AI100" s="18">
        <f>Inputs!$B$15</f>
        <v>0.06</v>
      </c>
      <c r="AJ100" s="46"/>
      <c r="AK100" s="18">
        <f t="shared" si="70"/>
        <v>0.18800000000000022</v>
      </c>
      <c r="AL100" s="46"/>
      <c r="AM100" s="62">
        <f t="shared" si="71"/>
        <v>40847</v>
      </c>
      <c r="AN100" s="63">
        <f t="shared" ca="1" si="72"/>
        <v>3654</v>
      </c>
      <c r="AO100" s="63">
        <f t="shared" si="99"/>
        <v>1</v>
      </c>
      <c r="AP100" s="19"/>
      <c r="AQ100" s="74">
        <f ca="1">_xll.SPRDOPT(U100,AA100,AI100,AX100,X100,AD100,AG100,AN100,AO100,0)</f>
        <v>0.51222407490961974</v>
      </c>
      <c r="AR100" s="47">
        <f t="shared" ca="1" si="79"/>
        <v>793947.31610991061</v>
      </c>
      <c r="AS100" s="135">
        <f t="shared" ca="1" si="80"/>
        <v>0.32422407490961952</v>
      </c>
      <c r="AU100" s="5">
        <f t="shared" si="100"/>
        <v>31</v>
      </c>
      <c r="AV100" s="148">
        <f t="shared" si="73"/>
        <v>40892</v>
      </c>
      <c r="AW100" s="41">
        <f t="shared" ca="1" si="74"/>
        <v>3699</v>
      </c>
      <c r="AX100" s="100">
        <f>VLOOKUP($A100,[1]!CurveTable,MATCH(AX$4,[1]!CurveType,0))</f>
        <v>5.49529390506351E-2</v>
      </c>
      <c r="AY100" s="149">
        <f ca="1">1/(1+CHOOSE(F$3,(AX101+(Inputs!$B$14/10000))/2,(AX100+(Inputs!$B$14/10000))/2))^(2*AW100/365.25)</f>
        <v>0.57751722973032582</v>
      </c>
      <c r="AZ100" s="41">
        <f t="shared" si="101"/>
        <v>1</v>
      </c>
      <c r="BA100" s="72">
        <f t="shared" si="102"/>
        <v>31</v>
      </c>
      <c r="BC100" s="65">
        <f t="shared" ca="1" si="81"/>
        <v>4144104.8233066425</v>
      </c>
      <c r="BD100" s="65">
        <f t="shared" ca="1" si="82"/>
        <v>4193338.1671411525</v>
      </c>
      <c r="BE100" s="65">
        <f t="shared" ca="1" si="83"/>
        <v>4193338.1671411525</v>
      </c>
      <c r="BF100" s="65">
        <f t="shared" ca="1" si="84"/>
        <v>232739.44358132133</v>
      </c>
      <c r="BG100" s="65">
        <f t="shared" ca="1" si="85"/>
        <v>232739.44358132133</v>
      </c>
      <c r="BH100" s="65">
        <f t="shared" ca="1" si="86"/>
        <v>232739.44358132133</v>
      </c>
      <c r="BI100" s="65">
        <f t="shared" ca="1" si="87"/>
        <v>0</v>
      </c>
      <c r="BJ100" s="65">
        <f t="shared" ca="1" si="88"/>
        <v>0</v>
      </c>
      <c r="BK100" s="65">
        <f t="shared" ca="1" si="89"/>
        <v>0</v>
      </c>
      <c r="BL100" s="65">
        <f t="shared" ca="1" si="90"/>
        <v>10741.82047298406</v>
      </c>
      <c r="BM100" s="65">
        <f t="shared" ca="1" si="91"/>
        <v>10741.82047298406</v>
      </c>
      <c r="BN100" s="65">
        <f t="shared" ca="1" si="92"/>
        <v>10741.82047298406</v>
      </c>
      <c r="BO100" s="65">
        <f t="shared" ca="1" si="93"/>
        <v>6713.6377956150372</v>
      </c>
      <c r="BP100" s="65">
        <f t="shared" ca="1" si="94"/>
        <v>0</v>
      </c>
      <c r="BQ100" s="65">
        <f t="shared" ca="1" si="95"/>
        <v>0</v>
      </c>
      <c r="BR100" s="65">
        <f t="shared" ca="1" si="96"/>
        <v>4426077.6107224738</v>
      </c>
      <c r="BS100" s="65">
        <f t="shared" ca="1" si="97"/>
        <v>4204079.9876141362</v>
      </c>
      <c r="BT100" s="65">
        <f t="shared" ca="1" si="98"/>
        <v>53709.102364920298</v>
      </c>
      <c r="BU100" s="65">
        <f t="shared" ca="1" si="75"/>
        <v>168288.52074341715</v>
      </c>
    </row>
    <row r="101" spans="1:73">
      <c r="A101" s="42">
        <f t="shared" si="76"/>
        <v>40909</v>
      </c>
      <c r="B101" s="30">
        <f>Inputs!$B$8</f>
        <v>50000</v>
      </c>
      <c r="C101" s="17">
        <f t="shared" si="66"/>
        <v>1550000</v>
      </c>
      <c r="D101" s="17">
        <f t="shared" ca="1" si="67"/>
        <v>890527.08608744596</v>
      </c>
      <c r="E101" s="25">
        <f>VLOOKUP($A101,[1]!CurveTable,MATCH($E$4,[1]!CurveType,0))</f>
        <v>4.7069999999999999</v>
      </c>
      <c r="F101" s="31">
        <f>E101-Inputs!$B$16</f>
        <v>4.7619999999999996</v>
      </c>
      <c r="G101" s="43">
        <f t="shared" si="103"/>
        <v>4.7619999999999996</v>
      </c>
      <c r="H101" s="25">
        <f>VLOOKUP($A101,[1]!CurveTable,MATCH($H$4,[1]!CurveType,0))</f>
        <v>8.5000000000000006E-2</v>
      </c>
      <c r="I101" s="31">
        <f>H101+Inputs!$B$22</f>
        <v>8.5000000000000006E-2</v>
      </c>
      <c r="J101" s="44">
        <f t="shared" si="104"/>
        <v>8.5000000000000006E-2</v>
      </c>
      <c r="K101" s="25">
        <f>VLOOKUP($A101,[1]!CurveTable,MATCH($K$4,[1]!CurveType,0))</f>
        <v>0</v>
      </c>
      <c r="L101" s="31">
        <v>0</v>
      </c>
      <c r="M101" s="45">
        <f t="shared" si="105"/>
        <v>0</v>
      </c>
      <c r="N101" s="25">
        <f>VLOOKUP($A101,[1]!CurveTable,MATCH($N$4,[1]!CurveType,0))</f>
        <v>1.2E-2</v>
      </c>
      <c r="O101" s="31">
        <f>N101+Inputs!$E$22</f>
        <v>1.2E-2</v>
      </c>
      <c r="P101" s="45">
        <f t="shared" si="106"/>
        <v>1.2E-2</v>
      </c>
      <c r="Q101" s="25">
        <f>VLOOKUP($A101,[1]!CurveTable,MATCH($Q$4,[1]!CurveType,0))</f>
        <v>7.4999999999999997E-3</v>
      </c>
      <c r="R101" s="31">
        <v>0</v>
      </c>
      <c r="S101" s="45">
        <f t="shared" si="107"/>
        <v>0</v>
      </c>
      <c r="T101" s="4"/>
      <c r="U101" s="159">
        <f t="shared" si="77"/>
        <v>4.8469999999999995</v>
      </c>
      <c r="V101" s="160"/>
      <c r="W101" s="100">
        <f>VLOOKUP($A101,[1]!CurveTable,MATCH($W$4,[1]!CurveType,0))+$W$9</f>
        <v>0.18</v>
      </c>
      <c r="X101" s="100">
        <f>VLOOKUP($A101,[1]!CurveTable,MATCH($X$4,[1]!CurveType,0))+$X$9</f>
        <v>0.185</v>
      </c>
      <c r="Y101" s="158">
        <f t="shared" ca="1" si="68"/>
        <v>0.18616821634590544</v>
      </c>
      <c r="Z101" s="4"/>
      <c r="AA101" s="159">
        <f t="shared" si="78"/>
        <v>4.7739999999999991</v>
      </c>
      <c r="AB101" s="160"/>
      <c r="AC101" s="100">
        <f>VLOOKUP($A101,[1]!CurveTable,MATCH($AC$4,[1]!CurveType,0))+$AC$9</f>
        <v>0.18</v>
      </c>
      <c r="AD101" s="100">
        <f>VLOOKUP($A101,[1]!CurveTable,MATCH($AD$4,[1]!CurveType,0))+$AD$9</f>
        <v>0.185</v>
      </c>
      <c r="AE101" s="158">
        <f t="shared" ca="1" si="69"/>
        <v>0.18616821634590544</v>
      </c>
      <c r="AF101" s="4"/>
      <c r="AG101" s="52">
        <f ca="1">((Inputs!$F$20*(X101*AD101)*(A101-$C$3))+(Inputs!$F$19*W101*AC101*(DAY(EOMONTH(A101,0))/2)))/(AN101*Y101*AE101)</f>
        <v>0.74999999999999989</v>
      </c>
      <c r="AH101" s="4"/>
      <c r="AI101" s="18">
        <f>Inputs!$B$15</f>
        <v>0.06</v>
      </c>
      <c r="AJ101" s="46"/>
      <c r="AK101" s="18">
        <f t="shared" si="70"/>
        <v>1.30000000000004E-2</v>
      </c>
      <c r="AL101" s="46"/>
      <c r="AM101" s="62">
        <f t="shared" si="71"/>
        <v>40877</v>
      </c>
      <c r="AN101" s="63">
        <f t="shared" ca="1" si="72"/>
        <v>3684</v>
      </c>
      <c r="AO101" s="63">
        <f t="shared" si="99"/>
        <v>1</v>
      </c>
      <c r="AP101" s="19"/>
      <c r="AQ101" s="74">
        <f ca="1">_xll.SPRDOPT(U101,AA101,AI101,AX101,X101,AD101,AG101,AN101,AO101,0)</f>
        <v>0.45831685194648897</v>
      </c>
      <c r="AR101" s="47">
        <f t="shared" ca="1" si="79"/>
        <v>710391.12051705795</v>
      </c>
      <c r="AS101" s="135">
        <f t="shared" ca="1" si="80"/>
        <v>0.44531685194648857</v>
      </c>
      <c r="AU101" s="5">
        <f t="shared" si="100"/>
        <v>31</v>
      </c>
      <c r="AV101" s="148">
        <f t="shared" si="73"/>
        <v>40923</v>
      </c>
      <c r="AW101" s="41">
        <f t="shared" ca="1" si="74"/>
        <v>3730</v>
      </c>
      <c r="AX101" s="100">
        <f>VLOOKUP($A101,[1]!CurveTable,MATCH(AX$4,[1]!CurveType,0))</f>
        <v>5.50111517508634E-2</v>
      </c>
      <c r="AY101" s="149">
        <f ca="1">1/(1+CHOOSE(F$3,(AX102+(Inputs!$B$14/10000))/2,(AX101+(Inputs!$B$14/10000))/2))^(2*AW101/365.25)</f>
        <v>0.57453360392738451</v>
      </c>
      <c r="AZ101" s="41">
        <f t="shared" si="101"/>
        <v>1</v>
      </c>
      <c r="BA101" s="72">
        <f t="shared" si="102"/>
        <v>31</v>
      </c>
      <c r="BC101" s="65">
        <f t="shared" ca="1" si="81"/>
        <v>4191710.9942136081</v>
      </c>
      <c r="BD101" s="65">
        <f t="shared" ca="1" si="82"/>
        <v>4240689.983948417</v>
      </c>
      <c r="BE101" s="65">
        <f t="shared" ca="1" si="83"/>
        <v>4240689.983948417</v>
      </c>
      <c r="BF101" s="65">
        <f t="shared" ca="1" si="84"/>
        <v>75694.802317432914</v>
      </c>
      <c r="BG101" s="65">
        <f t="shared" ca="1" si="85"/>
        <v>75694.802317432914</v>
      </c>
      <c r="BH101" s="65">
        <f t="shared" ca="1" si="86"/>
        <v>75694.802317432914</v>
      </c>
      <c r="BI101" s="65">
        <f t="shared" ca="1" si="87"/>
        <v>0</v>
      </c>
      <c r="BJ101" s="65">
        <f t="shared" ca="1" si="88"/>
        <v>0</v>
      </c>
      <c r="BK101" s="65">
        <f t="shared" ca="1" si="89"/>
        <v>0</v>
      </c>
      <c r="BL101" s="65">
        <f t="shared" ca="1" si="90"/>
        <v>10686.325033049352</v>
      </c>
      <c r="BM101" s="65">
        <f t="shared" ca="1" si="91"/>
        <v>10686.325033049352</v>
      </c>
      <c r="BN101" s="65">
        <f t="shared" ca="1" si="92"/>
        <v>10686.325033049352</v>
      </c>
      <c r="BO101" s="65">
        <f t="shared" ca="1" si="93"/>
        <v>6678.9531456558443</v>
      </c>
      <c r="BP101" s="65">
        <f t="shared" ca="1" si="94"/>
        <v>0</v>
      </c>
      <c r="BQ101" s="65">
        <f t="shared" ca="1" si="95"/>
        <v>0</v>
      </c>
      <c r="BR101" s="65">
        <f t="shared" ca="1" si="96"/>
        <v>4316384.7862658501</v>
      </c>
      <c r="BS101" s="65">
        <f t="shared" ca="1" si="97"/>
        <v>4251376.3089814661</v>
      </c>
      <c r="BT101" s="65">
        <f t="shared" ca="1" si="98"/>
        <v>53431.625165246754</v>
      </c>
      <c r="BU101" s="65">
        <f t="shared" ca="1" si="75"/>
        <v>11576.852119137155</v>
      </c>
    </row>
    <row r="102" spans="1:73">
      <c r="A102" s="42">
        <f t="shared" si="76"/>
        <v>40940</v>
      </c>
      <c r="B102" s="30">
        <f>Inputs!$B$8</f>
        <v>50000</v>
      </c>
      <c r="C102" s="17">
        <f t="shared" si="66"/>
        <v>1450000</v>
      </c>
      <c r="D102" s="17">
        <f t="shared" ca="1" si="67"/>
        <v>828761.86242976296</v>
      </c>
      <c r="E102" s="25">
        <f>VLOOKUP($A102,[1]!CurveTable,MATCH($E$4,[1]!CurveType,0))</f>
        <v>4.62</v>
      </c>
      <c r="F102" s="31">
        <f>E102-Inputs!$B$16</f>
        <v>4.6749999999999998</v>
      </c>
      <c r="G102" s="43">
        <f t="shared" si="103"/>
        <v>4.6749999999999998</v>
      </c>
      <c r="H102" s="25">
        <f>VLOOKUP($A102,[1]!CurveTable,MATCH($H$4,[1]!CurveType,0))</f>
        <v>7.4999999999999997E-2</v>
      </c>
      <c r="I102" s="31">
        <f>H102+Inputs!$B$22</f>
        <v>7.4999999999999997E-2</v>
      </c>
      <c r="J102" s="44">
        <f t="shared" si="104"/>
        <v>7.4999999999999997E-2</v>
      </c>
      <c r="K102" s="25">
        <f>VLOOKUP($A102,[1]!CurveTable,MATCH($K$4,[1]!CurveType,0))</f>
        <v>0</v>
      </c>
      <c r="L102" s="31">
        <v>0</v>
      </c>
      <c r="M102" s="45">
        <f t="shared" si="105"/>
        <v>0</v>
      </c>
      <c r="N102" s="25">
        <f>VLOOKUP($A102,[1]!CurveTable,MATCH($N$4,[1]!CurveType,0))</f>
        <v>1.2E-2</v>
      </c>
      <c r="O102" s="31">
        <f>N102+Inputs!$E$22</f>
        <v>1.2E-2</v>
      </c>
      <c r="P102" s="45">
        <f t="shared" si="106"/>
        <v>1.2E-2</v>
      </c>
      <c r="Q102" s="25">
        <f>VLOOKUP($A102,[1]!CurveTable,MATCH($Q$4,[1]!CurveType,0))</f>
        <v>7.4999999999999997E-3</v>
      </c>
      <c r="R102" s="31">
        <v>0</v>
      </c>
      <c r="S102" s="45">
        <f t="shared" si="107"/>
        <v>0</v>
      </c>
      <c r="T102" s="4"/>
      <c r="U102" s="159">
        <f t="shared" si="77"/>
        <v>4.75</v>
      </c>
      <c r="V102" s="160"/>
      <c r="W102" s="100">
        <f>VLOOKUP($A102,[1]!CurveTable,MATCH($W$4,[1]!CurveType,0))+$W$9</f>
        <v>0.17499999999999999</v>
      </c>
      <c r="X102" s="100">
        <f>VLOOKUP($A102,[1]!CurveTable,MATCH($X$4,[1]!CurveType,0))+$X$9</f>
        <v>0.18</v>
      </c>
      <c r="Y102" s="158">
        <f t="shared" ca="1" si="68"/>
        <v>0.18110388480887635</v>
      </c>
      <c r="Z102" s="4"/>
      <c r="AA102" s="159">
        <f t="shared" si="78"/>
        <v>4.6869999999999994</v>
      </c>
      <c r="AB102" s="160"/>
      <c r="AC102" s="100">
        <f>VLOOKUP($A102,[1]!CurveTable,MATCH($AC$4,[1]!CurveType,0))+$AC$9</f>
        <v>0.17499999999999999</v>
      </c>
      <c r="AD102" s="100">
        <f>VLOOKUP($A102,[1]!CurveTable,MATCH($AD$4,[1]!CurveType,0))+$AD$9</f>
        <v>0.18</v>
      </c>
      <c r="AE102" s="158">
        <f t="shared" ca="1" si="69"/>
        <v>0.18110388480887635</v>
      </c>
      <c r="AF102" s="4"/>
      <c r="AG102" s="52">
        <f ca="1">((Inputs!$F$20*(X102*AD102)*(A102-$C$3))+(Inputs!$F$19*W102*AC102*(DAY(EOMONTH(A102,0))/2)))/(AN102*Y102*AE102)</f>
        <v>0.75</v>
      </c>
      <c r="AH102" s="4"/>
      <c r="AI102" s="18">
        <f>Inputs!$B$15</f>
        <v>0.06</v>
      </c>
      <c r="AJ102" s="46"/>
      <c r="AK102" s="18">
        <f t="shared" si="70"/>
        <v>3.0000000000006133E-3</v>
      </c>
      <c r="AL102" s="46"/>
      <c r="AM102" s="62">
        <f t="shared" si="71"/>
        <v>40908</v>
      </c>
      <c r="AN102" s="63">
        <f t="shared" ca="1" si="72"/>
        <v>3715</v>
      </c>
      <c r="AO102" s="63">
        <f t="shared" si="99"/>
        <v>1</v>
      </c>
      <c r="AP102" s="19"/>
      <c r="AQ102" s="74">
        <f ca="1">_xll.SPRDOPT(U102,AA102,AI102,AX102,X102,AD102,AG102,AN102,AO102,0)</f>
        <v>0.43436770193458546</v>
      </c>
      <c r="AR102" s="47">
        <f t="shared" ca="1" si="79"/>
        <v>629833.16780514887</v>
      </c>
      <c r="AS102" s="135">
        <f t="shared" ca="1" si="80"/>
        <v>0.43136770193458485</v>
      </c>
      <c r="AU102" s="5">
        <f t="shared" si="100"/>
        <v>29</v>
      </c>
      <c r="AV102" s="148">
        <f t="shared" si="73"/>
        <v>40954</v>
      </c>
      <c r="AW102" s="41">
        <f t="shared" ca="1" si="74"/>
        <v>3761</v>
      </c>
      <c r="AX102" s="100">
        <f>VLOOKUP($A102,[1]!CurveTable,MATCH(AX$4,[1]!CurveType,0))</f>
        <v>5.506936445222E-2</v>
      </c>
      <c r="AY102" s="149">
        <f ca="1">1/(1+CHOOSE(F$3,(AX103+(Inputs!$B$14/10000))/2,(AX102+(Inputs!$B$14/10000))/2))^(2*AW102/365.25)</f>
        <v>0.57155990512397448</v>
      </c>
      <c r="AZ102" s="41">
        <f t="shared" si="101"/>
        <v>1</v>
      </c>
      <c r="BA102" s="72">
        <f t="shared" si="102"/>
        <v>29</v>
      </c>
      <c r="BC102" s="65">
        <f t="shared" ca="1" si="81"/>
        <v>3828879.804425505</v>
      </c>
      <c r="BD102" s="65">
        <f t="shared" ca="1" si="82"/>
        <v>3874461.7068591416</v>
      </c>
      <c r="BE102" s="65">
        <f t="shared" ca="1" si="83"/>
        <v>3874461.7068591416</v>
      </c>
      <c r="BF102" s="65">
        <f t="shared" ca="1" si="84"/>
        <v>62157.13968223222</v>
      </c>
      <c r="BG102" s="65">
        <f t="shared" ca="1" si="85"/>
        <v>62157.13968223222</v>
      </c>
      <c r="BH102" s="65">
        <f t="shared" ca="1" si="86"/>
        <v>62157.13968223222</v>
      </c>
      <c r="BI102" s="65">
        <f t="shared" ca="1" si="87"/>
        <v>0</v>
      </c>
      <c r="BJ102" s="65">
        <f t="shared" ca="1" si="88"/>
        <v>0</v>
      </c>
      <c r="BK102" s="65">
        <f t="shared" ca="1" si="89"/>
        <v>0</v>
      </c>
      <c r="BL102" s="65">
        <f t="shared" ca="1" si="90"/>
        <v>9945.142349157155</v>
      </c>
      <c r="BM102" s="65">
        <f t="shared" ca="1" si="91"/>
        <v>9945.142349157155</v>
      </c>
      <c r="BN102" s="65">
        <f t="shared" ca="1" si="92"/>
        <v>9945.142349157155</v>
      </c>
      <c r="BO102" s="65">
        <f t="shared" ca="1" si="93"/>
        <v>6215.7139682232219</v>
      </c>
      <c r="BP102" s="65">
        <f t="shared" ca="1" si="94"/>
        <v>0</v>
      </c>
      <c r="BQ102" s="65">
        <f t="shared" ca="1" si="95"/>
        <v>0</v>
      </c>
      <c r="BR102" s="65">
        <f t="shared" ca="1" si="96"/>
        <v>3936618.846541374</v>
      </c>
      <c r="BS102" s="65">
        <f t="shared" ca="1" si="97"/>
        <v>3884406.8492082986</v>
      </c>
      <c r="BT102" s="65">
        <f t="shared" ca="1" si="98"/>
        <v>49725.711745785775</v>
      </c>
      <c r="BU102" s="65">
        <f t="shared" ca="1" si="75"/>
        <v>2486.2855872897971</v>
      </c>
    </row>
    <row r="103" spans="1:73">
      <c r="A103" s="42">
        <f t="shared" si="76"/>
        <v>40969</v>
      </c>
      <c r="B103" s="30">
        <f>Inputs!$B$8</f>
        <v>50000</v>
      </c>
      <c r="C103" s="17">
        <f t="shared" si="66"/>
        <v>1550000</v>
      </c>
      <c r="D103" s="17">
        <f t="shared" ca="1" si="67"/>
        <v>881619.92747137405</v>
      </c>
      <c r="E103" s="25">
        <f>VLOOKUP($A103,[1]!CurveTable,MATCH($E$4,[1]!CurveType,0))</f>
        <v>4.4809999999999999</v>
      </c>
      <c r="F103" s="31">
        <f>E103-Inputs!$B$16</f>
        <v>4.5359999999999996</v>
      </c>
      <c r="G103" s="43">
        <f t="shared" si="103"/>
        <v>4.5359999999999996</v>
      </c>
      <c r="H103" s="25">
        <f>VLOOKUP($A103,[1]!CurveTable,MATCH($H$4,[1]!CurveType,0))</f>
        <v>0.115</v>
      </c>
      <c r="I103" s="31">
        <f>H103+Inputs!$B$22</f>
        <v>0.115</v>
      </c>
      <c r="J103" s="44">
        <f t="shared" si="104"/>
        <v>0.115</v>
      </c>
      <c r="K103" s="25">
        <f>VLOOKUP($A103,[1]!CurveTable,MATCH($K$4,[1]!CurveType,0))</f>
        <v>0</v>
      </c>
      <c r="L103" s="31">
        <v>0</v>
      </c>
      <c r="M103" s="45">
        <f t="shared" si="105"/>
        <v>0</v>
      </c>
      <c r="N103" s="25">
        <f>VLOOKUP($A103,[1]!CurveTable,MATCH($N$4,[1]!CurveType,0))</f>
        <v>1.6E-2</v>
      </c>
      <c r="O103" s="31">
        <f>N103+Inputs!$E$22</f>
        <v>1.6E-2</v>
      </c>
      <c r="P103" s="45">
        <f t="shared" si="106"/>
        <v>1.6E-2</v>
      </c>
      <c r="Q103" s="25">
        <f>VLOOKUP($A103,[1]!CurveTable,MATCH($Q$4,[1]!CurveType,0))</f>
        <v>7.4999999999999997E-3</v>
      </c>
      <c r="R103" s="31">
        <v>0</v>
      </c>
      <c r="S103" s="45">
        <f t="shared" si="107"/>
        <v>0</v>
      </c>
      <c r="T103" s="4"/>
      <c r="U103" s="159">
        <f t="shared" si="77"/>
        <v>4.6509999999999998</v>
      </c>
      <c r="V103" s="160"/>
      <c r="W103" s="100">
        <f>VLOOKUP($A103,[1]!CurveTable,MATCH($W$4,[1]!CurveType,0))+$W$9</f>
        <v>0.17</v>
      </c>
      <c r="X103" s="100">
        <f>VLOOKUP($A103,[1]!CurveTable,MATCH($X$4,[1]!CurveType,0))+$X$9</f>
        <v>0.17500000000000002</v>
      </c>
      <c r="Y103" s="158">
        <f t="shared" ca="1" si="68"/>
        <v>0.17603932088787791</v>
      </c>
      <c r="Z103" s="4"/>
      <c r="AA103" s="159">
        <f t="shared" si="78"/>
        <v>4.5519999999999996</v>
      </c>
      <c r="AB103" s="160"/>
      <c r="AC103" s="100">
        <f>VLOOKUP($A103,[1]!CurveTable,MATCH($AC$4,[1]!CurveType,0))+$AC$9</f>
        <v>0.17</v>
      </c>
      <c r="AD103" s="100">
        <f>VLOOKUP($A103,[1]!CurveTable,MATCH($AD$4,[1]!CurveType,0))+$AD$9</f>
        <v>0.17500000000000002</v>
      </c>
      <c r="AE103" s="158">
        <f t="shared" ca="1" si="69"/>
        <v>0.17603932088787791</v>
      </c>
      <c r="AF103" s="4"/>
      <c r="AG103" s="52">
        <f ca="1">((Inputs!$F$20*(X103*AD103)*(A103-$C$3))+(Inputs!$F$19*W103*AC103*(DAY(EOMONTH(A103,0))/2)))/(AN103*Y103*AE103)</f>
        <v>0.75</v>
      </c>
      <c r="AH103" s="4"/>
      <c r="AI103" s="18">
        <f>Inputs!$B$15</f>
        <v>0.06</v>
      </c>
      <c r="AJ103" s="46"/>
      <c r="AK103" s="18">
        <f t="shared" si="70"/>
        <v>3.9000000000000201E-2</v>
      </c>
      <c r="AL103" s="46"/>
      <c r="AM103" s="62">
        <f t="shared" si="71"/>
        <v>40939</v>
      </c>
      <c r="AN103" s="63">
        <f t="shared" ca="1" si="72"/>
        <v>3746</v>
      </c>
      <c r="AO103" s="63">
        <f t="shared" si="99"/>
        <v>1</v>
      </c>
      <c r="AP103" s="19"/>
      <c r="AQ103" s="74">
        <f ca="1">_xll.SPRDOPT(U103,AA103,AI103,AX103,X103,AD103,AG103,AN103,AO103,0)</f>
        <v>0.42187621358072752</v>
      </c>
      <c r="AR103" s="47">
        <f t="shared" ca="1" si="79"/>
        <v>653908.13105012767</v>
      </c>
      <c r="AS103" s="135">
        <f t="shared" ca="1" si="80"/>
        <v>0.38287621358072732</v>
      </c>
      <c r="AU103" s="5">
        <f t="shared" si="100"/>
        <v>31</v>
      </c>
      <c r="AV103" s="148">
        <f t="shared" si="73"/>
        <v>40983</v>
      </c>
      <c r="AW103" s="41">
        <f t="shared" ca="1" si="74"/>
        <v>3790</v>
      </c>
      <c r="AX103" s="100">
        <f>VLOOKUP($A103,[1]!CurveTable,MATCH(AX$4,[1]!CurveType,0))</f>
        <v>5.5123821496446498E-2</v>
      </c>
      <c r="AY103" s="149">
        <f ca="1">1/(1+CHOOSE(F$3,(AX104+(Inputs!$B$14/10000))/2,(AX103+(Inputs!$B$14/10000))/2))^(2*AW103/365.25)</f>
        <v>0.56878704998153162</v>
      </c>
      <c r="AZ103" s="41">
        <f t="shared" si="101"/>
        <v>1</v>
      </c>
      <c r="BA103" s="72">
        <f t="shared" si="102"/>
        <v>31</v>
      </c>
      <c r="BC103" s="65">
        <f t="shared" ca="1" si="81"/>
        <v>3950538.894999227</v>
      </c>
      <c r="BD103" s="65">
        <f t="shared" ca="1" si="82"/>
        <v>3999027.9910101523</v>
      </c>
      <c r="BE103" s="65">
        <f t="shared" ca="1" si="83"/>
        <v>3999027.9910101523</v>
      </c>
      <c r="BF103" s="65">
        <f t="shared" ca="1" si="84"/>
        <v>101386.29165920801</v>
      </c>
      <c r="BG103" s="65">
        <f t="shared" ca="1" si="85"/>
        <v>101386.29165920801</v>
      </c>
      <c r="BH103" s="65">
        <f t="shared" ca="1" si="86"/>
        <v>101386.29165920801</v>
      </c>
      <c r="BI103" s="65">
        <f t="shared" ca="1" si="87"/>
        <v>0</v>
      </c>
      <c r="BJ103" s="65">
        <f t="shared" ca="1" si="88"/>
        <v>0</v>
      </c>
      <c r="BK103" s="65">
        <f t="shared" ca="1" si="89"/>
        <v>0</v>
      </c>
      <c r="BL103" s="65">
        <f t="shared" ca="1" si="90"/>
        <v>14105.918839541984</v>
      </c>
      <c r="BM103" s="65">
        <f t="shared" ca="1" si="91"/>
        <v>14105.918839541984</v>
      </c>
      <c r="BN103" s="65">
        <f t="shared" ca="1" si="92"/>
        <v>14105.918839541984</v>
      </c>
      <c r="BO103" s="65">
        <f t="shared" ca="1" si="93"/>
        <v>6612.1494560353049</v>
      </c>
      <c r="BP103" s="65">
        <f t="shared" ca="1" si="94"/>
        <v>0</v>
      </c>
      <c r="BQ103" s="65">
        <f t="shared" ca="1" si="95"/>
        <v>0</v>
      </c>
      <c r="BR103" s="65">
        <f t="shared" ca="1" si="96"/>
        <v>4100414.2826693603</v>
      </c>
      <c r="BS103" s="65">
        <f t="shared" ca="1" si="97"/>
        <v>4013133.9098496945</v>
      </c>
      <c r="BT103" s="65">
        <f t="shared" ca="1" si="98"/>
        <v>52897.195648282439</v>
      </c>
      <c r="BU103" s="65">
        <f t="shared" ca="1" si="75"/>
        <v>34383.177171383766</v>
      </c>
    </row>
    <row r="104" spans="1:73">
      <c r="A104" s="42">
        <f t="shared" si="76"/>
        <v>41000</v>
      </c>
      <c r="B104" s="30">
        <f>Inputs!$B$8</f>
        <v>50000</v>
      </c>
      <c r="C104" s="17">
        <f t="shared" si="66"/>
        <v>1500000</v>
      </c>
      <c r="D104" s="17">
        <f t="shared" ca="1" si="67"/>
        <v>848748.87138395477</v>
      </c>
      <c r="E104" s="25">
        <f>VLOOKUP($A104,[1]!CurveTable,MATCH($E$4,[1]!CurveType,0))</f>
        <v>4.327</v>
      </c>
      <c r="F104" s="31">
        <f>E104-Inputs!$B$16</f>
        <v>4.3819999999999997</v>
      </c>
      <c r="G104" s="43">
        <f t="shared" si="103"/>
        <v>4.3819999999999997</v>
      </c>
      <c r="H104" s="25">
        <f>VLOOKUP($A104,[1]!CurveTable,MATCH($H$4,[1]!CurveType,0))</f>
        <v>0.55000000000000004</v>
      </c>
      <c r="I104" s="31">
        <f>H104+Inputs!$B$22</f>
        <v>0.55000000000000004</v>
      </c>
      <c r="J104" s="44">
        <f t="shared" si="104"/>
        <v>0.55000000000000004</v>
      </c>
      <c r="K104" s="25">
        <f>VLOOKUP($A104,[1]!CurveTable,MATCH($K$4,[1]!CurveType,0))</f>
        <v>0</v>
      </c>
      <c r="L104" s="31">
        <v>0</v>
      </c>
      <c r="M104" s="45">
        <f t="shared" si="105"/>
        <v>0</v>
      </c>
      <c r="N104" s="25">
        <f>VLOOKUP($A104,[1]!CurveTable,MATCH($N$4,[1]!CurveType,0))</f>
        <v>1.6E-2</v>
      </c>
      <c r="O104" s="31">
        <f>N104+Inputs!$E$22</f>
        <v>1.6E-2</v>
      </c>
      <c r="P104" s="45">
        <f t="shared" si="106"/>
        <v>1.6E-2</v>
      </c>
      <c r="Q104" s="25">
        <f>VLOOKUP($A104,[1]!CurveTable,MATCH($Q$4,[1]!CurveType,0))</f>
        <v>0.01</v>
      </c>
      <c r="R104" s="31">
        <v>0</v>
      </c>
      <c r="S104" s="45">
        <f t="shared" si="107"/>
        <v>0</v>
      </c>
      <c r="T104" s="4"/>
      <c r="U104" s="159">
        <f t="shared" si="77"/>
        <v>4.9319999999999995</v>
      </c>
      <c r="V104" s="160"/>
      <c r="W104" s="100">
        <f>VLOOKUP($A104,[1]!CurveTable,MATCH($W$4,[1]!CurveType,0))+$W$9</f>
        <v>0.17</v>
      </c>
      <c r="X104" s="100">
        <f>VLOOKUP($A104,[1]!CurveTable,MATCH($X$4,[1]!CurveType,0))+$X$9</f>
        <v>0.17500000000000002</v>
      </c>
      <c r="Y104" s="158">
        <f t="shared" ca="1" si="68"/>
        <v>0.17606657004125661</v>
      </c>
      <c r="Z104" s="4"/>
      <c r="AA104" s="159">
        <f t="shared" si="78"/>
        <v>4.3979999999999997</v>
      </c>
      <c r="AB104" s="160"/>
      <c r="AC104" s="100">
        <f>VLOOKUP($A104,[1]!CurveTable,MATCH($AC$4,[1]!CurveType,0))+$AC$9</f>
        <v>0.17</v>
      </c>
      <c r="AD104" s="100">
        <f>VLOOKUP($A104,[1]!CurveTable,MATCH($AD$4,[1]!CurveType,0))+$AD$9</f>
        <v>0.17500000000000002</v>
      </c>
      <c r="AE104" s="158">
        <f t="shared" ca="1" si="69"/>
        <v>0.17606657004125661</v>
      </c>
      <c r="AF104" s="4"/>
      <c r="AG104" s="52">
        <f ca="1">((Inputs!$F$20*(X104*AD104)*(A104-$C$3))+(Inputs!$F$19*W104*AC104*(DAY(EOMONTH(A104,0))/2)))/(AN104*Y104*AE104)</f>
        <v>0.74999999999999989</v>
      </c>
      <c r="AH104" s="4"/>
      <c r="AI104" s="18">
        <f>Inputs!$B$15</f>
        <v>0.06</v>
      </c>
      <c r="AJ104" s="46"/>
      <c r="AK104" s="18">
        <f t="shared" si="70"/>
        <v>0.47399999999999981</v>
      </c>
      <c r="AL104" s="46"/>
      <c r="AM104" s="62">
        <f t="shared" si="71"/>
        <v>40968</v>
      </c>
      <c r="AN104" s="63">
        <f t="shared" ca="1" si="72"/>
        <v>3775</v>
      </c>
      <c r="AO104" s="63">
        <f t="shared" si="99"/>
        <v>1</v>
      </c>
      <c r="AP104" s="19"/>
      <c r="AQ104" s="74">
        <f ca="1">_xll.SPRDOPT(U104,AA104,AI104,AX104,X104,AD104,AG104,AN104,AO104,0)</f>
        <v>0.56312704664901692</v>
      </c>
      <c r="AR104" s="47">
        <f t="shared" ca="1" si="79"/>
        <v>844690.56997352536</v>
      </c>
      <c r="AS104" s="135">
        <f t="shared" ca="1" si="80"/>
        <v>8.9127046649017105E-2</v>
      </c>
      <c r="AU104" s="5">
        <f t="shared" si="100"/>
        <v>30</v>
      </c>
      <c r="AV104" s="148">
        <f t="shared" si="73"/>
        <v>41014</v>
      </c>
      <c r="AW104" s="41">
        <f t="shared" ca="1" si="74"/>
        <v>3821</v>
      </c>
      <c r="AX104" s="100">
        <f>VLOOKUP($A104,[1]!CurveTable,MATCH(AX$4,[1]!CurveType,0))</f>
        <v>5.5182034199987601E-2</v>
      </c>
      <c r="AY104" s="149">
        <f ca="1">1/(1+CHOOSE(F$3,(AX105+(Inputs!$B$14/10000))/2,(AX104+(Inputs!$B$14/10000))/2))^(2*AW104/365.25)</f>
        <v>0.56583258092263655</v>
      </c>
      <c r="AZ104" s="41">
        <f t="shared" si="101"/>
        <v>1</v>
      </c>
      <c r="BA104" s="72">
        <f t="shared" si="102"/>
        <v>30</v>
      </c>
      <c r="BC104" s="65">
        <f t="shared" ca="1" si="81"/>
        <v>3672536.3664783724</v>
      </c>
      <c r="BD104" s="65">
        <f t="shared" ca="1" si="82"/>
        <v>3719217.5544044897</v>
      </c>
      <c r="BE104" s="65">
        <f t="shared" ca="1" si="83"/>
        <v>3719217.5544044897</v>
      </c>
      <c r="BF104" s="65">
        <f t="shared" ca="1" si="84"/>
        <v>466811.87926117517</v>
      </c>
      <c r="BG104" s="65">
        <f t="shared" ca="1" si="85"/>
        <v>466811.87926117517</v>
      </c>
      <c r="BH104" s="65">
        <f t="shared" ca="1" si="86"/>
        <v>466811.87926117517</v>
      </c>
      <c r="BI104" s="65">
        <f t="shared" ca="1" si="87"/>
        <v>0</v>
      </c>
      <c r="BJ104" s="65">
        <f t="shared" ca="1" si="88"/>
        <v>0</v>
      </c>
      <c r="BK104" s="65">
        <f t="shared" ca="1" si="89"/>
        <v>0</v>
      </c>
      <c r="BL104" s="65">
        <f t="shared" ca="1" si="90"/>
        <v>13579.981942143277</v>
      </c>
      <c r="BM104" s="65">
        <f t="shared" ca="1" si="91"/>
        <v>13579.981942143277</v>
      </c>
      <c r="BN104" s="65">
        <f t="shared" ca="1" si="92"/>
        <v>13579.981942143277</v>
      </c>
      <c r="BO104" s="65">
        <f t="shared" ca="1" si="93"/>
        <v>8487.4887138395479</v>
      </c>
      <c r="BP104" s="65">
        <f t="shared" ca="1" si="94"/>
        <v>0</v>
      </c>
      <c r="BQ104" s="65">
        <f t="shared" ca="1" si="95"/>
        <v>0</v>
      </c>
      <c r="BR104" s="65">
        <f t="shared" ca="1" si="96"/>
        <v>4186029.4336656644</v>
      </c>
      <c r="BS104" s="65">
        <f t="shared" ca="1" si="97"/>
        <v>3732797.536346633</v>
      </c>
      <c r="BT104" s="65">
        <f t="shared" ca="1" si="98"/>
        <v>50924.932283037284</v>
      </c>
      <c r="BU104" s="65">
        <f t="shared" ca="1" si="75"/>
        <v>402306.96503599442</v>
      </c>
    </row>
    <row r="105" spans="1:73">
      <c r="A105" s="42">
        <f t="shared" si="76"/>
        <v>41030</v>
      </c>
      <c r="B105" s="30">
        <f>Inputs!$B$8</f>
        <v>50000</v>
      </c>
      <c r="C105" s="17">
        <f t="shared" si="66"/>
        <v>1550000</v>
      </c>
      <c r="D105" s="17">
        <f t="shared" ca="1" si="67"/>
        <v>872623.47088907822</v>
      </c>
      <c r="E105" s="25">
        <f>VLOOKUP($A105,[1]!CurveTable,MATCH($E$4,[1]!CurveType,0))</f>
        <v>4.3319999999999999</v>
      </c>
      <c r="F105" s="31">
        <f>E105-Inputs!$B$16</f>
        <v>4.3869999999999996</v>
      </c>
      <c r="G105" s="43">
        <f t="shared" si="103"/>
        <v>4.3869999999999996</v>
      </c>
      <c r="H105" s="25">
        <f>VLOOKUP($A105,[1]!CurveTable,MATCH($H$4,[1]!CurveType,0))</f>
        <v>0.7</v>
      </c>
      <c r="I105" s="31">
        <f>H105+Inputs!$B$22</f>
        <v>0.7</v>
      </c>
      <c r="J105" s="44">
        <f t="shared" si="104"/>
        <v>0.7</v>
      </c>
      <c r="K105" s="25">
        <f>VLOOKUP($A105,[1]!CurveTable,MATCH($K$4,[1]!CurveType,0))</f>
        <v>0</v>
      </c>
      <c r="L105" s="31">
        <v>0</v>
      </c>
      <c r="M105" s="45">
        <f t="shared" si="105"/>
        <v>0</v>
      </c>
      <c r="N105" s="25">
        <f>VLOOKUP($A105,[1]!CurveTable,MATCH($N$4,[1]!CurveType,0))</f>
        <v>1.8500000000000003E-2</v>
      </c>
      <c r="O105" s="31">
        <f>N105+Inputs!$E$22</f>
        <v>1.8500000000000003E-2</v>
      </c>
      <c r="P105" s="45">
        <f t="shared" si="106"/>
        <v>1.8500000000000003E-2</v>
      </c>
      <c r="Q105" s="25">
        <f>VLOOKUP($A105,[1]!CurveTable,MATCH($Q$4,[1]!CurveType,0))</f>
        <v>0.01</v>
      </c>
      <c r="R105" s="31">
        <v>0</v>
      </c>
      <c r="S105" s="45">
        <f t="shared" si="107"/>
        <v>0</v>
      </c>
      <c r="T105" s="4"/>
      <c r="U105" s="159">
        <f t="shared" si="77"/>
        <v>5.0869999999999997</v>
      </c>
      <c r="V105" s="160"/>
      <c r="W105" s="100">
        <f>VLOOKUP($A105,[1]!CurveTable,MATCH($W$4,[1]!CurveType,0))+$W$9</f>
        <v>0.34</v>
      </c>
      <c r="X105" s="100">
        <f>VLOOKUP($A105,[1]!CurveTable,MATCH($X$4,[1]!CurveType,0))+$X$9</f>
        <v>0.34500000000000003</v>
      </c>
      <c r="Y105" s="158">
        <f t="shared" ca="1" si="68"/>
        <v>0.34708103616409225</v>
      </c>
      <c r="Z105" s="4"/>
      <c r="AA105" s="159">
        <f t="shared" si="78"/>
        <v>4.4055</v>
      </c>
      <c r="AB105" s="160"/>
      <c r="AC105" s="100">
        <f>VLOOKUP($A105,[1]!CurveTable,MATCH($AC$4,[1]!CurveType,0))+$AC$9</f>
        <v>0.17</v>
      </c>
      <c r="AD105" s="100">
        <f>VLOOKUP($A105,[1]!CurveTable,MATCH($AD$4,[1]!CurveType,0))+$AD$9</f>
        <v>0.17500000000000002</v>
      </c>
      <c r="AE105" s="158">
        <f t="shared" ca="1" si="69"/>
        <v>0.17604583895851819</v>
      </c>
      <c r="AF105" s="4"/>
      <c r="AG105" s="52">
        <f ca="1">((Inputs!$F$20*(X105*AD105)*(A105-$C$3))+(Inputs!$F$19*W105*AC105*(DAY(EOMONTH(A105,0))/2)))/(AN105*Y105*AE105)</f>
        <v>0.74999970205106636</v>
      </c>
      <c r="AH105" s="4"/>
      <c r="AI105" s="18">
        <f>Inputs!$B$15</f>
        <v>0.06</v>
      </c>
      <c r="AJ105" s="46"/>
      <c r="AK105" s="18">
        <f t="shared" si="70"/>
        <v>0.62149999999999972</v>
      </c>
      <c r="AL105" s="46"/>
      <c r="AM105" s="62">
        <f t="shared" si="71"/>
        <v>40999</v>
      </c>
      <c r="AN105" s="63">
        <f t="shared" ca="1" si="72"/>
        <v>3806</v>
      </c>
      <c r="AO105" s="63">
        <f t="shared" si="99"/>
        <v>1</v>
      </c>
      <c r="AP105" s="19"/>
      <c r="AQ105" s="74">
        <f ca="1">_xll.SPRDOPT(U105,AA105,AI105,AX105,X105,AD105,AG105,AN105,AO105,0)</f>
        <v>1.007705215468367</v>
      </c>
      <c r="AR105" s="47">
        <f t="shared" ca="1" si="79"/>
        <v>1561943.0839759689</v>
      </c>
      <c r="AS105" s="135">
        <f t="shared" ca="1" si="80"/>
        <v>0.38620521546836728</v>
      </c>
      <c r="AU105" s="5">
        <f t="shared" si="100"/>
        <v>31</v>
      </c>
      <c r="AV105" s="148">
        <f t="shared" si="73"/>
        <v>41044</v>
      </c>
      <c r="AW105" s="41">
        <f t="shared" ca="1" si="74"/>
        <v>3851</v>
      </c>
      <c r="AX105" s="100">
        <f>VLOOKUP($A105,[1]!CurveTable,MATCH(AX$4,[1]!CurveType,0))</f>
        <v>5.5238369075457004E-2</v>
      </c>
      <c r="AY105" s="149">
        <f ca="1">1/(1+CHOOSE(F$3,(AX106+(Inputs!$B$14/10000))/2,(AX105+(Inputs!$B$14/10000))/2))^(2*AW105/365.25)</f>
        <v>0.56298288444456657</v>
      </c>
      <c r="AZ105" s="41">
        <f t="shared" si="101"/>
        <v>1</v>
      </c>
      <c r="BA105" s="72">
        <f t="shared" si="102"/>
        <v>31</v>
      </c>
      <c r="BC105" s="65">
        <f t="shared" ca="1" si="81"/>
        <v>3780204.8758914866</v>
      </c>
      <c r="BD105" s="65">
        <f t="shared" ca="1" si="82"/>
        <v>3828199.1667903857</v>
      </c>
      <c r="BE105" s="65">
        <f t="shared" ca="1" si="83"/>
        <v>3828199.1667903857</v>
      </c>
      <c r="BF105" s="65">
        <f t="shared" ca="1" si="84"/>
        <v>610836.42962235468</v>
      </c>
      <c r="BG105" s="65">
        <f t="shared" ca="1" si="85"/>
        <v>610836.42962235468</v>
      </c>
      <c r="BH105" s="65">
        <f t="shared" ca="1" si="86"/>
        <v>610836.42962235468</v>
      </c>
      <c r="BI105" s="65">
        <f t="shared" ca="1" si="87"/>
        <v>0</v>
      </c>
      <c r="BJ105" s="65">
        <f t="shared" ca="1" si="88"/>
        <v>0</v>
      </c>
      <c r="BK105" s="65">
        <f t="shared" ca="1" si="89"/>
        <v>0</v>
      </c>
      <c r="BL105" s="65">
        <f t="shared" ca="1" si="90"/>
        <v>16143.53421144795</v>
      </c>
      <c r="BM105" s="65">
        <f t="shared" ca="1" si="91"/>
        <v>16143.53421144795</v>
      </c>
      <c r="BN105" s="65">
        <f t="shared" ca="1" si="92"/>
        <v>16143.53421144795</v>
      </c>
      <c r="BO105" s="65">
        <f t="shared" ca="1" si="93"/>
        <v>8726.2347088907827</v>
      </c>
      <c r="BP105" s="65">
        <f t="shared" ca="1" si="94"/>
        <v>0</v>
      </c>
      <c r="BQ105" s="65">
        <f t="shared" ca="1" si="95"/>
        <v>0</v>
      </c>
      <c r="BR105" s="65">
        <f t="shared" ca="1" si="96"/>
        <v>4439035.5964127406</v>
      </c>
      <c r="BS105" s="65">
        <f t="shared" ca="1" si="97"/>
        <v>3844342.7010018341</v>
      </c>
      <c r="BT105" s="65">
        <f t="shared" ca="1" si="98"/>
        <v>52357.408253344693</v>
      </c>
      <c r="BU105" s="65">
        <f t="shared" ca="1" si="75"/>
        <v>542335.48715756182</v>
      </c>
    </row>
    <row r="106" spans="1:73">
      <c r="A106" s="42">
        <f t="shared" si="76"/>
        <v>41061</v>
      </c>
      <c r="B106" s="30">
        <f>Inputs!$B$8</f>
        <v>50000</v>
      </c>
      <c r="C106" s="17">
        <f t="shared" si="66"/>
        <v>1500000</v>
      </c>
      <c r="D106" s="17">
        <f t="shared" ca="1" si="67"/>
        <v>840071.97828873957</v>
      </c>
      <c r="E106" s="25">
        <f>VLOOKUP($A106,[1]!CurveTable,MATCH($E$4,[1]!CurveType,0))</f>
        <v>4.37</v>
      </c>
      <c r="F106" s="31">
        <f>E106-Inputs!$B$16</f>
        <v>4.4249999999999998</v>
      </c>
      <c r="G106" s="43">
        <f t="shared" si="103"/>
        <v>4.4249999999999998</v>
      </c>
      <c r="H106" s="25">
        <f>VLOOKUP($A106,[1]!CurveTable,MATCH($H$4,[1]!CurveType,0))</f>
        <v>0.8</v>
      </c>
      <c r="I106" s="31">
        <f>H106+Inputs!$B$22</f>
        <v>0.8</v>
      </c>
      <c r="J106" s="44">
        <f t="shared" si="104"/>
        <v>0.8</v>
      </c>
      <c r="K106" s="25">
        <f>VLOOKUP($A106,[1]!CurveTable,MATCH($K$4,[1]!CurveType,0))</f>
        <v>0</v>
      </c>
      <c r="L106" s="31">
        <v>0</v>
      </c>
      <c r="M106" s="45">
        <f t="shared" si="105"/>
        <v>0</v>
      </c>
      <c r="N106" s="25">
        <f>VLOOKUP($A106,[1]!CurveTable,MATCH($N$4,[1]!CurveType,0))</f>
        <v>1.6E-2</v>
      </c>
      <c r="O106" s="31">
        <f>N106+Inputs!$E$22</f>
        <v>1.6E-2</v>
      </c>
      <c r="P106" s="45">
        <f t="shared" si="106"/>
        <v>1.6E-2</v>
      </c>
      <c r="Q106" s="25">
        <f>VLOOKUP($A106,[1]!CurveTable,MATCH($Q$4,[1]!CurveType,0))</f>
        <v>0.01</v>
      </c>
      <c r="R106" s="31">
        <v>0</v>
      </c>
      <c r="S106" s="45">
        <f t="shared" si="107"/>
        <v>0</v>
      </c>
      <c r="T106" s="4"/>
      <c r="U106" s="159">
        <f t="shared" si="77"/>
        <v>5.2249999999999996</v>
      </c>
      <c r="V106" s="160"/>
      <c r="W106" s="100">
        <f>VLOOKUP($A106,[1]!CurveTable,MATCH($W$4,[1]!CurveType,0))+$W$9</f>
        <v>0.34</v>
      </c>
      <c r="X106" s="100">
        <f>VLOOKUP($A106,[1]!CurveTable,MATCH($X$4,[1]!CurveType,0))+$X$9</f>
        <v>0.34500000000000003</v>
      </c>
      <c r="Y106" s="158">
        <f t="shared" ca="1" si="68"/>
        <v>0.34708780250621357</v>
      </c>
      <c r="Z106" s="4"/>
      <c r="AA106" s="159">
        <f t="shared" si="78"/>
        <v>4.4409999999999998</v>
      </c>
      <c r="AB106" s="160"/>
      <c r="AC106" s="100">
        <f>VLOOKUP($A106,[1]!CurveTable,MATCH($AC$4,[1]!CurveType,0))+$AC$9</f>
        <v>0.17</v>
      </c>
      <c r="AD106" s="100">
        <f>VLOOKUP($A106,[1]!CurveTable,MATCH($AD$4,[1]!CurveType,0))+$AD$9</f>
        <v>0.17500000000000002</v>
      </c>
      <c r="AE106" s="158">
        <f t="shared" ca="1" si="69"/>
        <v>0.17604966002403324</v>
      </c>
      <c r="AF106" s="4"/>
      <c r="AG106" s="52">
        <f ca="1">((Inputs!$F$20*(X106*AD106)*(A106-$C$3))+(Inputs!$F$19*W106*AC106*(DAY(EOMONTH(A106,0))/2)))/(AN106*Y106*AE106)</f>
        <v>0.74999971388498843</v>
      </c>
      <c r="AH106" s="4"/>
      <c r="AI106" s="18">
        <f>Inputs!$B$15</f>
        <v>0.06</v>
      </c>
      <c r="AJ106" s="46"/>
      <c r="AK106" s="18">
        <f t="shared" si="70"/>
        <v>0.72399999999999975</v>
      </c>
      <c r="AL106" s="46"/>
      <c r="AM106" s="62">
        <f t="shared" si="71"/>
        <v>41029</v>
      </c>
      <c r="AN106" s="63">
        <f t="shared" ca="1" si="72"/>
        <v>3836</v>
      </c>
      <c r="AO106" s="63">
        <f t="shared" si="99"/>
        <v>1</v>
      </c>
      <c r="AP106" s="19"/>
      <c r="AQ106" s="74">
        <f ca="1">_xll.SPRDOPT(U106,AA106,AI106,AX106,X106,AD106,AG106,AN106,AO106,0)</f>
        <v>1.0526148678443972</v>
      </c>
      <c r="AR106" s="47">
        <f t="shared" ca="1" si="79"/>
        <v>1578922.3017665958</v>
      </c>
      <c r="AS106" s="135">
        <f t="shared" ca="1" si="80"/>
        <v>0.32861486784439742</v>
      </c>
      <c r="AU106" s="5">
        <f t="shared" si="100"/>
        <v>30</v>
      </c>
      <c r="AV106" s="148">
        <f t="shared" si="73"/>
        <v>41075</v>
      </c>
      <c r="AW106" s="41">
        <f t="shared" ca="1" si="74"/>
        <v>3882</v>
      </c>
      <c r="AX106" s="100">
        <f>VLOOKUP($A106,[1]!CurveTable,MATCH(AX$4,[1]!CurveType,0))</f>
        <v>5.5296581781219004E-2</v>
      </c>
      <c r="AY106" s="149">
        <f ca="1">1/(1+CHOOSE(F$3,(AX107+(Inputs!$B$14/10000))/2,(AX106+(Inputs!$B$14/10000))/2))^(2*AW106/365.25)</f>
        <v>0.56004798552582635</v>
      </c>
      <c r="AZ106" s="41">
        <f t="shared" si="101"/>
        <v>1</v>
      </c>
      <c r="BA106" s="72">
        <f t="shared" si="102"/>
        <v>30</v>
      </c>
      <c r="BC106" s="65">
        <f t="shared" ca="1" si="81"/>
        <v>3671114.5451217922</v>
      </c>
      <c r="BD106" s="65">
        <f t="shared" ca="1" si="82"/>
        <v>3717318.5039276723</v>
      </c>
      <c r="BE106" s="65">
        <f t="shared" ca="1" si="83"/>
        <v>3717318.5039276723</v>
      </c>
      <c r="BF106" s="65">
        <f t="shared" ca="1" si="84"/>
        <v>672057.5826309917</v>
      </c>
      <c r="BG106" s="65">
        <f t="shared" ca="1" si="85"/>
        <v>672057.5826309917</v>
      </c>
      <c r="BH106" s="65">
        <f t="shared" ca="1" si="86"/>
        <v>672057.5826309917</v>
      </c>
      <c r="BI106" s="65">
        <f t="shared" ca="1" si="87"/>
        <v>0</v>
      </c>
      <c r="BJ106" s="65">
        <f t="shared" ca="1" si="88"/>
        <v>0</v>
      </c>
      <c r="BK106" s="65">
        <f t="shared" ca="1" si="89"/>
        <v>0</v>
      </c>
      <c r="BL106" s="65">
        <f t="shared" ca="1" si="90"/>
        <v>13441.151652619834</v>
      </c>
      <c r="BM106" s="65">
        <f t="shared" ca="1" si="91"/>
        <v>13441.151652619834</v>
      </c>
      <c r="BN106" s="65">
        <f t="shared" ca="1" si="92"/>
        <v>13441.151652619834</v>
      </c>
      <c r="BO106" s="65">
        <f t="shared" ca="1" si="93"/>
        <v>8400.7197828873959</v>
      </c>
      <c r="BP106" s="65">
        <f t="shared" ca="1" si="94"/>
        <v>0</v>
      </c>
      <c r="BQ106" s="65">
        <f t="shared" ca="1" si="95"/>
        <v>0</v>
      </c>
      <c r="BR106" s="65">
        <f t="shared" ca="1" si="96"/>
        <v>4389376.0865586642</v>
      </c>
      <c r="BS106" s="65">
        <f t="shared" ca="1" si="97"/>
        <v>3730759.6555802925</v>
      </c>
      <c r="BT106" s="65">
        <f t="shared" ca="1" si="98"/>
        <v>50404.318697324372</v>
      </c>
      <c r="BU106" s="65">
        <f t="shared" ca="1" si="75"/>
        <v>608212.11228104727</v>
      </c>
    </row>
    <row r="107" spans="1:73">
      <c r="A107" s="42">
        <f t="shared" si="76"/>
        <v>41091</v>
      </c>
      <c r="B107" s="30">
        <f>Inputs!$B$8</f>
        <v>50000</v>
      </c>
      <c r="C107" s="17">
        <f t="shared" si="66"/>
        <v>1550000</v>
      </c>
      <c r="D107" s="17">
        <f t="shared" ca="1" si="67"/>
        <v>863686.71694088983</v>
      </c>
      <c r="E107" s="25">
        <f>VLOOKUP($A107,[1]!CurveTable,MATCH($E$4,[1]!CurveType,0))</f>
        <v>4.415</v>
      </c>
      <c r="F107" s="31">
        <f>E107-Inputs!$B$16</f>
        <v>4.47</v>
      </c>
      <c r="G107" s="43">
        <f t="shared" si="103"/>
        <v>4.47</v>
      </c>
      <c r="H107" s="25">
        <f>VLOOKUP($A107,[1]!CurveTable,MATCH($H$4,[1]!CurveType,0))</f>
        <v>1</v>
      </c>
      <c r="I107" s="31">
        <f>H107+Inputs!$B$22</f>
        <v>1</v>
      </c>
      <c r="J107" s="44">
        <f t="shared" si="104"/>
        <v>1</v>
      </c>
      <c r="K107" s="25">
        <f>VLOOKUP($A107,[1]!CurveTable,MATCH($K$4,[1]!CurveType,0))</f>
        <v>0</v>
      </c>
      <c r="L107" s="31">
        <v>0</v>
      </c>
      <c r="M107" s="45">
        <f t="shared" si="105"/>
        <v>0</v>
      </c>
      <c r="N107" s="25">
        <f>VLOOKUP($A107,[1]!CurveTable,MATCH($N$4,[1]!CurveType,0))</f>
        <v>1.35E-2</v>
      </c>
      <c r="O107" s="31">
        <f>N107+Inputs!$E$22</f>
        <v>1.35E-2</v>
      </c>
      <c r="P107" s="45">
        <f t="shared" si="106"/>
        <v>1.35E-2</v>
      </c>
      <c r="Q107" s="25">
        <f>VLOOKUP($A107,[1]!CurveTable,MATCH($Q$4,[1]!CurveType,0))</f>
        <v>0.01</v>
      </c>
      <c r="R107" s="31">
        <v>0</v>
      </c>
      <c r="S107" s="45">
        <f t="shared" si="107"/>
        <v>0</v>
      </c>
      <c r="T107" s="4"/>
      <c r="U107" s="159">
        <f t="shared" si="77"/>
        <v>5.47</v>
      </c>
      <c r="V107" s="160"/>
      <c r="W107" s="100">
        <f>VLOOKUP($A107,[1]!CurveTable,MATCH($W$4,[1]!CurveType,0))+$W$9</f>
        <v>0.34</v>
      </c>
      <c r="X107" s="100">
        <f>VLOOKUP($A107,[1]!CurveTable,MATCH($X$4,[1]!CurveType,0))+$X$9</f>
        <v>0.34500000000000003</v>
      </c>
      <c r="Y107" s="158">
        <f t="shared" ca="1" si="68"/>
        <v>0.34704830572462919</v>
      </c>
      <c r="Z107" s="4"/>
      <c r="AA107" s="159">
        <f t="shared" si="78"/>
        <v>4.4834999999999994</v>
      </c>
      <c r="AB107" s="160"/>
      <c r="AC107" s="100">
        <f>VLOOKUP($A107,[1]!CurveTable,MATCH($AC$4,[1]!CurveType,0))+$AC$9</f>
        <v>0.17</v>
      </c>
      <c r="AD107" s="100">
        <f>VLOOKUP($A107,[1]!CurveTable,MATCH($AD$4,[1]!CurveType,0))+$AD$9</f>
        <v>0.17500000000000002</v>
      </c>
      <c r="AE107" s="158">
        <f t="shared" ca="1" si="69"/>
        <v>0.17602938960484632</v>
      </c>
      <c r="AF107" s="4"/>
      <c r="AG107" s="52">
        <f ca="1">((Inputs!$F$20*(X107*AD107)*(A107-$C$3))+(Inputs!$F$19*W107*AC107*(DAY(EOMONTH(A107,0))/2)))/(AN107*Y107*AE107)</f>
        <v>0.74999970667831584</v>
      </c>
      <c r="AH107" s="4"/>
      <c r="AI107" s="18">
        <f>Inputs!$B$15</f>
        <v>0.06</v>
      </c>
      <c r="AJ107" s="46"/>
      <c r="AK107" s="18">
        <f t="shared" si="70"/>
        <v>0.92650000000000032</v>
      </c>
      <c r="AL107" s="46"/>
      <c r="AM107" s="62">
        <f t="shared" si="71"/>
        <v>41060</v>
      </c>
      <c r="AN107" s="63">
        <f t="shared" ca="1" si="72"/>
        <v>3867</v>
      </c>
      <c r="AO107" s="63">
        <f t="shared" si="99"/>
        <v>1</v>
      </c>
      <c r="AP107" s="19"/>
      <c r="AQ107" s="74">
        <f ca="1">_xll.SPRDOPT(U107,AA107,AI107,AX107,X107,AD107,AG107,AN107,AO107,0)</f>
        <v>1.139390612262333</v>
      </c>
      <c r="AR107" s="47">
        <f t="shared" ca="1" si="79"/>
        <v>1766055.4490066161</v>
      </c>
      <c r="AS107" s="135">
        <f t="shared" ca="1" si="80"/>
        <v>0.21289061226233263</v>
      </c>
      <c r="AU107" s="5">
        <f t="shared" si="100"/>
        <v>31</v>
      </c>
      <c r="AV107" s="148">
        <f t="shared" si="73"/>
        <v>41105</v>
      </c>
      <c r="AW107" s="41">
        <f t="shared" ca="1" si="74"/>
        <v>3912</v>
      </c>
      <c r="AX107" s="100">
        <f>VLOOKUP($A107,[1]!CurveTable,MATCH(AX$4,[1]!CurveType,0))</f>
        <v>5.5352916658837403E-2</v>
      </c>
      <c r="AY107" s="149">
        <f ca="1">1/(1+CHOOSE(F$3,(AX108+(Inputs!$B$14/10000))/2,(AX107+(Inputs!$B$14/10000))/2))^(2*AW107/365.25)</f>
        <v>0.55721723673605794</v>
      </c>
      <c r="AZ107" s="41">
        <f t="shared" si="101"/>
        <v>1</v>
      </c>
      <c r="BA107" s="72">
        <f t="shared" si="102"/>
        <v>31</v>
      </c>
      <c r="BC107" s="65">
        <f t="shared" ca="1" si="81"/>
        <v>3813176.8552940288</v>
      </c>
      <c r="BD107" s="65">
        <f t="shared" ca="1" si="82"/>
        <v>3860679.6247257772</v>
      </c>
      <c r="BE107" s="65">
        <f t="shared" ca="1" si="83"/>
        <v>3860679.6247257772</v>
      </c>
      <c r="BF107" s="65">
        <f t="shared" ca="1" si="84"/>
        <v>863686.71694088983</v>
      </c>
      <c r="BG107" s="65">
        <f t="shared" ca="1" si="85"/>
        <v>863686.71694088983</v>
      </c>
      <c r="BH107" s="65">
        <f t="shared" ca="1" si="86"/>
        <v>863686.71694088983</v>
      </c>
      <c r="BI107" s="65">
        <f t="shared" ca="1" si="87"/>
        <v>0</v>
      </c>
      <c r="BJ107" s="65">
        <f t="shared" ca="1" si="88"/>
        <v>0</v>
      </c>
      <c r="BK107" s="65">
        <f t="shared" ca="1" si="89"/>
        <v>0</v>
      </c>
      <c r="BL107" s="65">
        <f t="shared" ca="1" si="90"/>
        <v>11659.770678702012</v>
      </c>
      <c r="BM107" s="65">
        <f t="shared" ca="1" si="91"/>
        <v>11659.770678702012</v>
      </c>
      <c r="BN107" s="65">
        <f t="shared" ca="1" si="92"/>
        <v>11659.770678702012</v>
      </c>
      <c r="BO107" s="65">
        <f t="shared" ca="1" si="93"/>
        <v>8636.8671694088989</v>
      </c>
      <c r="BP107" s="65">
        <f t="shared" ca="1" si="94"/>
        <v>0</v>
      </c>
      <c r="BQ107" s="65">
        <f t="shared" ca="1" si="95"/>
        <v>0</v>
      </c>
      <c r="BR107" s="65">
        <f t="shared" ca="1" si="96"/>
        <v>4724366.3416666668</v>
      </c>
      <c r="BS107" s="65">
        <f t="shared" ca="1" si="97"/>
        <v>3872339.395404479</v>
      </c>
      <c r="BT107" s="65">
        <f t="shared" ca="1" si="98"/>
        <v>51821.203016453386</v>
      </c>
      <c r="BU107" s="65">
        <f t="shared" ca="1" si="75"/>
        <v>800205.74324573472</v>
      </c>
    </row>
    <row r="108" spans="1:73">
      <c r="A108" s="42">
        <f t="shared" si="76"/>
        <v>41122</v>
      </c>
      <c r="B108" s="30">
        <f>Inputs!$B$8</f>
        <v>50000</v>
      </c>
      <c r="C108" s="17">
        <f t="shared" si="66"/>
        <v>1550000</v>
      </c>
      <c r="D108" s="17">
        <f t="shared" ca="1" si="67"/>
        <v>859167.98472905357</v>
      </c>
      <c r="E108" s="25">
        <f>VLOOKUP($A108,[1]!CurveTable,MATCH($E$4,[1]!CurveType,0))</f>
        <v>4.4530000000000003</v>
      </c>
      <c r="F108" s="31">
        <f>E108-Inputs!$B$16</f>
        <v>4.508</v>
      </c>
      <c r="G108" s="43">
        <f t="shared" si="103"/>
        <v>4.508</v>
      </c>
      <c r="H108" s="25">
        <f>VLOOKUP($A108,[1]!CurveTable,MATCH($H$4,[1]!CurveType,0))</f>
        <v>1</v>
      </c>
      <c r="I108" s="31">
        <f>H108+Inputs!$B$22</f>
        <v>1</v>
      </c>
      <c r="J108" s="44">
        <f t="shared" si="104"/>
        <v>1</v>
      </c>
      <c r="K108" s="25">
        <f>VLOOKUP($A108,[1]!CurveTable,MATCH($K$4,[1]!CurveType,0))</f>
        <v>0</v>
      </c>
      <c r="L108" s="31">
        <v>0</v>
      </c>
      <c r="M108" s="45">
        <f t="shared" si="105"/>
        <v>0</v>
      </c>
      <c r="N108" s="25">
        <f>VLOOKUP($A108,[1]!CurveTable,MATCH($N$4,[1]!CurveType,0))</f>
        <v>1.35E-2</v>
      </c>
      <c r="O108" s="31">
        <f>N108+Inputs!$E$22</f>
        <v>1.35E-2</v>
      </c>
      <c r="P108" s="45">
        <f t="shared" si="106"/>
        <v>1.35E-2</v>
      </c>
      <c r="Q108" s="25">
        <f>VLOOKUP($A108,[1]!CurveTable,MATCH($Q$4,[1]!CurveType,0))</f>
        <v>0.01</v>
      </c>
      <c r="R108" s="31">
        <v>0</v>
      </c>
      <c r="S108" s="45">
        <f t="shared" si="107"/>
        <v>0</v>
      </c>
      <c r="T108" s="4"/>
      <c r="U108" s="159">
        <f t="shared" si="77"/>
        <v>5.508</v>
      </c>
      <c r="V108" s="160"/>
      <c r="W108" s="100">
        <f>VLOOKUP($A108,[1]!CurveTable,MATCH($W$4,[1]!CurveType,0))+$W$9</f>
        <v>0.34</v>
      </c>
      <c r="X108" s="100">
        <f>VLOOKUP($A108,[1]!CurveTable,MATCH($X$4,[1]!CurveType,0))+$X$9</f>
        <v>0.34500000000000003</v>
      </c>
      <c r="Y108" s="158">
        <f t="shared" ca="1" si="68"/>
        <v>0.34707658634265764</v>
      </c>
      <c r="Z108" s="4"/>
      <c r="AA108" s="159">
        <f t="shared" si="78"/>
        <v>4.5214999999999996</v>
      </c>
      <c r="AB108" s="160"/>
      <c r="AC108" s="100">
        <f>VLOOKUP($A108,[1]!CurveTable,MATCH($AC$4,[1]!CurveType,0))+$AC$9</f>
        <v>0.17</v>
      </c>
      <c r="AD108" s="100">
        <f>VLOOKUP($A108,[1]!CurveTable,MATCH($AD$4,[1]!CurveType,0))+$AD$9</f>
        <v>0.17500000000000002</v>
      </c>
      <c r="AE108" s="158">
        <f t="shared" ca="1" si="69"/>
        <v>0.17604380957421398</v>
      </c>
      <c r="AF108" s="4"/>
      <c r="AG108" s="52">
        <f ca="1">((Inputs!$F$20*(X108*AD108)*(A108-$C$3))+(Inputs!$F$19*W108*AC108*(DAY(EOMONTH(A108,0))/2)))/(AN108*Y108*AE108)</f>
        <v>0.74999970897522095</v>
      </c>
      <c r="AH108" s="4"/>
      <c r="AI108" s="18">
        <f>Inputs!$B$15</f>
        <v>0.06</v>
      </c>
      <c r="AJ108" s="46"/>
      <c r="AK108" s="18">
        <f t="shared" si="70"/>
        <v>0.92650000000000032</v>
      </c>
      <c r="AL108" s="46"/>
      <c r="AM108" s="62">
        <f t="shared" si="71"/>
        <v>41090</v>
      </c>
      <c r="AN108" s="63">
        <f t="shared" ca="1" si="72"/>
        <v>3897</v>
      </c>
      <c r="AO108" s="63">
        <f t="shared" si="99"/>
        <v>1</v>
      </c>
      <c r="AP108" s="19"/>
      <c r="AQ108" s="74">
        <f ca="1">_xll.SPRDOPT(U108,AA108,AI108,AX108,X108,AD108,AG108,AN108,AO108,0)</f>
        <v>1.142885825198575</v>
      </c>
      <c r="AR108" s="47">
        <f t="shared" ca="1" si="79"/>
        <v>1771473.0290577912</v>
      </c>
      <c r="AS108" s="135">
        <f t="shared" ca="1" si="80"/>
        <v>0.21638582519857463</v>
      </c>
      <c r="AU108" s="5">
        <f t="shared" si="100"/>
        <v>31</v>
      </c>
      <c r="AV108" s="148">
        <f t="shared" si="73"/>
        <v>41136</v>
      </c>
      <c r="AW108" s="41">
        <f t="shared" ca="1" si="74"/>
        <v>3943</v>
      </c>
      <c r="AX108" s="100">
        <f>VLOOKUP($A108,[1]!CurveTable,MATCH(AX$4,[1]!CurveType,0))</f>
        <v>5.54111293668198E-2</v>
      </c>
      <c r="AY108" s="149">
        <f ca="1">1/(1+CHOOSE(F$3,(AX109+(Inputs!$B$14/10000))/2,(AX108+(Inputs!$B$14/10000))/2))^(2*AW108/365.25)</f>
        <v>0.55430192563164749</v>
      </c>
      <c r="AZ108" s="41">
        <f t="shared" si="101"/>
        <v>1</v>
      </c>
      <c r="BA108" s="72">
        <f t="shared" si="102"/>
        <v>31</v>
      </c>
      <c r="BC108" s="65">
        <f t="shared" ca="1" si="81"/>
        <v>3825875.0359984757</v>
      </c>
      <c r="BD108" s="65">
        <f t="shared" ca="1" si="82"/>
        <v>3873129.2751585734</v>
      </c>
      <c r="BE108" s="65">
        <f t="shared" ca="1" si="83"/>
        <v>3873129.2751585734</v>
      </c>
      <c r="BF108" s="65">
        <f t="shared" ca="1" si="84"/>
        <v>859167.98472905357</v>
      </c>
      <c r="BG108" s="65">
        <f t="shared" ca="1" si="85"/>
        <v>859167.98472905357</v>
      </c>
      <c r="BH108" s="65">
        <f t="shared" ca="1" si="86"/>
        <v>859167.98472905357</v>
      </c>
      <c r="BI108" s="65">
        <f t="shared" ca="1" si="87"/>
        <v>0</v>
      </c>
      <c r="BJ108" s="65">
        <f t="shared" ca="1" si="88"/>
        <v>0</v>
      </c>
      <c r="BK108" s="65">
        <f t="shared" ca="1" si="89"/>
        <v>0</v>
      </c>
      <c r="BL108" s="65">
        <f t="shared" ca="1" si="90"/>
        <v>11598.767793842224</v>
      </c>
      <c r="BM108" s="65">
        <f t="shared" ca="1" si="91"/>
        <v>11598.767793842224</v>
      </c>
      <c r="BN108" s="65">
        <f t="shared" ca="1" si="92"/>
        <v>11598.767793842224</v>
      </c>
      <c r="BO108" s="65">
        <f t="shared" ca="1" si="93"/>
        <v>8591.6798472905357</v>
      </c>
      <c r="BP108" s="65">
        <f t="shared" ca="1" si="94"/>
        <v>0</v>
      </c>
      <c r="BQ108" s="65">
        <f t="shared" ca="1" si="95"/>
        <v>0</v>
      </c>
      <c r="BR108" s="65">
        <f t="shared" ca="1" si="96"/>
        <v>4732297.2598876273</v>
      </c>
      <c r="BS108" s="65">
        <f t="shared" ca="1" si="97"/>
        <v>3884728.0429524155</v>
      </c>
      <c r="BT108" s="65">
        <f t="shared" ca="1" si="98"/>
        <v>51550.079083743214</v>
      </c>
      <c r="BU108" s="65">
        <f t="shared" ca="1" si="75"/>
        <v>796019.1378514684</v>
      </c>
    </row>
    <row r="109" spans="1:73">
      <c r="A109" s="42">
        <f t="shared" si="76"/>
        <v>41153</v>
      </c>
      <c r="B109" s="30">
        <f>Inputs!$B$8</f>
        <v>50000</v>
      </c>
      <c r="C109" s="17">
        <f t="shared" si="66"/>
        <v>1500000</v>
      </c>
      <c r="D109" s="17">
        <f t="shared" ca="1" si="67"/>
        <v>827094.86249961017</v>
      </c>
      <c r="E109" s="25">
        <f>VLOOKUP($A109,[1]!CurveTable,MATCH($E$4,[1]!CurveType,0))</f>
        <v>4.4470000000000001</v>
      </c>
      <c r="F109" s="31">
        <f>E109-Inputs!$B$16</f>
        <v>4.5019999999999998</v>
      </c>
      <c r="G109" s="43">
        <f t="shared" si="103"/>
        <v>4.5019999999999998</v>
      </c>
      <c r="H109" s="25">
        <f>VLOOKUP($A109,[1]!CurveTable,MATCH($H$4,[1]!CurveType,0))</f>
        <v>0.6</v>
      </c>
      <c r="I109" s="31">
        <f>H109+Inputs!$B$22</f>
        <v>0.6</v>
      </c>
      <c r="J109" s="44">
        <f t="shared" si="104"/>
        <v>0.6</v>
      </c>
      <c r="K109" s="25">
        <f>VLOOKUP($A109,[1]!CurveTable,MATCH($K$4,[1]!CurveType,0))</f>
        <v>0</v>
      </c>
      <c r="L109" s="31">
        <v>0</v>
      </c>
      <c r="M109" s="45">
        <f t="shared" si="105"/>
        <v>0</v>
      </c>
      <c r="N109" s="25">
        <f>VLOOKUP($A109,[1]!CurveTable,MATCH($N$4,[1]!CurveType,0))</f>
        <v>1.35E-2</v>
      </c>
      <c r="O109" s="31">
        <f>N109+Inputs!$E$22</f>
        <v>1.35E-2</v>
      </c>
      <c r="P109" s="45">
        <f t="shared" si="106"/>
        <v>1.35E-2</v>
      </c>
      <c r="Q109" s="25">
        <f>VLOOKUP($A109,[1]!CurveTable,MATCH($Q$4,[1]!CurveType,0))</f>
        <v>0.01</v>
      </c>
      <c r="R109" s="31">
        <v>0</v>
      </c>
      <c r="S109" s="45">
        <f t="shared" si="107"/>
        <v>0</v>
      </c>
      <c r="T109" s="4"/>
      <c r="U109" s="159">
        <f t="shared" si="77"/>
        <v>5.1019999999999994</v>
      </c>
      <c r="V109" s="160"/>
      <c r="W109" s="100">
        <f>VLOOKUP($A109,[1]!CurveTable,MATCH($W$4,[1]!CurveType,0))+$W$9</f>
        <v>0.34</v>
      </c>
      <c r="X109" s="100">
        <f>VLOOKUP($A109,[1]!CurveTable,MATCH($X$4,[1]!CurveType,0))+$X$9</f>
        <v>0.34500000000000003</v>
      </c>
      <c r="Y109" s="158">
        <f t="shared" ca="1" si="68"/>
        <v>0.34703904650101552</v>
      </c>
      <c r="Z109" s="4"/>
      <c r="AA109" s="159">
        <f t="shared" si="78"/>
        <v>4.5154999999999994</v>
      </c>
      <c r="AB109" s="160"/>
      <c r="AC109" s="100">
        <f>VLOOKUP($A109,[1]!CurveTable,MATCH($AC$4,[1]!CurveType,0))+$AC$9</f>
        <v>0.17</v>
      </c>
      <c r="AD109" s="100">
        <f>VLOOKUP($A109,[1]!CurveTable,MATCH($AD$4,[1]!CurveType,0))+$AD$9</f>
        <v>0.17500000000000002</v>
      </c>
      <c r="AE109" s="158">
        <f t="shared" ca="1" si="69"/>
        <v>0.17602514690281859</v>
      </c>
      <c r="AF109" s="4"/>
      <c r="AG109" s="52">
        <f ca="1">((Inputs!$F$20*(X109*AD109)*(A109-$C$3))+(Inputs!$F$19*W109*AC109*(DAY(EOMONTH(A109,0))/2)))/(AN109*Y109*AE109)</f>
        <v>0.74999972048406405</v>
      </c>
      <c r="AH109" s="4"/>
      <c r="AI109" s="18">
        <f>Inputs!$B$15</f>
        <v>0.06</v>
      </c>
      <c r="AJ109" s="46"/>
      <c r="AK109" s="18">
        <f t="shared" si="70"/>
        <v>0.52649999999999997</v>
      </c>
      <c r="AL109" s="46"/>
      <c r="AM109" s="62">
        <f t="shared" si="71"/>
        <v>41121</v>
      </c>
      <c r="AN109" s="63">
        <f t="shared" ca="1" si="72"/>
        <v>3928</v>
      </c>
      <c r="AO109" s="63">
        <f t="shared" si="99"/>
        <v>1</v>
      </c>
      <c r="AP109" s="19"/>
      <c r="AQ109" s="74">
        <f ca="1">_xll.SPRDOPT(U109,AA109,AI109,AX109,X109,AD109,AG109,AN109,AO109,0)</f>
        <v>0.98026293528537967</v>
      </c>
      <c r="AR109" s="47">
        <f t="shared" ca="1" si="79"/>
        <v>1470394.4029280695</v>
      </c>
      <c r="AS109" s="135">
        <f t="shared" ca="1" si="80"/>
        <v>0.4537629352853797</v>
      </c>
      <c r="AU109" s="5">
        <f t="shared" si="100"/>
        <v>30</v>
      </c>
      <c r="AV109" s="148">
        <f t="shared" si="73"/>
        <v>41167</v>
      </c>
      <c r="AW109" s="41">
        <f t="shared" ca="1" si="74"/>
        <v>3974</v>
      </c>
      <c r="AX109" s="100">
        <f>VLOOKUP($A109,[1]!CurveTable,MATCH(AX$4,[1]!CurveType,0))</f>
        <v>5.54693420759311E-2</v>
      </c>
      <c r="AY109" s="149">
        <f ca="1">1/(1+CHOOSE(F$3,(AX110+(Inputs!$B$14/10000))/2,(AX109+(Inputs!$B$14/10000))/2))^(2*AW109/365.25)</f>
        <v>0.55139657499974015</v>
      </c>
      <c r="AZ109" s="41">
        <f t="shared" si="101"/>
        <v>1</v>
      </c>
      <c r="BA109" s="72">
        <f t="shared" si="102"/>
        <v>30</v>
      </c>
      <c r="BC109" s="65">
        <f t="shared" ca="1" si="81"/>
        <v>3678090.8535357667</v>
      </c>
      <c r="BD109" s="65">
        <f t="shared" ca="1" si="82"/>
        <v>3723581.070973245</v>
      </c>
      <c r="BE109" s="65">
        <f t="shared" ca="1" si="83"/>
        <v>3723581.070973245</v>
      </c>
      <c r="BF109" s="65">
        <f t="shared" ca="1" si="84"/>
        <v>496256.9174997661</v>
      </c>
      <c r="BG109" s="65">
        <f t="shared" ca="1" si="85"/>
        <v>496256.9174997661</v>
      </c>
      <c r="BH109" s="65">
        <f t="shared" ca="1" si="86"/>
        <v>496256.9174997661</v>
      </c>
      <c r="BI109" s="65">
        <f t="shared" ca="1" si="87"/>
        <v>0</v>
      </c>
      <c r="BJ109" s="65">
        <f t="shared" ca="1" si="88"/>
        <v>0</v>
      </c>
      <c r="BK109" s="65">
        <f t="shared" ca="1" si="89"/>
        <v>0</v>
      </c>
      <c r="BL109" s="65">
        <f t="shared" ca="1" si="90"/>
        <v>11165.780643744738</v>
      </c>
      <c r="BM109" s="65">
        <f t="shared" ca="1" si="91"/>
        <v>11165.780643744738</v>
      </c>
      <c r="BN109" s="65">
        <f t="shared" ca="1" si="92"/>
        <v>11165.780643744738</v>
      </c>
      <c r="BO109" s="65">
        <f t="shared" ca="1" si="93"/>
        <v>8270.948624996101</v>
      </c>
      <c r="BP109" s="65">
        <f t="shared" ca="1" si="94"/>
        <v>0</v>
      </c>
      <c r="BQ109" s="65">
        <f t="shared" ca="1" si="95"/>
        <v>0</v>
      </c>
      <c r="BR109" s="65">
        <f t="shared" ca="1" si="96"/>
        <v>4219837.9884730102</v>
      </c>
      <c r="BS109" s="65">
        <f t="shared" ca="1" si="97"/>
        <v>3734746.8516169894</v>
      </c>
      <c r="BT109" s="65">
        <f t="shared" ca="1" si="98"/>
        <v>49625.691749976606</v>
      </c>
      <c r="BU109" s="65">
        <f t="shared" ca="1" si="75"/>
        <v>435465.4451060447</v>
      </c>
    </row>
    <row r="110" spans="1:73">
      <c r="A110" s="42">
        <f t="shared" si="76"/>
        <v>41183</v>
      </c>
      <c r="B110" s="30">
        <f>Inputs!$B$8</f>
        <v>50000</v>
      </c>
      <c r="C110" s="17">
        <f t="shared" si="66"/>
        <v>1550000</v>
      </c>
      <c r="D110" s="17">
        <f t="shared" ca="1" si="67"/>
        <v>850321.37034769426</v>
      </c>
      <c r="E110" s="25">
        <f>VLOOKUP($A110,[1]!CurveTable,MATCH($E$4,[1]!CurveType,0))</f>
        <v>4.4470000000000001</v>
      </c>
      <c r="F110" s="31">
        <f>E110-Inputs!$B$16</f>
        <v>4.5019999999999998</v>
      </c>
      <c r="G110" s="43">
        <f t="shared" ref="G110:G129" si="108">F110</f>
        <v>4.5019999999999998</v>
      </c>
      <c r="H110" s="25">
        <f>VLOOKUP($A110,[1]!CurveTable,MATCH($H$4,[1]!CurveType,0))</f>
        <v>0.3</v>
      </c>
      <c r="I110" s="31">
        <f>H110+Inputs!$B$22</f>
        <v>0.3</v>
      </c>
      <c r="J110" s="44">
        <f t="shared" ref="J110:J129" si="109">I110</f>
        <v>0.3</v>
      </c>
      <c r="K110" s="25">
        <f>VLOOKUP($A110,[1]!CurveTable,MATCH($K$4,[1]!CurveType,0))</f>
        <v>0</v>
      </c>
      <c r="L110" s="31">
        <v>0</v>
      </c>
      <c r="M110" s="45">
        <f t="shared" ref="M110:M129" si="110">L110</f>
        <v>0</v>
      </c>
      <c r="N110" s="25">
        <f>VLOOKUP($A110,[1]!CurveTable,MATCH($N$4,[1]!CurveType,0))</f>
        <v>1.2E-2</v>
      </c>
      <c r="O110" s="31">
        <f>N110+Inputs!$E$22</f>
        <v>1.2E-2</v>
      </c>
      <c r="P110" s="45">
        <f t="shared" ref="P110:P129" si="111">O110</f>
        <v>1.2E-2</v>
      </c>
      <c r="Q110" s="25">
        <f>VLOOKUP($A110,[1]!CurveTable,MATCH($Q$4,[1]!CurveType,0))</f>
        <v>0.01</v>
      </c>
      <c r="R110" s="31">
        <v>0</v>
      </c>
      <c r="S110" s="45">
        <f t="shared" ref="S110:S129" si="112">R110</f>
        <v>0</v>
      </c>
      <c r="T110" s="4"/>
      <c r="U110" s="159">
        <f t="shared" si="77"/>
        <v>4.8019999999999996</v>
      </c>
      <c r="V110" s="160"/>
      <c r="W110" s="100">
        <f>VLOOKUP($A110,[1]!CurveTable,MATCH($W$4,[1]!CurveType,0))+$W$9</f>
        <v>0.17</v>
      </c>
      <c r="X110" s="100">
        <f>VLOOKUP($A110,[1]!CurveTable,MATCH($X$4,[1]!CurveType,0))+$X$9</f>
        <v>0.17500000000000002</v>
      </c>
      <c r="Y110" s="158">
        <f t="shared" ca="1" si="68"/>
        <v>0.17600553677942748</v>
      </c>
      <c r="Z110" s="4"/>
      <c r="AA110" s="159">
        <f t="shared" si="78"/>
        <v>4.5139999999999993</v>
      </c>
      <c r="AB110" s="160"/>
      <c r="AC110" s="100">
        <f>VLOOKUP($A110,[1]!CurveTable,MATCH($AC$4,[1]!CurveType,0))+$AC$9</f>
        <v>0.17</v>
      </c>
      <c r="AD110" s="100">
        <f>VLOOKUP($A110,[1]!CurveTable,MATCH($AD$4,[1]!CurveType,0))+$AD$9</f>
        <v>0.17500000000000002</v>
      </c>
      <c r="AE110" s="158">
        <f t="shared" ca="1" si="69"/>
        <v>0.17600553677942748</v>
      </c>
      <c r="AF110" s="4"/>
      <c r="AG110" s="52">
        <f ca="1">((Inputs!$F$20*(X110*AD110)*(A110-$C$3))+(Inputs!$F$19*W110*AC110*(DAY(EOMONTH(A110,0))/2)))/(AN110*Y110*AE110)</f>
        <v>0.75</v>
      </c>
      <c r="AH110" s="4"/>
      <c r="AI110" s="18">
        <f>Inputs!$B$15</f>
        <v>0.06</v>
      </c>
      <c r="AJ110" s="46"/>
      <c r="AK110" s="18">
        <f t="shared" si="70"/>
        <v>0.22800000000000026</v>
      </c>
      <c r="AL110" s="46"/>
      <c r="AM110" s="62">
        <f t="shared" si="71"/>
        <v>41152</v>
      </c>
      <c r="AN110" s="63">
        <f t="shared" ca="1" si="72"/>
        <v>3959</v>
      </c>
      <c r="AO110" s="63">
        <f t="shared" si="99"/>
        <v>1</v>
      </c>
      <c r="AP110" s="19"/>
      <c r="AQ110" s="74">
        <f ca="1">_xll.SPRDOPT(U110,AA110,AI110,AX110,X110,AD110,AG110,AN110,AO110,0)</f>
        <v>0.47728113335676758</v>
      </c>
      <c r="AR110" s="47">
        <f t="shared" ca="1" si="79"/>
        <v>739785.75670298981</v>
      </c>
      <c r="AS110" s="135">
        <f t="shared" ca="1" si="80"/>
        <v>0.24928113335676733</v>
      </c>
      <c r="AU110" s="5">
        <f t="shared" si="100"/>
        <v>31</v>
      </c>
      <c r="AV110" s="148">
        <f t="shared" si="73"/>
        <v>41197</v>
      </c>
      <c r="AW110" s="41">
        <f t="shared" ca="1" si="74"/>
        <v>4004</v>
      </c>
      <c r="AX110" s="100">
        <f>VLOOKUP($A110,[1]!CurveTable,MATCH(AX$4,[1]!CurveType,0))</f>
        <v>5.55256769567904E-2</v>
      </c>
      <c r="AY110" s="149">
        <f ca="1">1/(1+CHOOSE(F$3,(AX111+(Inputs!$B$14/10000))/2,(AX110+(Inputs!$B$14/10000))/2))^(2*AW110/365.25)</f>
        <v>0.54859443248238338</v>
      </c>
      <c r="AZ110" s="41">
        <f t="shared" si="101"/>
        <v>1</v>
      </c>
      <c r="BA110" s="72">
        <f t="shared" si="102"/>
        <v>31</v>
      </c>
      <c r="BC110" s="65">
        <f t="shared" ca="1" si="81"/>
        <v>3781379.1339361966</v>
      </c>
      <c r="BD110" s="65">
        <f t="shared" ca="1" si="82"/>
        <v>3828146.8093053196</v>
      </c>
      <c r="BE110" s="65">
        <f t="shared" ca="1" si="83"/>
        <v>3828146.8093053196</v>
      </c>
      <c r="BF110" s="65">
        <f t="shared" ca="1" si="84"/>
        <v>255096.41110430827</v>
      </c>
      <c r="BG110" s="65">
        <f t="shared" ca="1" si="85"/>
        <v>255096.41110430827</v>
      </c>
      <c r="BH110" s="65">
        <f t="shared" ca="1" si="86"/>
        <v>255096.41110430827</v>
      </c>
      <c r="BI110" s="65">
        <f t="shared" ca="1" si="87"/>
        <v>0</v>
      </c>
      <c r="BJ110" s="65">
        <f t="shared" ca="1" si="88"/>
        <v>0</v>
      </c>
      <c r="BK110" s="65">
        <f t="shared" ca="1" si="89"/>
        <v>0</v>
      </c>
      <c r="BL110" s="65">
        <f t="shared" ca="1" si="90"/>
        <v>10203.856444172332</v>
      </c>
      <c r="BM110" s="65">
        <f t="shared" ca="1" si="91"/>
        <v>10203.856444172332</v>
      </c>
      <c r="BN110" s="65">
        <f t="shared" ca="1" si="92"/>
        <v>10203.856444172332</v>
      </c>
      <c r="BO110" s="65">
        <f t="shared" ca="1" si="93"/>
        <v>8503.2137034769421</v>
      </c>
      <c r="BP110" s="65">
        <f t="shared" ca="1" si="94"/>
        <v>0</v>
      </c>
      <c r="BQ110" s="65">
        <f t="shared" ca="1" si="95"/>
        <v>0</v>
      </c>
      <c r="BR110" s="65">
        <f t="shared" ca="1" si="96"/>
        <v>4083243.2204096275</v>
      </c>
      <c r="BS110" s="65">
        <f t="shared" ca="1" si="97"/>
        <v>3838350.6657494912</v>
      </c>
      <c r="BT110" s="65">
        <f t="shared" ca="1" si="98"/>
        <v>51019.282220861656</v>
      </c>
      <c r="BU110" s="65">
        <f t="shared" ca="1" si="75"/>
        <v>193873.2724392745</v>
      </c>
    </row>
    <row r="111" spans="1:73">
      <c r="A111" s="42">
        <f t="shared" si="76"/>
        <v>41214</v>
      </c>
      <c r="B111" s="30">
        <f>Inputs!$B$8</f>
        <v>50000</v>
      </c>
      <c r="C111" s="17">
        <f t="shared" si="66"/>
        <v>1500000</v>
      </c>
      <c r="D111" s="17">
        <f t="shared" ca="1" si="67"/>
        <v>818563.03773681843</v>
      </c>
      <c r="E111" s="25">
        <f>VLOOKUP($A111,[1]!CurveTable,MATCH($E$4,[1]!CurveType,0))</f>
        <v>4.5949999999999998</v>
      </c>
      <c r="F111" s="31">
        <f>E111-Inputs!$B$16</f>
        <v>4.6499999999999995</v>
      </c>
      <c r="G111" s="43">
        <f t="shared" si="108"/>
        <v>4.6499999999999995</v>
      </c>
      <c r="H111" s="25">
        <f>VLOOKUP($A111,[1]!CurveTable,MATCH($H$4,[1]!CurveType,0))</f>
        <v>0.23</v>
      </c>
      <c r="I111" s="31">
        <f>H111+Inputs!$B$22</f>
        <v>0.23</v>
      </c>
      <c r="J111" s="44">
        <f t="shared" si="109"/>
        <v>0.23</v>
      </c>
      <c r="K111" s="25">
        <f>VLOOKUP($A111,[1]!CurveTable,MATCH($K$4,[1]!CurveType,0))</f>
        <v>0</v>
      </c>
      <c r="L111" s="31">
        <v>0</v>
      </c>
      <c r="M111" s="45">
        <f t="shared" si="110"/>
        <v>0</v>
      </c>
      <c r="N111" s="25">
        <f>VLOOKUP($A111,[1]!CurveTable,MATCH($N$4,[1]!CurveType,0))</f>
        <v>1.3000000000000001E-2</v>
      </c>
      <c r="O111" s="31">
        <f>N111+Inputs!$E$22</f>
        <v>1.3000000000000001E-2</v>
      </c>
      <c r="P111" s="45">
        <f t="shared" si="111"/>
        <v>1.3000000000000001E-2</v>
      </c>
      <c r="Q111" s="25">
        <f>VLOOKUP($A111,[1]!CurveTable,MATCH($Q$4,[1]!CurveType,0))</f>
        <v>7.4999999999999997E-3</v>
      </c>
      <c r="R111" s="31">
        <v>0</v>
      </c>
      <c r="S111" s="45">
        <f t="shared" si="112"/>
        <v>0</v>
      </c>
      <c r="T111" s="4"/>
      <c r="U111" s="159">
        <f t="shared" si="77"/>
        <v>4.88</v>
      </c>
      <c r="V111" s="160"/>
      <c r="W111" s="100">
        <f>VLOOKUP($A111,[1]!CurveTable,MATCH($W$4,[1]!CurveType,0))+$W$9</f>
        <v>0.17</v>
      </c>
      <c r="X111" s="100">
        <f>VLOOKUP($A111,[1]!CurveTable,MATCH($X$4,[1]!CurveType,0))+$X$9</f>
        <v>0.17500000000000002</v>
      </c>
      <c r="Y111" s="158">
        <f t="shared" ca="1" si="68"/>
        <v>0.1760095152570389</v>
      </c>
      <c r="Z111" s="4"/>
      <c r="AA111" s="159">
        <f t="shared" si="78"/>
        <v>4.6629999999999994</v>
      </c>
      <c r="AB111" s="160"/>
      <c r="AC111" s="100">
        <f>VLOOKUP($A111,[1]!CurveTable,MATCH($AC$4,[1]!CurveType,0))+$AC$9</f>
        <v>0.17</v>
      </c>
      <c r="AD111" s="100">
        <f>VLOOKUP($A111,[1]!CurveTable,MATCH($AD$4,[1]!CurveType,0))+$AD$9</f>
        <v>0.17500000000000002</v>
      </c>
      <c r="AE111" s="158">
        <f t="shared" ca="1" si="69"/>
        <v>0.1760095152570389</v>
      </c>
      <c r="AF111" s="4"/>
      <c r="AG111" s="52">
        <f ca="1">((Inputs!$F$20*(X111*AD111)*(A111-$C$3))+(Inputs!$F$19*W111*AC111*(DAY(EOMONTH(A111,0))/2)))/(AN111*Y111*AE111)</f>
        <v>0.74999999999999989</v>
      </c>
      <c r="AH111" s="4"/>
      <c r="AI111" s="18">
        <f>Inputs!$B$15</f>
        <v>0.06</v>
      </c>
      <c r="AJ111" s="46"/>
      <c r="AK111" s="18">
        <f t="shared" si="70"/>
        <v>0.15700000000000053</v>
      </c>
      <c r="AL111" s="46"/>
      <c r="AM111" s="62">
        <f t="shared" si="71"/>
        <v>41182</v>
      </c>
      <c r="AN111" s="63">
        <f t="shared" ca="1" si="72"/>
        <v>3989</v>
      </c>
      <c r="AO111" s="63">
        <f t="shared" si="99"/>
        <v>1</v>
      </c>
      <c r="AP111" s="19"/>
      <c r="AQ111" s="74">
        <f ca="1">_xll.SPRDOPT(U111,AA111,AI111,AX111,X111,AD111,AG111,AN111,AO111,0)</f>
        <v>0.46545025112520549</v>
      </c>
      <c r="AR111" s="47">
        <f t="shared" ca="1" si="79"/>
        <v>698175.3766878082</v>
      </c>
      <c r="AS111" s="135">
        <f t="shared" ca="1" si="80"/>
        <v>0.30845025112520497</v>
      </c>
      <c r="AU111" s="5">
        <f t="shared" si="100"/>
        <v>30</v>
      </c>
      <c r="AV111" s="148">
        <f t="shared" si="73"/>
        <v>41228</v>
      </c>
      <c r="AW111" s="41">
        <f t="shared" ca="1" si="74"/>
        <v>4035</v>
      </c>
      <c r="AX111" s="100">
        <f>VLOOKUP($A111,[1]!CurveTable,MATCH(AX$4,[1]!CurveType,0))</f>
        <v>5.5583889668121798E-2</v>
      </c>
      <c r="AY111" s="149">
        <f ca="1">1/(1+CHOOSE(F$3,(AX112+(Inputs!$B$14/10000))/2,(AX111+(Inputs!$B$14/10000))/2))^(2*AW111/365.25)</f>
        <v>0.54570869182454562</v>
      </c>
      <c r="AZ111" s="41">
        <f t="shared" si="101"/>
        <v>1</v>
      </c>
      <c r="BA111" s="72">
        <f t="shared" si="102"/>
        <v>30</v>
      </c>
      <c r="BC111" s="65">
        <f t="shared" ca="1" si="81"/>
        <v>3761297.1584006804</v>
      </c>
      <c r="BD111" s="65">
        <f t="shared" ca="1" si="82"/>
        <v>3806318.1254762053</v>
      </c>
      <c r="BE111" s="65">
        <f t="shared" ca="1" si="83"/>
        <v>3806318.1254762053</v>
      </c>
      <c r="BF111" s="65">
        <f t="shared" ca="1" si="84"/>
        <v>188269.49867946823</v>
      </c>
      <c r="BG111" s="65">
        <f t="shared" ca="1" si="85"/>
        <v>188269.49867946823</v>
      </c>
      <c r="BH111" s="65">
        <f t="shared" ca="1" si="86"/>
        <v>188269.49867946823</v>
      </c>
      <c r="BI111" s="65">
        <f t="shared" ca="1" si="87"/>
        <v>0</v>
      </c>
      <c r="BJ111" s="65">
        <f t="shared" ca="1" si="88"/>
        <v>0</v>
      </c>
      <c r="BK111" s="65">
        <f t="shared" ca="1" si="89"/>
        <v>0</v>
      </c>
      <c r="BL111" s="65">
        <f t="shared" ca="1" si="90"/>
        <v>10641.31949057864</v>
      </c>
      <c r="BM111" s="65">
        <f t="shared" ca="1" si="91"/>
        <v>10641.31949057864</v>
      </c>
      <c r="BN111" s="65">
        <f t="shared" ca="1" si="92"/>
        <v>10641.31949057864</v>
      </c>
      <c r="BO111" s="65">
        <f t="shared" ca="1" si="93"/>
        <v>6139.2227830261381</v>
      </c>
      <c r="BP111" s="65">
        <f t="shared" ca="1" si="94"/>
        <v>0</v>
      </c>
      <c r="BQ111" s="65">
        <f t="shared" ca="1" si="95"/>
        <v>0</v>
      </c>
      <c r="BR111" s="65">
        <f t="shared" ca="1" si="96"/>
        <v>3994587.6241556737</v>
      </c>
      <c r="BS111" s="65">
        <f t="shared" ca="1" si="97"/>
        <v>3816959.4449667837</v>
      </c>
      <c r="BT111" s="65">
        <f t="shared" ca="1" si="98"/>
        <v>49113.782264209105</v>
      </c>
      <c r="BU111" s="65">
        <f t="shared" ca="1" si="75"/>
        <v>128514.39692468093</v>
      </c>
    </row>
    <row r="112" spans="1:73">
      <c r="A112" s="42">
        <f t="shared" si="76"/>
        <v>41244</v>
      </c>
      <c r="B112" s="30">
        <f>Inputs!$B$8</f>
        <v>50000</v>
      </c>
      <c r="C112" s="17">
        <f t="shared" si="66"/>
        <v>1550000</v>
      </c>
      <c r="D112" s="17">
        <f t="shared" ca="1" si="67"/>
        <v>841534.57563610177</v>
      </c>
      <c r="E112" s="25">
        <f>VLOOKUP($A112,[1]!CurveTable,MATCH($E$4,[1]!CurveType,0))</f>
        <v>4.7469999999999999</v>
      </c>
      <c r="F112" s="31">
        <f>E112-Inputs!$B$16</f>
        <v>4.8019999999999996</v>
      </c>
      <c r="G112" s="43">
        <f t="shared" si="108"/>
        <v>4.8019999999999996</v>
      </c>
      <c r="H112" s="25">
        <f>VLOOKUP($A112,[1]!CurveTable,MATCH($H$4,[1]!CurveType,0))</f>
        <v>0.26</v>
      </c>
      <c r="I112" s="31">
        <f>H112+Inputs!$B$22</f>
        <v>0.26</v>
      </c>
      <c r="J112" s="44">
        <f t="shared" si="109"/>
        <v>0.26</v>
      </c>
      <c r="K112" s="25">
        <f>VLOOKUP($A112,[1]!CurveTable,MATCH($K$4,[1]!CurveType,0))</f>
        <v>0</v>
      </c>
      <c r="L112" s="31">
        <v>0</v>
      </c>
      <c r="M112" s="45">
        <f t="shared" si="110"/>
        <v>0</v>
      </c>
      <c r="N112" s="25">
        <f>VLOOKUP($A112,[1]!CurveTable,MATCH($N$4,[1]!CurveType,0))</f>
        <v>1.3000000000000001E-2</v>
      </c>
      <c r="O112" s="31">
        <f>N112+Inputs!$E$22</f>
        <v>1.3000000000000001E-2</v>
      </c>
      <c r="P112" s="45">
        <f t="shared" si="111"/>
        <v>1.3000000000000001E-2</v>
      </c>
      <c r="Q112" s="25">
        <f>VLOOKUP($A112,[1]!CurveTable,MATCH($Q$4,[1]!CurveType,0))</f>
        <v>7.4999999999999997E-3</v>
      </c>
      <c r="R112" s="31">
        <v>0</v>
      </c>
      <c r="S112" s="45">
        <f t="shared" si="112"/>
        <v>0</v>
      </c>
      <c r="T112" s="4"/>
      <c r="U112" s="159">
        <f t="shared" si="77"/>
        <v>5.0619999999999994</v>
      </c>
      <c r="V112" s="160"/>
      <c r="W112" s="100">
        <f>VLOOKUP($A112,[1]!CurveTable,MATCH($W$4,[1]!CurveType,0))+$W$9</f>
        <v>0.17</v>
      </c>
      <c r="X112" s="100">
        <f>VLOOKUP($A112,[1]!CurveTable,MATCH($X$4,[1]!CurveType,0))+$X$9</f>
        <v>0.17500000000000002</v>
      </c>
      <c r="Y112" s="158">
        <f t="shared" ca="1" si="68"/>
        <v>0.17599032156224415</v>
      </c>
      <c r="Z112" s="4"/>
      <c r="AA112" s="159">
        <f t="shared" si="78"/>
        <v>4.8149999999999995</v>
      </c>
      <c r="AB112" s="160"/>
      <c r="AC112" s="100">
        <f>VLOOKUP($A112,[1]!CurveTable,MATCH($AC$4,[1]!CurveType,0))+$AC$9</f>
        <v>0.17</v>
      </c>
      <c r="AD112" s="100">
        <f>VLOOKUP($A112,[1]!CurveTable,MATCH($AD$4,[1]!CurveType,0))+$AD$9</f>
        <v>0.17500000000000002</v>
      </c>
      <c r="AE112" s="158">
        <f t="shared" ca="1" si="69"/>
        <v>0.17599032156224415</v>
      </c>
      <c r="AF112" s="4"/>
      <c r="AG112" s="52">
        <f ca="1">((Inputs!$F$20*(X112*AD112)*(A112-$C$3))+(Inputs!$F$19*W112*AC112*(DAY(EOMONTH(A112,0))/2)))/(AN112*Y112*AE112)</f>
        <v>0.75</v>
      </c>
      <c r="AH112" s="4"/>
      <c r="AI112" s="18">
        <f>Inputs!$B$15</f>
        <v>0.06</v>
      </c>
      <c r="AJ112" s="46"/>
      <c r="AK112" s="18">
        <f t="shared" si="70"/>
        <v>0.18699999999999989</v>
      </c>
      <c r="AL112" s="46"/>
      <c r="AM112" s="62">
        <f t="shared" si="71"/>
        <v>41213</v>
      </c>
      <c r="AN112" s="63">
        <f t="shared" ca="1" si="72"/>
        <v>4020</v>
      </c>
      <c r="AO112" s="63">
        <f t="shared" si="99"/>
        <v>1</v>
      </c>
      <c r="AP112" s="19"/>
      <c r="AQ112" s="74">
        <f ca="1">_xll.SPRDOPT(U112,AA112,AI112,AX112,X112,AD112,AG112,AN112,AO112,0)</f>
        <v>0.48791051557674714</v>
      </c>
      <c r="AR112" s="47">
        <f t="shared" ca="1" si="79"/>
        <v>756261.29914395802</v>
      </c>
      <c r="AS112" s="135">
        <f t="shared" ca="1" si="80"/>
        <v>0.30091051557674725</v>
      </c>
      <c r="AU112" s="5">
        <f t="shared" si="100"/>
        <v>31</v>
      </c>
      <c r="AV112" s="148">
        <f t="shared" si="73"/>
        <v>41258</v>
      </c>
      <c r="AW112" s="41">
        <f t="shared" ca="1" si="74"/>
        <v>4065</v>
      </c>
      <c r="AX112" s="100">
        <f>VLOOKUP($A112,[1]!CurveTable,MATCH(AX$4,[1]!CurveType,0))</f>
        <v>5.5640224551129602E-2</v>
      </c>
      <c r="AY112" s="149">
        <f ca="1">1/(1+CHOOSE(F$3,(AX113+(Inputs!$B$14/10000))/2,(AX112+(Inputs!$B$14/10000))/2))^(2*AW112/365.25)</f>
        <v>0.54292553266845278</v>
      </c>
      <c r="AZ112" s="41">
        <f t="shared" si="101"/>
        <v>1</v>
      </c>
      <c r="BA112" s="72">
        <f t="shared" si="102"/>
        <v>31</v>
      </c>
      <c r="BC112" s="65">
        <f t="shared" ca="1" si="81"/>
        <v>3994764.6305445749</v>
      </c>
      <c r="BD112" s="65">
        <f t="shared" ca="1" si="82"/>
        <v>4041049.0322045605</v>
      </c>
      <c r="BE112" s="65">
        <f t="shared" ca="1" si="83"/>
        <v>4041049.0322045605</v>
      </c>
      <c r="BF112" s="65">
        <f t="shared" ca="1" si="84"/>
        <v>218798.98966538647</v>
      </c>
      <c r="BG112" s="65">
        <f t="shared" ca="1" si="85"/>
        <v>218798.98966538647</v>
      </c>
      <c r="BH112" s="65">
        <f t="shared" ca="1" si="86"/>
        <v>218798.98966538647</v>
      </c>
      <c r="BI112" s="65">
        <f t="shared" ca="1" si="87"/>
        <v>0</v>
      </c>
      <c r="BJ112" s="65">
        <f t="shared" ca="1" si="88"/>
        <v>0</v>
      </c>
      <c r="BK112" s="65">
        <f t="shared" ca="1" si="89"/>
        <v>0</v>
      </c>
      <c r="BL112" s="65">
        <f t="shared" ca="1" si="90"/>
        <v>10939.949483269324</v>
      </c>
      <c r="BM112" s="65">
        <f t="shared" ca="1" si="91"/>
        <v>10939.949483269324</v>
      </c>
      <c r="BN112" s="65">
        <f t="shared" ca="1" si="92"/>
        <v>10939.949483269324</v>
      </c>
      <c r="BO112" s="65">
        <f t="shared" ca="1" si="93"/>
        <v>6311.5093172707629</v>
      </c>
      <c r="BP112" s="65">
        <f t="shared" ca="1" si="94"/>
        <v>0</v>
      </c>
      <c r="BQ112" s="65">
        <f t="shared" ca="1" si="95"/>
        <v>0</v>
      </c>
      <c r="BR112" s="65">
        <f t="shared" ca="1" si="96"/>
        <v>4259848.0218699463</v>
      </c>
      <c r="BS112" s="65">
        <f t="shared" ca="1" si="97"/>
        <v>4051988.9816878298</v>
      </c>
      <c r="BT112" s="65">
        <f t="shared" ca="1" si="98"/>
        <v>50492.074538166104</v>
      </c>
      <c r="BU112" s="65">
        <f t="shared" ca="1" si="75"/>
        <v>157366.96564395094</v>
      </c>
    </row>
    <row r="113" spans="1:73">
      <c r="A113" s="42">
        <f t="shared" si="76"/>
        <v>41275</v>
      </c>
      <c r="B113" s="30">
        <f>Inputs!$B$8</f>
        <v>50000</v>
      </c>
      <c r="C113" s="17">
        <f t="shared" si="66"/>
        <v>1550000</v>
      </c>
      <c r="D113" s="17">
        <f t="shared" ca="1" si="67"/>
        <v>837092.09128057968</v>
      </c>
      <c r="E113" s="25">
        <f>VLOOKUP($A113,[1]!CurveTable,MATCH($E$4,[1]!CurveType,0))</f>
        <v>4.8245000000000005</v>
      </c>
      <c r="F113" s="31">
        <f>E113-Inputs!$B$16</f>
        <v>4.8795000000000002</v>
      </c>
      <c r="G113" s="43">
        <f t="shared" si="108"/>
        <v>4.8795000000000002</v>
      </c>
      <c r="H113" s="25">
        <f>VLOOKUP($A113,[1]!CurveTable,MATCH($H$4,[1]!CurveType,0))</f>
        <v>8.5000000000000006E-2</v>
      </c>
      <c r="I113" s="31">
        <f>H113+Inputs!$B$22</f>
        <v>8.5000000000000006E-2</v>
      </c>
      <c r="J113" s="44">
        <f t="shared" si="109"/>
        <v>8.5000000000000006E-2</v>
      </c>
      <c r="K113" s="25">
        <f>VLOOKUP($A113,[1]!CurveTable,MATCH($K$4,[1]!CurveType,0))</f>
        <v>0</v>
      </c>
      <c r="L113" s="31">
        <v>0</v>
      </c>
      <c r="M113" s="45">
        <f t="shared" si="110"/>
        <v>0</v>
      </c>
      <c r="N113" s="25">
        <f>VLOOKUP($A113,[1]!CurveTable,MATCH($N$4,[1]!CurveType,0))</f>
        <v>1.3000000000000001E-2</v>
      </c>
      <c r="O113" s="31">
        <f>N113+Inputs!$E$22</f>
        <v>1.3000000000000001E-2</v>
      </c>
      <c r="P113" s="45">
        <f t="shared" si="111"/>
        <v>1.3000000000000001E-2</v>
      </c>
      <c r="Q113" s="25">
        <f>VLOOKUP($A113,[1]!CurveTable,MATCH($Q$4,[1]!CurveType,0))</f>
        <v>7.4999999999999997E-3</v>
      </c>
      <c r="R113" s="31">
        <v>0</v>
      </c>
      <c r="S113" s="45">
        <f t="shared" si="112"/>
        <v>0</v>
      </c>
      <c r="T113" s="4"/>
      <c r="U113" s="159">
        <f t="shared" si="77"/>
        <v>4.9645000000000001</v>
      </c>
      <c r="V113" s="160"/>
      <c r="W113" s="100">
        <f>VLOOKUP($A113,[1]!CurveTable,MATCH($W$4,[1]!CurveType,0))+$W$9</f>
        <v>0.17</v>
      </c>
      <c r="X113" s="100">
        <f>VLOOKUP($A113,[1]!CurveTable,MATCH($X$4,[1]!CurveType,0))+$X$9</f>
        <v>0.17500000000000002</v>
      </c>
      <c r="Y113" s="158">
        <f t="shared" ca="1" si="68"/>
        <v>0.17600448928056805</v>
      </c>
      <c r="Z113" s="4"/>
      <c r="AA113" s="159">
        <f t="shared" si="78"/>
        <v>4.8925000000000001</v>
      </c>
      <c r="AB113" s="160"/>
      <c r="AC113" s="100">
        <f>VLOOKUP($A113,[1]!CurveTable,MATCH($AC$4,[1]!CurveType,0))+$AC$9</f>
        <v>0.17</v>
      </c>
      <c r="AD113" s="100">
        <f>VLOOKUP($A113,[1]!CurveTable,MATCH($AD$4,[1]!CurveType,0))+$AD$9</f>
        <v>0.17500000000000002</v>
      </c>
      <c r="AE113" s="158">
        <f t="shared" ca="1" si="69"/>
        <v>0.17600448928056805</v>
      </c>
      <c r="AF113" s="4"/>
      <c r="AG113" s="52">
        <f ca="1">((Inputs!$F$20*(X113*AD113)*(A113-$C$3))+(Inputs!$F$19*W113*AC113*(DAY(EOMONTH(A113,0))/2)))/(AN113*Y113*AE113)</f>
        <v>0.74999999999999967</v>
      </c>
      <c r="AH113" s="4"/>
      <c r="AI113" s="18">
        <f>Inputs!$B$15</f>
        <v>0.06</v>
      </c>
      <c r="AJ113" s="46"/>
      <c r="AK113" s="18">
        <f t="shared" si="70"/>
        <v>1.2000000000000066E-2</v>
      </c>
      <c r="AL113" s="46"/>
      <c r="AM113" s="62">
        <f t="shared" si="71"/>
        <v>41243</v>
      </c>
      <c r="AN113" s="63">
        <f t="shared" ca="1" si="72"/>
        <v>4050</v>
      </c>
      <c r="AO113" s="63">
        <f t="shared" si="99"/>
        <v>1</v>
      </c>
      <c r="AP113" s="19"/>
      <c r="AQ113" s="74">
        <f ca="1">_xll.SPRDOPT(U113,AA113,AI113,AX113,X113,AD113,AG113,AN113,AO113,0)</f>
        <v>0.43711517607817557</v>
      </c>
      <c r="AR113" s="47">
        <f t="shared" ca="1" si="79"/>
        <v>677528.52292117209</v>
      </c>
      <c r="AS113" s="135">
        <f t="shared" ca="1" si="80"/>
        <v>0.42511517607817551</v>
      </c>
      <c r="AU113" s="5">
        <f t="shared" si="100"/>
        <v>31</v>
      </c>
      <c r="AV113" s="148">
        <f t="shared" si="73"/>
        <v>41289</v>
      </c>
      <c r="AW113" s="41">
        <f t="shared" ca="1" si="74"/>
        <v>4096</v>
      </c>
      <c r="AX113" s="100">
        <f>VLOOKUP($A113,[1]!CurveTable,MATCH(AX$4,[1]!CurveType,0))</f>
        <v>5.5698437264681398E-2</v>
      </c>
      <c r="AY113" s="149">
        <f ca="1">1/(1+CHOOSE(F$3,(AX114+(Inputs!$B$14/10000))/2,(AX113+(Inputs!$B$14/10000))/2))^(2*AW113/365.25)</f>
        <v>0.54005941372940625</v>
      </c>
      <c r="AZ113" s="41">
        <f t="shared" si="101"/>
        <v>1</v>
      </c>
      <c r="BA113" s="72">
        <f t="shared" si="102"/>
        <v>31</v>
      </c>
      <c r="BC113" s="65">
        <f t="shared" ca="1" si="81"/>
        <v>4038550.794383157</v>
      </c>
      <c r="BD113" s="65">
        <f t="shared" ca="1" si="82"/>
        <v>4084590.8594035888</v>
      </c>
      <c r="BE113" s="65">
        <f t="shared" ca="1" si="83"/>
        <v>4084590.8594035888</v>
      </c>
      <c r="BF113" s="65">
        <f t="shared" ca="1" si="84"/>
        <v>71152.827758849278</v>
      </c>
      <c r="BG113" s="65">
        <f t="shared" ca="1" si="85"/>
        <v>71152.827758849278</v>
      </c>
      <c r="BH113" s="65">
        <f t="shared" ca="1" si="86"/>
        <v>71152.827758849278</v>
      </c>
      <c r="BI113" s="65">
        <f t="shared" ca="1" si="87"/>
        <v>0</v>
      </c>
      <c r="BJ113" s="65">
        <f t="shared" ca="1" si="88"/>
        <v>0</v>
      </c>
      <c r="BK113" s="65">
        <f t="shared" ca="1" si="89"/>
        <v>0</v>
      </c>
      <c r="BL113" s="65">
        <f t="shared" ca="1" si="90"/>
        <v>10882.197186647536</v>
      </c>
      <c r="BM113" s="65">
        <f t="shared" ca="1" si="91"/>
        <v>10882.197186647536</v>
      </c>
      <c r="BN113" s="65">
        <f t="shared" ca="1" si="92"/>
        <v>10882.197186647536</v>
      </c>
      <c r="BO113" s="65">
        <f t="shared" ca="1" si="93"/>
        <v>6278.1906846043476</v>
      </c>
      <c r="BP113" s="65">
        <f t="shared" ca="1" si="94"/>
        <v>0</v>
      </c>
      <c r="BQ113" s="65">
        <f t="shared" ca="1" si="95"/>
        <v>0</v>
      </c>
      <c r="BR113" s="65">
        <f t="shared" ca="1" si="96"/>
        <v>4155743.6871624379</v>
      </c>
      <c r="BS113" s="65">
        <f t="shared" ca="1" si="97"/>
        <v>4095473.0565902363</v>
      </c>
      <c r="BT113" s="65">
        <f t="shared" ca="1" si="98"/>
        <v>50225.52547683478</v>
      </c>
      <c r="BU113" s="65">
        <f t="shared" ca="1" si="75"/>
        <v>10045.105095367011</v>
      </c>
    </row>
    <row r="114" spans="1:73">
      <c r="A114" s="42">
        <f t="shared" si="76"/>
        <v>41306</v>
      </c>
      <c r="B114" s="30">
        <f>Inputs!$B$8</f>
        <v>50000</v>
      </c>
      <c r="C114" s="17">
        <f t="shared" si="66"/>
        <v>1400000</v>
      </c>
      <c r="D114" s="17">
        <f t="shared" ca="1" si="67"/>
        <v>752084.57833444758</v>
      </c>
      <c r="E114" s="25">
        <f>VLOOKUP($A114,[1]!CurveTable,MATCH($E$4,[1]!CurveType,0))</f>
        <v>4.7374999999999998</v>
      </c>
      <c r="F114" s="31">
        <f>E114-Inputs!$B$16</f>
        <v>4.7924999999999995</v>
      </c>
      <c r="G114" s="43">
        <f t="shared" si="108"/>
        <v>4.7924999999999995</v>
      </c>
      <c r="H114" s="25">
        <f>VLOOKUP($A114,[1]!CurveTable,MATCH($H$4,[1]!CurveType,0))</f>
        <v>7.4999999999999997E-2</v>
      </c>
      <c r="I114" s="31">
        <f>H114+Inputs!$B$22</f>
        <v>7.4999999999999997E-2</v>
      </c>
      <c r="J114" s="44">
        <f t="shared" si="109"/>
        <v>7.4999999999999997E-2</v>
      </c>
      <c r="K114" s="25">
        <f>VLOOKUP($A114,[1]!CurveTable,MATCH($K$4,[1]!CurveType,0))</f>
        <v>0</v>
      </c>
      <c r="L114" s="31">
        <v>0</v>
      </c>
      <c r="M114" s="45">
        <f t="shared" si="110"/>
        <v>0</v>
      </c>
      <c r="N114" s="25">
        <f>VLOOKUP($A114,[1]!CurveTable,MATCH($N$4,[1]!CurveType,0))</f>
        <v>1.3000000000000001E-2</v>
      </c>
      <c r="O114" s="31">
        <f>N114+Inputs!$E$22</f>
        <v>1.3000000000000001E-2</v>
      </c>
      <c r="P114" s="45">
        <f t="shared" si="111"/>
        <v>1.3000000000000001E-2</v>
      </c>
      <c r="Q114" s="25">
        <f>VLOOKUP($A114,[1]!CurveTable,MATCH($Q$4,[1]!CurveType,0))</f>
        <v>7.4999999999999997E-3</v>
      </c>
      <c r="R114" s="31">
        <v>0</v>
      </c>
      <c r="S114" s="45">
        <f t="shared" si="112"/>
        <v>0</v>
      </c>
      <c r="T114" s="4"/>
      <c r="U114" s="159">
        <f t="shared" si="77"/>
        <v>4.8674999999999997</v>
      </c>
      <c r="V114" s="160"/>
      <c r="W114" s="100">
        <f>VLOOKUP($A114,[1]!CurveTable,MATCH($W$4,[1]!CurveType,0))+$W$9</f>
        <v>0.17</v>
      </c>
      <c r="X114" s="100">
        <f>VLOOKUP($A114,[1]!CurveTable,MATCH($X$4,[1]!CurveType,0))+$X$9</f>
        <v>0.17500000000000002</v>
      </c>
      <c r="Y114" s="158">
        <f t="shared" ca="1" si="68"/>
        <v>0.17596670022574212</v>
      </c>
      <c r="Z114" s="4"/>
      <c r="AA114" s="159">
        <f t="shared" si="78"/>
        <v>4.8054999999999994</v>
      </c>
      <c r="AB114" s="160"/>
      <c r="AC114" s="100">
        <f>VLOOKUP($A114,[1]!CurveTable,MATCH($AC$4,[1]!CurveType,0))+$AC$9</f>
        <v>0.17</v>
      </c>
      <c r="AD114" s="100">
        <f>VLOOKUP($A114,[1]!CurveTable,MATCH($AD$4,[1]!CurveType,0))+$AD$9</f>
        <v>0.17500000000000002</v>
      </c>
      <c r="AE114" s="158">
        <f t="shared" ca="1" si="69"/>
        <v>0.17596670022574212</v>
      </c>
      <c r="AF114" s="4"/>
      <c r="AG114" s="52">
        <f ca="1">((Inputs!$F$20*(X114*AD114)*(A114-$C$3))+(Inputs!$F$19*W114*AC114*(DAY(EOMONTH(A114,0))/2)))/(AN114*Y114*AE114)</f>
        <v>0.75</v>
      </c>
      <c r="AH114" s="4"/>
      <c r="AI114" s="18">
        <f>Inputs!$B$15</f>
        <v>0.06</v>
      </c>
      <c r="AJ114" s="46"/>
      <c r="AK114" s="18">
        <f t="shared" si="70"/>
        <v>2.0000000000002793E-3</v>
      </c>
      <c r="AL114" s="46"/>
      <c r="AM114" s="62">
        <f t="shared" si="71"/>
        <v>41274</v>
      </c>
      <c r="AN114" s="63">
        <f t="shared" ca="1" si="72"/>
        <v>4081</v>
      </c>
      <c r="AO114" s="63">
        <f t="shared" si="99"/>
        <v>1</v>
      </c>
      <c r="AP114" s="19"/>
      <c r="AQ114" s="74">
        <f ca="1">_xll.SPRDOPT(U114,AA114,AI114,AX114,X114,AD114,AG114,AN114,AO114,0)</f>
        <v>0.42562494082901797</v>
      </c>
      <c r="AR114" s="47">
        <f t="shared" ca="1" si="79"/>
        <v>595874.9171606251</v>
      </c>
      <c r="AS114" s="135">
        <f t="shared" ca="1" si="80"/>
        <v>0.42362494082901769</v>
      </c>
      <c r="AU114" s="5">
        <f t="shared" si="100"/>
        <v>28</v>
      </c>
      <c r="AV114" s="148">
        <f t="shared" si="73"/>
        <v>41320</v>
      </c>
      <c r="AW114" s="41">
        <f t="shared" ca="1" si="74"/>
        <v>4127</v>
      </c>
      <c r="AX114" s="100">
        <f>VLOOKUP($A114,[1]!CurveTable,MATCH(AX$4,[1]!CurveType,0))</f>
        <v>5.5756649979361105E-2</v>
      </c>
      <c r="AY114" s="149">
        <f ca="1">1/(1+CHOOSE(F$3,(AX115+(Inputs!$B$14/10000))/2,(AX114+(Inputs!$B$14/10000))/2))^(2*AW114/365.25)</f>
        <v>0.53720327023889114</v>
      </c>
      <c r="AZ114" s="41">
        <f t="shared" si="101"/>
        <v>1</v>
      </c>
      <c r="BA114" s="72">
        <f t="shared" si="102"/>
        <v>28</v>
      </c>
      <c r="BC114" s="65">
        <f t="shared" ca="1" si="81"/>
        <v>3563000.6898594452</v>
      </c>
      <c r="BD114" s="65">
        <f t="shared" ca="1" si="82"/>
        <v>3604365.3416678398</v>
      </c>
      <c r="BE114" s="65">
        <f t="shared" ca="1" si="83"/>
        <v>3604365.3416678398</v>
      </c>
      <c r="BF114" s="65">
        <f t="shared" ca="1" si="84"/>
        <v>56406.343375083568</v>
      </c>
      <c r="BG114" s="65">
        <f t="shared" ca="1" si="85"/>
        <v>56406.343375083568</v>
      </c>
      <c r="BH114" s="65">
        <f t="shared" ca="1" si="86"/>
        <v>56406.343375083568</v>
      </c>
      <c r="BI114" s="65">
        <f t="shared" ca="1" si="87"/>
        <v>0</v>
      </c>
      <c r="BJ114" s="65">
        <f t="shared" ca="1" si="88"/>
        <v>0</v>
      </c>
      <c r="BK114" s="65">
        <f t="shared" ca="1" si="89"/>
        <v>0</v>
      </c>
      <c r="BL114" s="65">
        <f t="shared" ca="1" si="90"/>
        <v>9777.099518347819</v>
      </c>
      <c r="BM114" s="65">
        <f t="shared" ca="1" si="91"/>
        <v>9777.099518347819</v>
      </c>
      <c r="BN114" s="65">
        <f t="shared" ca="1" si="92"/>
        <v>9777.099518347819</v>
      </c>
      <c r="BO114" s="65">
        <f t="shared" ca="1" si="93"/>
        <v>5640.634337508357</v>
      </c>
      <c r="BP114" s="65">
        <f t="shared" ca="1" si="94"/>
        <v>0</v>
      </c>
      <c r="BQ114" s="65">
        <f t="shared" ca="1" si="95"/>
        <v>0</v>
      </c>
      <c r="BR114" s="65">
        <f t="shared" ca="1" si="96"/>
        <v>3660771.6850429233</v>
      </c>
      <c r="BS114" s="65">
        <f t="shared" ca="1" si="97"/>
        <v>3614142.4411861873</v>
      </c>
      <c r="BT114" s="65">
        <f t="shared" ca="1" si="98"/>
        <v>45125.074700066856</v>
      </c>
      <c r="BU114" s="65">
        <f t="shared" ca="1" si="75"/>
        <v>1504.1691566691052</v>
      </c>
    </row>
    <row r="115" spans="1:73">
      <c r="A115" s="42">
        <f t="shared" si="76"/>
        <v>41334</v>
      </c>
      <c r="B115" s="30">
        <f>Inputs!$B$8</f>
        <v>50000</v>
      </c>
      <c r="C115" s="17">
        <f t="shared" si="66"/>
        <v>1550000</v>
      </c>
      <c r="D115" s="17">
        <f t="shared" ca="1" si="67"/>
        <v>828679.76061072864</v>
      </c>
      <c r="E115" s="25">
        <f>VLOOKUP($A115,[1]!CurveTable,MATCH($E$4,[1]!CurveType,0))</f>
        <v>4.5985000000000005</v>
      </c>
      <c r="F115" s="31">
        <f>E115-Inputs!$B$16</f>
        <v>4.6535000000000002</v>
      </c>
      <c r="G115" s="43">
        <f t="shared" si="108"/>
        <v>4.6535000000000002</v>
      </c>
      <c r="H115" s="25">
        <f>VLOOKUP($A115,[1]!CurveTable,MATCH($H$4,[1]!CurveType,0))</f>
        <v>0.115</v>
      </c>
      <c r="I115" s="31">
        <f>H115+Inputs!$B$22</f>
        <v>0.115</v>
      </c>
      <c r="J115" s="44">
        <f t="shared" si="109"/>
        <v>0.115</v>
      </c>
      <c r="K115" s="25">
        <f>VLOOKUP($A115,[1]!CurveTable,MATCH($K$4,[1]!CurveType,0))</f>
        <v>0</v>
      </c>
      <c r="L115" s="31">
        <v>0</v>
      </c>
      <c r="M115" s="45">
        <f t="shared" si="110"/>
        <v>0</v>
      </c>
      <c r="N115" s="25">
        <f>VLOOKUP($A115,[1]!CurveTable,MATCH($N$4,[1]!CurveType,0))</f>
        <v>1.7000000000000001E-2</v>
      </c>
      <c r="O115" s="31">
        <f>N115+Inputs!$E$22</f>
        <v>1.7000000000000001E-2</v>
      </c>
      <c r="P115" s="45">
        <f t="shared" si="111"/>
        <v>1.7000000000000001E-2</v>
      </c>
      <c r="Q115" s="25">
        <f>VLOOKUP($A115,[1]!CurveTable,MATCH($Q$4,[1]!CurveType,0))</f>
        <v>7.4999999999999997E-3</v>
      </c>
      <c r="R115" s="31">
        <v>0</v>
      </c>
      <c r="S115" s="45">
        <f t="shared" si="112"/>
        <v>0</v>
      </c>
      <c r="T115" s="4"/>
      <c r="U115" s="159">
        <f t="shared" si="77"/>
        <v>4.7685000000000004</v>
      </c>
      <c r="V115" s="160"/>
      <c r="W115" s="100">
        <f>VLOOKUP($A115,[1]!CurveTable,MATCH($W$4,[1]!CurveType,0))+$W$9</f>
        <v>0.17</v>
      </c>
      <c r="X115" s="100">
        <f>VLOOKUP($A115,[1]!CurveTable,MATCH($X$4,[1]!CurveType,0))+$X$9</f>
        <v>0.17500000000000002</v>
      </c>
      <c r="Y115" s="158">
        <f t="shared" ca="1" si="68"/>
        <v>0.17592589622632315</v>
      </c>
      <c r="Z115" s="4"/>
      <c r="AA115" s="159">
        <f t="shared" si="78"/>
        <v>4.6705000000000005</v>
      </c>
      <c r="AB115" s="160"/>
      <c r="AC115" s="100">
        <f>VLOOKUP($A115,[1]!CurveTable,MATCH($AC$4,[1]!CurveType,0))+$AC$9</f>
        <v>0.17</v>
      </c>
      <c r="AD115" s="100">
        <f>VLOOKUP($A115,[1]!CurveTable,MATCH($AD$4,[1]!CurveType,0))+$AD$9</f>
        <v>0.17500000000000002</v>
      </c>
      <c r="AE115" s="158">
        <f t="shared" ca="1" si="69"/>
        <v>0.17592589622632315</v>
      </c>
      <c r="AF115" s="4"/>
      <c r="AG115" s="52">
        <f ca="1">((Inputs!$F$20*(X115*AD115)*(A115-$C$3))+(Inputs!$F$19*W115*AC115*(DAY(EOMONTH(A115,0))/2)))/(AN115*Y115*AE115)</f>
        <v>0.74999999999999989</v>
      </c>
      <c r="AH115" s="4"/>
      <c r="AI115" s="18">
        <f>Inputs!$B$15</f>
        <v>0.06</v>
      </c>
      <c r="AJ115" s="46"/>
      <c r="AK115" s="18">
        <f t="shared" si="70"/>
        <v>3.7999999999999867E-2</v>
      </c>
      <c r="AL115" s="46"/>
      <c r="AM115" s="62">
        <f t="shared" si="71"/>
        <v>41305</v>
      </c>
      <c r="AN115" s="63">
        <f t="shared" ca="1" si="72"/>
        <v>4112</v>
      </c>
      <c r="AO115" s="63">
        <f t="shared" si="99"/>
        <v>1</v>
      </c>
      <c r="AP115" s="19"/>
      <c r="AQ115" s="74">
        <f ca="1">_xll.SPRDOPT(U115,AA115,AI115,AX115,X115,AD115,AG115,AN115,AO115,0)</f>
        <v>0.42435588685758557</v>
      </c>
      <c r="AR115" s="47">
        <f t="shared" ca="1" si="79"/>
        <v>657751.6246292576</v>
      </c>
      <c r="AS115" s="135">
        <f t="shared" ca="1" si="80"/>
        <v>0.38635588685758571</v>
      </c>
      <c r="AU115" s="5">
        <f t="shared" si="100"/>
        <v>31</v>
      </c>
      <c r="AV115" s="148">
        <f t="shared" si="73"/>
        <v>41348</v>
      </c>
      <c r="AW115" s="41">
        <f t="shared" ca="1" si="74"/>
        <v>4155</v>
      </c>
      <c r="AX115" s="100">
        <f>VLOOKUP($A115,[1]!CurveTable,MATCH(AX$4,[1]!CurveType,0))</f>
        <v>5.5809229206493803E-2</v>
      </c>
      <c r="AY115" s="149">
        <f ca="1">1/(1+CHOOSE(F$3,(AX116+(Inputs!$B$14/10000))/2,(AX115+(Inputs!$B$14/10000))/2))^(2*AW115/365.25)</f>
        <v>0.53463210361982494</v>
      </c>
      <c r="AZ115" s="41">
        <f t="shared" si="101"/>
        <v>1</v>
      </c>
      <c r="BA115" s="72">
        <f t="shared" si="102"/>
        <v>31</v>
      </c>
      <c r="BC115" s="65">
        <f t="shared" ca="1" si="81"/>
        <v>3810683.8791684359</v>
      </c>
      <c r="BD115" s="65">
        <f t="shared" ca="1" si="82"/>
        <v>3856261.2660020259</v>
      </c>
      <c r="BE115" s="65">
        <f t="shared" ca="1" si="83"/>
        <v>3856261.2660020259</v>
      </c>
      <c r="BF115" s="65">
        <f t="shared" ca="1" si="84"/>
        <v>95298.172470233796</v>
      </c>
      <c r="BG115" s="65">
        <f t="shared" ca="1" si="85"/>
        <v>95298.172470233796</v>
      </c>
      <c r="BH115" s="65">
        <f t="shared" ca="1" si="86"/>
        <v>95298.172470233796</v>
      </c>
      <c r="BI115" s="65">
        <f t="shared" ca="1" si="87"/>
        <v>0</v>
      </c>
      <c r="BJ115" s="65">
        <f t="shared" ca="1" si="88"/>
        <v>0</v>
      </c>
      <c r="BK115" s="65">
        <f t="shared" ca="1" si="89"/>
        <v>0</v>
      </c>
      <c r="BL115" s="65">
        <f t="shared" ca="1" si="90"/>
        <v>14087.555930382388</v>
      </c>
      <c r="BM115" s="65">
        <f t="shared" ca="1" si="91"/>
        <v>14087.555930382388</v>
      </c>
      <c r="BN115" s="65">
        <f t="shared" ca="1" si="92"/>
        <v>14087.555930382388</v>
      </c>
      <c r="BO115" s="65">
        <f t="shared" ca="1" si="93"/>
        <v>6215.0982045804649</v>
      </c>
      <c r="BP115" s="65">
        <f t="shared" ca="1" si="94"/>
        <v>0</v>
      </c>
      <c r="BQ115" s="65">
        <f t="shared" ca="1" si="95"/>
        <v>0</v>
      </c>
      <c r="BR115" s="65">
        <f t="shared" ca="1" si="96"/>
        <v>3951559.4384722598</v>
      </c>
      <c r="BS115" s="65">
        <f t="shared" ca="1" si="97"/>
        <v>3870348.8219324085</v>
      </c>
      <c r="BT115" s="65">
        <f t="shared" ca="1" si="98"/>
        <v>49720.785636643719</v>
      </c>
      <c r="BU115" s="65">
        <f t="shared" ca="1" si="75"/>
        <v>31489.830903207578</v>
      </c>
    </row>
    <row r="116" spans="1:73">
      <c r="A116" s="42">
        <f t="shared" si="76"/>
        <v>41365</v>
      </c>
      <c r="B116" s="30">
        <f>Inputs!$B$8</f>
        <v>50000</v>
      </c>
      <c r="C116" s="17">
        <f t="shared" si="66"/>
        <v>1500000</v>
      </c>
      <c r="D116" s="17">
        <f t="shared" ca="1" si="67"/>
        <v>797692.426941182</v>
      </c>
      <c r="E116" s="25">
        <f>VLOOKUP($A116,[1]!CurveTable,MATCH($E$4,[1]!CurveType,0))</f>
        <v>4.4445000000000006</v>
      </c>
      <c r="F116" s="31">
        <f>E116-Inputs!$B$16</f>
        <v>4.4995000000000003</v>
      </c>
      <c r="G116" s="43">
        <f t="shared" si="108"/>
        <v>4.4995000000000003</v>
      </c>
      <c r="H116" s="25">
        <f>VLOOKUP($A116,[1]!CurveTable,MATCH($H$4,[1]!CurveType,0))</f>
        <v>0.55000000000000004</v>
      </c>
      <c r="I116" s="31">
        <f>H116+Inputs!$B$22</f>
        <v>0.55000000000000004</v>
      </c>
      <c r="J116" s="44">
        <f t="shared" si="109"/>
        <v>0.55000000000000004</v>
      </c>
      <c r="K116" s="25">
        <f>VLOOKUP($A116,[1]!CurveTable,MATCH($K$4,[1]!CurveType,0))</f>
        <v>0</v>
      </c>
      <c r="L116" s="31">
        <v>0</v>
      </c>
      <c r="M116" s="45">
        <f t="shared" si="110"/>
        <v>0</v>
      </c>
      <c r="N116" s="25">
        <f>VLOOKUP($A116,[1]!CurveTable,MATCH($N$4,[1]!CurveType,0))</f>
        <v>1.7000000000000001E-2</v>
      </c>
      <c r="O116" s="31">
        <f>N116+Inputs!$E$22</f>
        <v>1.7000000000000001E-2</v>
      </c>
      <c r="P116" s="45">
        <f t="shared" si="111"/>
        <v>1.7000000000000001E-2</v>
      </c>
      <c r="Q116" s="25">
        <f>VLOOKUP($A116,[1]!CurveTable,MATCH($Q$4,[1]!CurveType,0))</f>
        <v>0.01</v>
      </c>
      <c r="R116" s="31">
        <v>0</v>
      </c>
      <c r="S116" s="45">
        <f t="shared" si="112"/>
        <v>0</v>
      </c>
      <c r="T116" s="4"/>
      <c r="U116" s="159">
        <f t="shared" si="77"/>
        <v>5.0495000000000001</v>
      </c>
      <c r="V116" s="160"/>
      <c r="W116" s="100">
        <f>VLOOKUP($A116,[1]!CurveTable,MATCH($W$4,[1]!CurveType,0))+$W$9</f>
        <v>0.17</v>
      </c>
      <c r="X116" s="100">
        <f>VLOOKUP($A116,[1]!CurveTable,MATCH($X$4,[1]!CurveType,0))+$X$9</f>
        <v>0.17500000000000002</v>
      </c>
      <c r="Y116" s="158">
        <f t="shared" ca="1" si="68"/>
        <v>0.17597279653620598</v>
      </c>
      <c r="Z116" s="4"/>
      <c r="AA116" s="159">
        <f t="shared" si="78"/>
        <v>4.5165000000000006</v>
      </c>
      <c r="AB116" s="160"/>
      <c r="AC116" s="100">
        <f>VLOOKUP($A116,[1]!CurveTable,MATCH($AC$4,[1]!CurveType,0))+$AC$9</f>
        <v>0.17</v>
      </c>
      <c r="AD116" s="100">
        <f>VLOOKUP($A116,[1]!CurveTable,MATCH($AD$4,[1]!CurveType,0))+$AD$9</f>
        <v>0.17500000000000002</v>
      </c>
      <c r="AE116" s="158">
        <f t="shared" ca="1" si="69"/>
        <v>0.17597279653620598</v>
      </c>
      <c r="AF116" s="4"/>
      <c r="AG116" s="52">
        <f ca="1">((Inputs!$F$20*(X116*AD116)*(A116-$C$3))+(Inputs!$F$19*W116*AC116*(DAY(EOMONTH(A116,0))/2)))/(AN116*Y116*AE116)</f>
        <v>0.75000000000000011</v>
      </c>
      <c r="AH116" s="4"/>
      <c r="AI116" s="18">
        <f>Inputs!$B$15</f>
        <v>0.06</v>
      </c>
      <c r="AJ116" s="46"/>
      <c r="AK116" s="18">
        <f t="shared" si="70"/>
        <v>0.47299999999999948</v>
      </c>
      <c r="AL116" s="46"/>
      <c r="AM116" s="62">
        <f t="shared" si="71"/>
        <v>41333</v>
      </c>
      <c r="AN116" s="63">
        <f t="shared" ca="1" si="72"/>
        <v>4140</v>
      </c>
      <c r="AO116" s="63">
        <f t="shared" si="99"/>
        <v>1</v>
      </c>
      <c r="AP116" s="19"/>
      <c r="AQ116" s="74">
        <f ca="1">_xll.SPRDOPT(U116,AA116,AI116,AX116,X116,AD116,AG116,AN116,AO116,0)</f>
        <v>0.55612287865452614</v>
      </c>
      <c r="AR116" s="47">
        <f t="shared" ca="1" si="79"/>
        <v>834184.31798178924</v>
      </c>
      <c r="AS116" s="135">
        <f t="shared" ca="1" si="80"/>
        <v>8.3122878654526666E-2</v>
      </c>
      <c r="AU116" s="5">
        <f t="shared" si="100"/>
        <v>30</v>
      </c>
      <c r="AV116" s="148">
        <f t="shared" si="73"/>
        <v>41379</v>
      </c>
      <c r="AW116" s="41">
        <f t="shared" ca="1" si="74"/>
        <v>4186</v>
      </c>
      <c r="AX116" s="100">
        <f>VLOOKUP($A116,[1]!CurveTable,MATCH(AX$4,[1]!CurveType,0))</f>
        <v>5.5867441923321201E-2</v>
      </c>
      <c r="AY116" s="149">
        <f ca="1">1/(1+CHOOSE(F$3,(AX117+(Inputs!$B$14/10000))/2,(AX116+(Inputs!$B$14/10000))/2))^(2*AW116/365.25)</f>
        <v>0.53179495129412135</v>
      </c>
      <c r="AZ116" s="41">
        <f t="shared" si="101"/>
        <v>1</v>
      </c>
      <c r="BA116" s="72">
        <f t="shared" si="102"/>
        <v>30</v>
      </c>
      <c r="BC116" s="65">
        <f t="shared" ca="1" si="81"/>
        <v>3545343.9915400837</v>
      </c>
      <c r="BD116" s="65">
        <f t="shared" ca="1" si="82"/>
        <v>3589217.0750218485</v>
      </c>
      <c r="BE116" s="65">
        <f t="shared" ca="1" si="83"/>
        <v>3589217.0750218485</v>
      </c>
      <c r="BF116" s="65">
        <f t="shared" ca="1" si="84"/>
        <v>438730.83481765015</v>
      </c>
      <c r="BG116" s="65">
        <f t="shared" ca="1" si="85"/>
        <v>438730.83481765015</v>
      </c>
      <c r="BH116" s="65">
        <f t="shared" ca="1" si="86"/>
        <v>438730.83481765015</v>
      </c>
      <c r="BI116" s="65">
        <f t="shared" ca="1" si="87"/>
        <v>0</v>
      </c>
      <c r="BJ116" s="65">
        <f t="shared" ca="1" si="88"/>
        <v>0</v>
      </c>
      <c r="BK116" s="65">
        <f t="shared" ca="1" si="89"/>
        <v>0</v>
      </c>
      <c r="BL116" s="65">
        <f t="shared" ca="1" si="90"/>
        <v>13560.771258000095</v>
      </c>
      <c r="BM116" s="65">
        <f t="shared" ca="1" si="91"/>
        <v>13560.771258000095</v>
      </c>
      <c r="BN116" s="65">
        <f t="shared" ca="1" si="92"/>
        <v>13560.771258000095</v>
      </c>
      <c r="BO116" s="65">
        <f t="shared" ca="1" si="93"/>
        <v>7976.9242694118202</v>
      </c>
      <c r="BP116" s="65">
        <f t="shared" ca="1" si="94"/>
        <v>0</v>
      </c>
      <c r="BQ116" s="65">
        <f t="shared" ca="1" si="95"/>
        <v>0</v>
      </c>
      <c r="BR116" s="65">
        <f t="shared" ca="1" si="96"/>
        <v>4027947.9098394988</v>
      </c>
      <c r="BS116" s="65">
        <f t="shared" ca="1" si="97"/>
        <v>3602777.8462798488</v>
      </c>
      <c r="BT116" s="65">
        <f t="shared" ca="1" si="98"/>
        <v>47861.545616470918</v>
      </c>
      <c r="BU116" s="65">
        <f t="shared" ca="1" si="75"/>
        <v>377308.51794317865</v>
      </c>
    </row>
    <row r="117" spans="1:73">
      <c r="A117" s="42">
        <f t="shared" si="76"/>
        <v>41395</v>
      </c>
      <c r="B117" s="30">
        <f>Inputs!$B$8</f>
        <v>50000</v>
      </c>
      <c r="C117" s="17">
        <f t="shared" si="66"/>
        <v>1550000</v>
      </c>
      <c r="D117" s="17">
        <f t="shared" ca="1" si="67"/>
        <v>820041.17572687392</v>
      </c>
      <c r="E117" s="25">
        <f>VLOOKUP($A117,[1]!CurveTable,MATCH($E$4,[1]!CurveType,0))</f>
        <v>4.4495000000000005</v>
      </c>
      <c r="F117" s="31">
        <f>E117-Inputs!$B$16</f>
        <v>4.5045000000000002</v>
      </c>
      <c r="G117" s="43">
        <f t="shared" si="108"/>
        <v>4.5045000000000002</v>
      </c>
      <c r="H117" s="25">
        <f>VLOOKUP($A117,[1]!CurveTable,MATCH($H$4,[1]!CurveType,0))</f>
        <v>0.7</v>
      </c>
      <c r="I117" s="31">
        <f>H117+Inputs!$B$22</f>
        <v>0.7</v>
      </c>
      <c r="J117" s="44">
        <f t="shared" si="109"/>
        <v>0.7</v>
      </c>
      <c r="K117" s="25">
        <f>VLOOKUP($A117,[1]!CurveTable,MATCH($K$4,[1]!CurveType,0))</f>
        <v>0</v>
      </c>
      <c r="L117" s="31">
        <v>0</v>
      </c>
      <c r="M117" s="45">
        <f t="shared" si="110"/>
        <v>0</v>
      </c>
      <c r="N117" s="25">
        <f>VLOOKUP($A117,[1]!CurveTable,MATCH($N$4,[1]!CurveType,0))</f>
        <v>1.95E-2</v>
      </c>
      <c r="O117" s="31">
        <f>N117+Inputs!$E$22</f>
        <v>1.95E-2</v>
      </c>
      <c r="P117" s="45">
        <f t="shared" si="111"/>
        <v>1.95E-2</v>
      </c>
      <c r="Q117" s="25">
        <f>VLOOKUP($A117,[1]!CurveTable,MATCH($Q$4,[1]!CurveType,0))</f>
        <v>0.01</v>
      </c>
      <c r="R117" s="31">
        <v>0</v>
      </c>
      <c r="S117" s="45">
        <f t="shared" si="112"/>
        <v>0</v>
      </c>
      <c r="T117" s="4"/>
      <c r="U117" s="159">
        <f t="shared" si="77"/>
        <v>5.2045000000000003</v>
      </c>
      <c r="V117" s="160"/>
      <c r="W117" s="100">
        <f>VLOOKUP($A117,[1]!CurveTable,MATCH($W$4,[1]!CurveType,0))+$W$9</f>
        <v>0.34</v>
      </c>
      <c r="X117" s="100">
        <f>VLOOKUP($A117,[1]!CurveTable,MATCH($X$4,[1]!CurveType,0))+$X$9</f>
        <v>0.34500000000000003</v>
      </c>
      <c r="Y117" s="158">
        <f t="shared" ca="1" si="68"/>
        <v>0.34689942522340805</v>
      </c>
      <c r="Z117" s="4"/>
      <c r="AA117" s="159">
        <f t="shared" si="78"/>
        <v>4.524</v>
      </c>
      <c r="AB117" s="160"/>
      <c r="AC117" s="100">
        <f>VLOOKUP($A117,[1]!CurveTable,MATCH($AC$4,[1]!CurveType,0))+$AC$9</f>
        <v>0.17</v>
      </c>
      <c r="AD117" s="100">
        <f>VLOOKUP($A117,[1]!CurveTable,MATCH($AD$4,[1]!CurveType,0))+$AD$9</f>
        <v>0.17500000000000002</v>
      </c>
      <c r="AE117" s="158">
        <f t="shared" ca="1" si="69"/>
        <v>0.17595456683481217</v>
      </c>
      <c r="AF117" s="4"/>
      <c r="AG117" s="52">
        <f ca="1">((Inputs!$F$20*(X117*AD117)*(A117-$C$3))+(Inputs!$F$19*W117*AC117*(DAY(EOMONTH(A117,0))/2)))/(AN117*Y117*AE117)</f>
        <v>0.749999727749731</v>
      </c>
      <c r="AH117" s="4"/>
      <c r="AI117" s="18">
        <f>Inputs!$B$15</f>
        <v>0.06</v>
      </c>
      <c r="AJ117" s="46"/>
      <c r="AK117" s="18">
        <f t="shared" si="70"/>
        <v>0.62050000000000027</v>
      </c>
      <c r="AL117" s="46"/>
      <c r="AM117" s="62">
        <f t="shared" si="71"/>
        <v>41364</v>
      </c>
      <c r="AN117" s="63">
        <f t="shared" ca="1" si="72"/>
        <v>4171</v>
      </c>
      <c r="AO117" s="63">
        <f t="shared" si="99"/>
        <v>1</v>
      </c>
      <c r="AP117" s="19"/>
      <c r="AQ117" s="74">
        <f ca="1">_xll.SPRDOPT(U117,AA117,AI117,AX117,X117,AD117,AG117,AN117,AO117,0)</f>
        <v>0.99917386959462595</v>
      </c>
      <c r="AR117" s="47">
        <f t="shared" ca="1" si="79"/>
        <v>1548719.4978716702</v>
      </c>
      <c r="AS117" s="135">
        <f t="shared" ca="1" si="80"/>
        <v>0.37867386959462568</v>
      </c>
      <c r="AU117" s="5">
        <f t="shared" si="100"/>
        <v>31</v>
      </c>
      <c r="AV117" s="148">
        <f t="shared" si="73"/>
        <v>41409</v>
      </c>
      <c r="AW117" s="41">
        <f t="shared" ca="1" si="74"/>
        <v>4216</v>
      </c>
      <c r="AX117" s="100">
        <f>VLOOKUP($A117,[1]!CurveTable,MATCH(AX$4,[1]!CurveType,0))</f>
        <v>5.5923776811647799E-2</v>
      </c>
      <c r="AY117" s="149">
        <f ca="1">1/(1+CHOOSE(F$3,(AX118+(Inputs!$B$14/10000))/2,(AX117+(Inputs!$B$14/10000))/2))^(2*AW117/365.25)</f>
        <v>0.52905882304959606</v>
      </c>
      <c r="AZ117" s="41">
        <f t="shared" si="101"/>
        <v>1</v>
      </c>
      <c r="BA117" s="72">
        <f t="shared" si="102"/>
        <v>31</v>
      </c>
      <c r="BC117" s="65">
        <f t="shared" ca="1" si="81"/>
        <v>3648773.2113967258</v>
      </c>
      <c r="BD117" s="65">
        <f t="shared" ca="1" si="82"/>
        <v>3693875.4760617036</v>
      </c>
      <c r="BE117" s="65">
        <f t="shared" ca="1" si="83"/>
        <v>3693875.4760617036</v>
      </c>
      <c r="BF117" s="65">
        <f t="shared" ca="1" si="84"/>
        <v>574028.82300881168</v>
      </c>
      <c r="BG117" s="65">
        <f t="shared" ca="1" si="85"/>
        <v>574028.82300881168</v>
      </c>
      <c r="BH117" s="65">
        <f t="shared" ca="1" si="86"/>
        <v>574028.82300881168</v>
      </c>
      <c r="BI117" s="65">
        <f t="shared" ca="1" si="87"/>
        <v>0</v>
      </c>
      <c r="BJ117" s="65">
        <f t="shared" ca="1" si="88"/>
        <v>0</v>
      </c>
      <c r="BK117" s="65">
        <f t="shared" ca="1" si="89"/>
        <v>0</v>
      </c>
      <c r="BL117" s="65">
        <f t="shared" ca="1" si="90"/>
        <v>15990.802926674041</v>
      </c>
      <c r="BM117" s="65">
        <f t="shared" ca="1" si="91"/>
        <v>15990.802926674041</v>
      </c>
      <c r="BN117" s="65">
        <f t="shared" ca="1" si="92"/>
        <v>15990.802926674041</v>
      </c>
      <c r="BO117" s="65">
        <f t="shared" ca="1" si="93"/>
        <v>8200.4117572687392</v>
      </c>
      <c r="BP117" s="65">
        <f t="shared" ca="1" si="94"/>
        <v>0</v>
      </c>
      <c r="BQ117" s="65">
        <f t="shared" ca="1" si="95"/>
        <v>0</v>
      </c>
      <c r="BR117" s="65">
        <f t="shared" ca="1" si="96"/>
        <v>4267904.2990705157</v>
      </c>
      <c r="BS117" s="65">
        <f t="shared" ca="1" si="97"/>
        <v>3709866.2789883777</v>
      </c>
      <c r="BT117" s="65">
        <f t="shared" ca="1" si="98"/>
        <v>49202.470543612435</v>
      </c>
      <c r="BU117" s="65">
        <f t="shared" ca="1" si="75"/>
        <v>508835.54953852546</v>
      </c>
    </row>
    <row r="118" spans="1:73">
      <c r="A118" s="42">
        <f t="shared" si="76"/>
        <v>41426</v>
      </c>
      <c r="B118" s="30">
        <f>Inputs!$B$8</f>
        <v>50000</v>
      </c>
      <c r="C118" s="17">
        <f t="shared" si="66"/>
        <v>1500000</v>
      </c>
      <c r="D118" s="17">
        <f t="shared" ca="1" si="67"/>
        <v>789361.96735097037</v>
      </c>
      <c r="E118" s="25">
        <f>VLOOKUP($A118,[1]!CurveTable,MATCH($E$4,[1]!CurveType,0))</f>
        <v>4.4874999999999998</v>
      </c>
      <c r="F118" s="31">
        <f>E118-Inputs!$B$16</f>
        <v>4.5424999999999995</v>
      </c>
      <c r="G118" s="43">
        <f t="shared" si="108"/>
        <v>4.5424999999999995</v>
      </c>
      <c r="H118" s="25">
        <f>VLOOKUP($A118,[1]!CurveTable,MATCH($H$4,[1]!CurveType,0))</f>
        <v>0.8</v>
      </c>
      <c r="I118" s="31">
        <f>H118+Inputs!$B$22</f>
        <v>0.8</v>
      </c>
      <c r="J118" s="44">
        <f t="shared" si="109"/>
        <v>0.8</v>
      </c>
      <c r="K118" s="25">
        <f>VLOOKUP($A118,[1]!CurveTable,MATCH($K$4,[1]!CurveType,0))</f>
        <v>0</v>
      </c>
      <c r="L118" s="31">
        <v>0</v>
      </c>
      <c r="M118" s="45">
        <f t="shared" si="110"/>
        <v>0</v>
      </c>
      <c r="N118" s="25">
        <f>VLOOKUP($A118,[1]!CurveTable,MATCH($N$4,[1]!CurveType,0))</f>
        <v>1.7000000000000001E-2</v>
      </c>
      <c r="O118" s="31">
        <f>N118+Inputs!$E$22</f>
        <v>1.7000000000000001E-2</v>
      </c>
      <c r="P118" s="45">
        <f t="shared" si="111"/>
        <v>1.7000000000000001E-2</v>
      </c>
      <c r="Q118" s="25">
        <f>VLOOKUP($A118,[1]!CurveTable,MATCH($Q$4,[1]!CurveType,0))</f>
        <v>0.01</v>
      </c>
      <c r="R118" s="31">
        <v>0</v>
      </c>
      <c r="S118" s="45">
        <f t="shared" si="112"/>
        <v>0</v>
      </c>
      <c r="T118" s="4"/>
      <c r="U118" s="159">
        <f t="shared" si="77"/>
        <v>5.3424999999999994</v>
      </c>
      <c r="V118" s="160"/>
      <c r="W118" s="100">
        <f>VLOOKUP($A118,[1]!CurveTable,MATCH($W$4,[1]!CurveType,0))+$W$9</f>
        <v>0.34</v>
      </c>
      <c r="X118" s="100">
        <f>VLOOKUP($A118,[1]!CurveTable,MATCH($X$4,[1]!CurveType,0))+$X$9</f>
        <v>0.34500000000000003</v>
      </c>
      <c r="Y118" s="158">
        <f t="shared" ca="1" si="68"/>
        <v>0.34690690414407027</v>
      </c>
      <c r="Z118" s="4"/>
      <c r="AA118" s="159">
        <f t="shared" si="78"/>
        <v>4.5594999999999999</v>
      </c>
      <c r="AB118" s="160"/>
      <c r="AC118" s="100">
        <f>VLOOKUP($A118,[1]!CurveTable,MATCH($AC$4,[1]!CurveType,0))+$AC$9</f>
        <v>0.17</v>
      </c>
      <c r="AD118" s="100">
        <f>VLOOKUP($A118,[1]!CurveTable,MATCH($AD$4,[1]!CurveType,0))+$AD$9</f>
        <v>0.17500000000000002</v>
      </c>
      <c r="AE118" s="158">
        <f t="shared" ca="1" si="69"/>
        <v>0.17595870966717239</v>
      </c>
      <c r="AF118" s="4"/>
      <c r="AG118" s="52">
        <f ca="1">((Inputs!$F$20*(X118*AD118)*(A118-$C$3))+(Inputs!$F$19*W118*AC118*(DAY(EOMONTH(A118,0))/2)))/(AN118*Y118*AE118)</f>
        <v>0.74999973838903922</v>
      </c>
      <c r="AH118" s="4"/>
      <c r="AI118" s="18">
        <f>Inputs!$B$15</f>
        <v>0.06</v>
      </c>
      <c r="AJ118" s="46"/>
      <c r="AK118" s="18">
        <f t="shared" si="70"/>
        <v>0.72299999999999942</v>
      </c>
      <c r="AL118" s="46"/>
      <c r="AM118" s="62">
        <f t="shared" si="71"/>
        <v>41394</v>
      </c>
      <c r="AN118" s="63">
        <f t="shared" ca="1" si="72"/>
        <v>4201</v>
      </c>
      <c r="AO118" s="63">
        <f t="shared" si="99"/>
        <v>1</v>
      </c>
      <c r="AP118" s="19"/>
      <c r="AQ118" s="74">
        <f ca="1">_xll.SPRDOPT(U118,AA118,AI118,AX118,X118,AD118,AG118,AN118,AO118,0)</f>
        <v>1.0412465546874887</v>
      </c>
      <c r="AR118" s="47">
        <f t="shared" ca="1" si="79"/>
        <v>1561869.832031233</v>
      </c>
      <c r="AS118" s="135">
        <f t="shared" ca="1" si="80"/>
        <v>0.3182465546874893</v>
      </c>
      <c r="AU118" s="5">
        <f t="shared" si="100"/>
        <v>30</v>
      </c>
      <c r="AV118" s="148">
        <f t="shared" si="73"/>
        <v>41440</v>
      </c>
      <c r="AW118" s="41">
        <f t="shared" ca="1" si="74"/>
        <v>4247</v>
      </c>
      <c r="AX118" s="100">
        <f>VLOOKUP($A118,[1]!CurveTable,MATCH(AX$4,[1]!CurveType,0))</f>
        <v>5.5981989530695199E-2</v>
      </c>
      <c r="AY118" s="149">
        <f ca="1">1/(1+CHOOSE(F$3,(AX119+(Inputs!$B$14/10000))/2,(AX118+(Inputs!$B$14/10000))/2))^(2*AW118/365.25)</f>
        <v>0.52624131156731357</v>
      </c>
      <c r="AZ118" s="41">
        <f t="shared" si="101"/>
        <v>1</v>
      </c>
      <c r="BA118" s="72">
        <f t="shared" si="102"/>
        <v>30</v>
      </c>
      <c r="BC118" s="65">
        <f t="shared" ca="1" si="81"/>
        <v>3542261.8284874796</v>
      </c>
      <c r="BD118" s="65">
        <f t="shared" ca="1" si="82"/>
        <v>3585676.7366917827</v>
      </c>
      <c r="BE118" s="65">
        <f t="shared" ca="1" si="83"/>
        <v>3585676.7366917827</v>
      </c>
      <c r="BF118" s="65">
        <f t="shared" ca="1" si="84"/>
        <v>631489.5738807763</v>
      </c>
      <c r="BG118" s="65">
        <f t="shared" ca="1" si="85"/>
        <v>631489.5738807763</v>
      </c>
      <c r="BH118" s="65">
        <f t="shared" ca="1" si="86"/>
        <v>631489.5738807763</v>
      </c>
      <c r="BI118" s="65">
        <f t="shared" ca="1" si="87"/>
        <v>0</v>
      </c>
      <c r="BJ118" s="65">
        <f t="shared" ca="1" si="88"/>
        <v>0</v>
      </c>
      <c r="BK118" s="65">
        <f t="shared" ca="1" si="89"/>
        <v>0</v>
      </c>
      <c r="BL118" s="65">
        <f t="shared" ca="1" si="90"/>
        <v>13419.153444966498</v>
      </c>
      <c r="BM118" s="65">
        <f t="shared" ca="1" si="91"/>
        <v>13419.153444966498</v>
      </c>
      <c r="BN118" s="65">
        <f t="shared" ca="1" si="92"/>
        <v>13419.153444966498</v>
      </c>
      <c r="BO118" s="65">
        <f t="shared" ca="1" si="93"/>
        <v>7893.6196735097037</v>
      </c>
      <c r="BP118" s="65">
        <f t="shared" ca="1" si="94"/>
        <v>0</v>
      </c>
      <c r="BQ118" s="65">
        <f t="shared" ca="1" si="95"/>
        <v>0</v>
      </c>
      <c r="BR118" s="65">
        <f t="shared" ca="1" si="96"/>
        <v>4217166.310572559</v>
      </c>
      <c r="BS118" s="65">
        <f t="shared" ca="1" si="97"/>
        <v>3599095.8901367495</v>
      </c>
      <c r="BT118" s="65">
        <f t="shared" ca="1" si="98"/>
        <v>47361.718041058222</v>
      </c>
      <c r="BU118" s="65">
        <f t="shared" ca="1" si="75"/>
        <v>570708.70239475113</v>
      </c>
    </row>
    <row r="119" spans="1:73">
      <c r="A119" s="42">
        <f t="shared" si="76"/>
        <v>41456</v>
      </c>
      <c r="B119" s="30">
        <f>Inputs!$B$8</f>
        <v>50000</v>
      </c>
      <c r="C119" s="17">
        <f t="shared" si="66"/>
        <v>1550000</v>
      </c>
      <c r="D119" s="17">
        <f t="shared" ca="1" si="67"/>
        <v>811462.49866588705</v>
      </c>
      <c r="E119" s="25">
        <f>VLOOKUP($A119,[1]!CurveTable,MATCH($E$4,[1]!CurveType,0))</f>
        <v>4.5324999999999998</v>
      </c>
      <c r="F119" s="31">
        <f>E119-Inputs!$B$16</f>
        <v>4.5874999999999995</v>
      </c>
      <c r="G119" s="43">
        <f t="shared" si="108"/>
        <v>4.5874999999999995</v>
      </c>
      <c r="H119" s="25">
        <f>VLOOKUP($A119,[1]!CurveTable,MATCH($H$4,[1]!CurveType,0))</f>
        <v>1</v>
      </c>
      <c r="I119" s="31">
        <f>H119+Inputs!$B$22</f>
        <v>1</v>
      </c>
      <c r="J119" s="44">
        <f t="shared" si="109"/>
        <v>1</v>
      </c>
      <c r="K119" s="25">
        <f>VLOOKUP($A119,[1]!CurveTable,MATCH($K$4,[1]!CurveType,0))</f>
        <v>0</v>
      </c>
      <c r="L119" s="31">
        <v>0</v>
      </c>
      <c r="M119" s="45">
        <f t="shared" si="110"/>
        <v>0</v>
      </c>
      <c r="N119" s="25">
        <f>VLOOKUP($A119,[1]!CurveTable,MATCH($N$4,[1]!CurveType,0))</f>
        <v>1.4500000000000001E-2</v>
      </c>
      <c r="O119" s="31">
        <f>N119+Inputs!$E$22</f>
        <v>1.4500000000000001E-2</v>
      </c>
      <c r="P119" s="45">
        <f t="shared" si="111"/>
        <v>1.4500000000000001E-2</v>
      </c>
      <c r="Q119" s="25">
        <f>VLOOKUP($A119,[1]!CurveTable,MATCH($Q$4,[1]!CurveType,0))</f>
        <v>0.01</v>
      </c>
      <c r="R119" s="31">
        <v>0</v>
      </c>
      <c r="S119" s="45">
        <f t="shared" si="112"/>
        <v>0</v>
      </c>
      <c r="T119" s="4"/>
      <c r="U119" s="159">
        <f t="shared" si="77"/>
        <v>5.5874999999999995</v>
      </c>
      <c r="V119" s="160"/>
      <c r="W119" s="100">
        <f>VLOOKUP($A119,[1]!CurveTable,MATCH($W$4,[1]!CurveType,0))+$W$9</f>
        <v>0.34</v>
      </c>
      <c r="X119" s="100">
        <f>VLOOKUP($A119,[1]!CurveTable,MATCH($X$4,[1]!CurveType,0))+$X$9</f>
        <v>0.34500000000000003</v>
      </c>
      <c r="Y119" s="158">
        <f t="shared" ca="1" si="68"/>
        <v>0.34687212080925012</v>
      </c>
      <c r="Z119" s="4"/>
      <c r="AA119" s="159">
        <f t="shared" si="78"/>
        <v>4.6019999999999994</v>
      </c>
      <c r="AB119" s="160"/>
      <c r="AC119" s="100">
        <f>VLOOKUP($A119,[1]!CurveTable,MATCH($AC$4,[1]!CurveType,0))+$AC$9</f>
        <v>0.17</v>
      </c>
      <c r="AD119" s="100">
        <f>VLOOKUP($A119,[1]!CurveTable,MATCH($AD$4,[1]!CurveType,0))+$AD$9</f>
        <v>0.17500000000000002</v>
      </c>
      <c r="AE119" s="158">
        <f t="shared" ca="1" si="69"/>
        <v>0.17594084450631545</v>
      </c>
      <c r="AF119" s="4"/>
      <c r="AG119" s="52">
        <f ca="1">((Inputs!$F$20*(X119*AD119)*(A119-$C$3))+(Inputs!$F$19*W119*AC119*(DAY(EOMONTH(A119,0))/2)))/(AN119*Y119*AE119)</f>
        <v>0.74999973161837763</v>
      </c>
      <c r="AH119" s="4"/>
      <c r="AI119" s="18">
        <f>Inputs!$B$15</f>
        <v>0.06</v>
      </c>
      <c r="AJ119" s="46"/>
      <c r="AK119" s="18">
        <f t="shared" si="70"/>
        <v>0.92549999999999999</v>
      </c>
      <c r="AL119" s="46"/>
      <c r="AM119" s="62">
        <f t="shared" si="71"/>
        <v>41425</v>
      </c>
      <c r="AN119" s="63">
        <f t="shared" ca="1" si="72"/>
        <v>4232</v>
      </c>
      <c r="AO119" s="63">
        <f t="shared" si="99"/>
        <v>1</v>
      </c>
      <c r="AP119" s="19"/>
      <c r="AQ119" s="74">
        <f ca="1">_xll.SPRDOPT(U119,AA119,AI119,AX119,X119,AD119,AG119,AN119,AO119,0)</f>
        <v>1.1226800965265427</v>
      </c>
      <c r="AR119" s="47">
        <f t="shared" ca="1" si="79"/>
        <v>1740154.1496161411</v>
      </c>
      <c r="AS119" s="135">
        <f t="shared" ca="1" si="80"/>
        <v>0.19718009652654267</v>
      </c>
      <c r="AU119" s="5">
        <f t="shared" si="100"/>
        <v>31</v>
      </c>
      <c r="AV119" s="148">
        <f t="shared" si="73"/>
        <v>41470</v>
      </c>
      <c r="AW119" s="41">
        <f t="shared" ca="1" si="74"/>
        <v>4277</v>
      </c>
      <c r="AX119" s="100">
        <f>VLOOKUP($A119,[1]!CurveTable,MATCH(AX$4,[1]!CurveType,0))</f>
        <v>5.6038324421169995E-2</v>
      </c>
      <c r="AY119" s="149">
        <f ca="1">1/(1+CHOOSE(F$3,(AX120+(Inputs!$B$14/10000))/2,(AX119+(Inputs!$B$14/10000))/2))^(2*AW119/365.25)</f>
        <v>0.52352419268766903</v>
      </c>
      <c r="AZ119" s="41">
        <f t="shared" si="101"/>
        <v>1</v>
      </c>
      <c r="BA119" s="72">
        <f t="shared" si="102"/>
        <v>31</v>
      </c>
      <c r="BC119" s="65">
        <f t="shared" ca="1" si="81"/>
        <v>3677953.775203133</v>
      </c>
      <c r="BD119" s="65">
        <f t="shared" ca="1" si="82"/>
        <v>3722584.2126297564</v>
      </c>
      <c r="BE119" s="65">
        <f t="shared" ca="1" si="83"/>
        <v>3722584.2126297564</v>
      </c>
      <c r="BF119" s="65">
        <f t="shared" ca="1" si="84"/>
        <v>811462.49866588705</v>
      </c>
      <c r="BG119" s="65">
        <f t="shared" ca="1" si="85"/>
        <v>811462.49866588705</v>
      </c>
      <c r="BH119" s="65">
        <f t="shared" ca="1" si="86"/>
        <v>811462.49866588705</v>
      </c>
      <c r="BI119" s="65">
        <f t="shared" ca="1" si="87"/>
        <v>0</v>
      </c>
      <c r="BJ119" s="65">
        <f t="shared" ca="1" si="88"/>
        <v>0</v>
      </c>
      <c r="BK119" s="65">
        <f t="shared" ca="1" si="89"/>
        <v>0</v>
      </c>
      <c r="BL119" s="65">
        <f t="shared" ca="1" si="90"/>
        <v>11766.206230655363</v>
      </c>
      <c r="BM119" s="65">
        <f t="shared" ca="1" si="91"/>
        <v>11766.206230655363</v>
      </c>
      <c r="BN119" s="65">
        <f t="shared" ca="1" si="92"/>
        <v>11766.206230655363</v>
      </c>
      <c r="BO119" s="65">
        <f t="shared" ca="1" si="93"/>
        <v>8114.6249866588705</v>
      </c>
      <c r="BP119" s="65">
        <f t="shared" ca="1" si="94"/>
        <v>0</v>
      </c>
      <c r="BQ119" s="65">
        <f t="shared" ca="1" si="95"/>
        <v>0</v>
      </c>
      <c r="BR119" s="65">
        <f t="shared" ca="1" si="96"/>
        <v>4534046.7112956438</v>
      </c>
      <c r="BS119" s="65">
        <f t="shared" ca="1" si="97"/>
        <v>3734350.4188604117</v>
      </c>
      <c r="BT119" s="65">
        <f t="shared" ca="1" si="98"/>
        <v>48687.749919953218</v>
      </c>
      <c r="BU119" s="65">
        <f t="shared" ca="1" si="75"/>
        <v>751008.54251527844</v>
      </c>
    </row>
    <row r="120" spans="1:73">
      <c r="A120" s="42">
        <f t="shared" si="76"/>
        <v>41487</v>
      </c>
      <c r="B120" s="30">
        <f>Inputs!$B$8</f>
        <v>50000</v>
      </c>
      <c r="C120" s="17">
        <f t="shared" si="66"/>
        <v>1550000</v>
      </c>
      <c r="D120" s="17">
        <f t="shared" ca="1" si="67"/>
        <v>807125.80501463183</v>
      </c>
      <c r="E120" s="25">
        <f>VLOOKUP($A120,[1]!CurveTable,MATCH($E$4,[1]!CurveType,0))</f>
        <v>4.5705</v>
      </c>
      <c r="F120" s="31">
        <f>E120-Inputs!$B$16</f>
        <v>4.6254999999999997</v>
      </c>
      <c r="G120" s="43">
        <f t="shared" si="108"/>
        <v>4.6254999999999997</v>
      </c>
      <c r="H120" s="25">
        <f>VLOOKUP($A120,[1]!CurveTable,MATCH($H$4,[1]!CurveType,0))</f>
        <v>1</v>
      </c>
      <c r="I120" s="31">
        <f>H120+Inputs!$B$22</f>
        <v>1</v>
      </c>
      <c r="J120" s="44">
        <f t="shared" si="109"/>
        <v>1</v>
      </c>
      <c r="K120" s="25">
        <f>VLOOKUP($A120,[1]!CurveTable,MATCH($K$4,[1]!CurveType,0))</f>
        <v>0</v>
      </c>
      <c r="L120" s="31">
        <v>0</v>
      </c>
      <c r="M120" s="45">
        <f t="shared" si="110"/>
        <v>0</v>
      </c>
      <c r="N120" s="25">
        <f>VLOOKUP($A120,[1]!CurveTable,MATCH($N$4,[1]!CurveType,0))</f>
        <v>1.4500000000000001E-2</v>
      </c>
      <c r="O120" s="31">
        <f>N120+Inputs!$E$22</f>
        <v>1.4500000000000001E-2</v>
      </c>
      <c r="P120" s="45">
        <f t="shared" si="111"/>
        <v>1.4500000000000001E-2</v>
      </c>
      <c r="Q120" s="25">
        <f>VLOOKUP($A120,[1]!CurveTable,MATCH($Q$4,[1]!CurveType,0))</f>
        <v>0.01</v>
      </c>
      <c r="R120" s="31">
        <v>0</v>
      </c>
      <c r="S120" s="45">
        <f t="shared" si="112"/>
        <v>0</v>
      </c>
      <c r="T120" s="4"/>
      <c r="U120" s="159">
        <f t="shared" si="77"/>
        <v>5.6254999999999997</v>
      </c>
      <c r="V120" s="160"/>
      <c r="W120" s="100">
        <f>VLOOKUP($A120,[1]!CurveTable,MATCH($W$4,[1]!CurveType,0))+$W$9</f>
        <v>0.34</v>
      </c>
      <c r="X120" s="100">
        <f>VLOOKUP($A120,[1]!CurveTable,MATCH($X$4,[1]!CurveType,0))+$X$9</f>
        <v>0.34500000000000003</v>
      </c>
      <c r="Y120" s="158">
        <f t="shared" ca="1" si="68"/>
        <v>0.34689923306012171</v>
      </c>
      <c r="Z120" s="4"/>
      <c r="AA120" s="159">
        <f t="shared" si="78"/>
        <v>4.6399999999999997</v>
      </c>
      <c r="AB120" s="160"/>
      <c r="AC120" s="100">
        <f>VLOOKUP($A120,[1]!CurveTable,MATCH($AC$4,[1]!CurveType,0))+$AC$9</f>
        <v>0.17</v>
      </c>
      <c r="AD120" s="100">
        <f>VLOOKUP($A120,[1]!CurveTable,MATCH($AD$4,[1]!CurveType,0))+$AD$9</f>
        <v>0.17500000000000002</v>
      </c>
      <c r="AE120" s="158">
        <f t="shared" ca="1" si="69"/>
        <v>0.17595465959642304</v>
      </c>
      <c r="AF120" s="4"/>
      <c r="AG120" s="52">
        <f ca="1">((Inputs!$F$20*(X120*AD120)*(A120-$C$3))+(Inputs!$F$19*W120*AC120*(DAY(EOMONTH(A120,0))/2)))/(AN120*Y120*AE120)</f>
        <v>0.74999973354257898</v>
      </c>
      <c r="AH120" s="4"/>
      <c r="AI120" s="18">
        <f>Inputs!$B$15</f>
        <v>0.06</v>
      </c>
      <c r="AJ120" s="46"/>
      <c r="AK120" s="18">
        <f t="shared" si="70"/>
        <v>0.92549999999999999</v>
      </c>
      <c r="AL120" s="46"/>
      <c r="AM120" s="62">
        <f t="shared" si="71"/>
        <v>41455</v>
      </c>
      <c r="AN120" s="63">
        <f t="shared" ca="1" si="72"/>
        <v>4262</v>
      </c>
      <c r="AO120" s="63">
        <f t="shared" si="99"/>
        <v>1</v>
      </c>
      <c r="AP120" s="19"/>
      <c r="AQ120" s="74">
        <f ca="1">_xll.SPRDOPT(U120,AA120,AI120,AX120,X120,AD120,AG120,AN120,AO120,0)</f>
        <v>1.1257649447062497</v>
      </c>
      <c r="AR120" s="47">
        <f t="shared" ca="1" si="79"/>
        <v>1744935.6642946869</v>
      </c>
      <c r="AS120" s="135">
        <f t="shared" ca="1" si="80"/>
        <v>0.20026494470624967</v>
      </c>
      <c r="AU120" s="5">
        <f t="shared" si="100"/>
        <v>31</v>
      </c>
      <c r="AV120" s="148">
        <f t="shared" si="73"/>
        <v>41501</v>
      </c>
      <c r="AW120" s="41">
        <f t="shared" ca="1" si="74"/>
        <v>4308</v>
      </c>
      <c r="AX120" s="100">
        <f>VLOOKUP($A120,[1]!CurveTable,MATCH(AX$4,[1]!CurveType,0))</f>
        <v>5.60965371424373E-2</v>
      </c>
      <c r="AY120" s="149">
        <f ca="1">1/(1+CHOOSE(F$3,(AX121+(Inputs!$B$14/10000))/2,(AX120+(Inputs!$B$14/10000))/2))^(2*AW120/365.25)</f>
        <v>0.52072632581589151</v>
      </c>
      <c r="AZ120" s="41">
        <f t="shared" si="101"/>
        <v>1</v>
      </c>
      <c r="BA120" s="72">
        <f t="shared" si="102"/>
        <v>31</v>
      </c>
      <c r="BC120" s="65">
        <f t="shared" ca="1" si="81"/>
        <v>3688968.4918193747</v>
      </c>
      <c r="BD120" s="65">
        <f t="shared" ca="1" si="82"/>
        <v>3733360.4110951792</v>
      </c>
      <c r="BE120" s="65">
        <f t="shared" ca="1" si="83"/>
        <v>3733360.4110951792</v>
      </c>
      <c r="BF120" s="65">
        <f t="shared" ca="1" si="84"/>
        <v>807125.80501463183</v>
      </c>
      <c r="BG120" s="65">
        <f t="shared" ca="1" si="85"/>
        <v>807125.80501463183</v>
      </c>
      <c r="BH120" s="65">
        <f t="shared" ca="1" si="86"/>
        <v>807125.80501463183</v>
      </c>
      <c r="BI120" s="65">
        <f t="shared" ca="1" si="87"/>
        <v>0</v>
      </c>
      <c r="BJ120" s="65">
        <f t="shared" ca="1" si="88"/>
        <v>0</v>
      </c>
      <c r="BK120" s="65">
        <f t="shared" ca="1" si="89"/>
        <v>0</v>
      </c>
      <c r="BL120" s="65">
        <f t="shared" ca="1" si="90"/>
        <v>11703.324172712162</v>
      </c>
      <c r="BM120" s="65">
        <f t="shared" ca="1" si="91"/>
        <v>11703.324172712162</v>
      </c>
      <c r="BN120" s="65">
        <f t="shared" ca="1" si="92"/>
        <v>11703.324172712162</v>
      </c>
      <c r="BO120" s="65">
        <f t="shared" ca="1" si="93"/>
        <v>8071.2580501463181</v>
      </c>
      <c r="BP120" s="65">
        <f t="shared" ca="1" si="94"/>
        <v>0</v>
      </c>
      <c r="BQ120" s="65">
        <f t="shared" ca="1" si="95"/>
        <v>0</v>
      </c>
      <c r="BR120" s="65">
        <f t="shared" ca="1" si="96"/>
        <v>4540486.2161098113</v>
      </c>
      <c r="BS120" s="65">
        <f t="shared" ca="1" si="97"/>
        <v>3745063.7352678915</v>
      </c>
      <c r="BT120" s="65">
        <f t="shared" ca="1" si="98"/>
        <v>48427.548300877905</v>
      </c>
      <c r="BU120" s="65">
        <f t="shared" ca="1" si="75"/>
        <v>746994.93254104175</v>
      </c>
    </row>
    <row r="121" spans="1:73">
      <c r="A121" s="42">
        <f t="shared" si="76"/>
        <v>41518</v>
      </c>
      <c r="B121" s="30">
        <f>Inputs!$B$8</f>
        <v>50000</v>
      </c>
      <c r="C121" s="17">
        <f t="shared" si="66"/>
        <v>1500000</v>
      </c>
      <c r="D121" s="17">
        <f t="shared" ca="1" si="67"/>
        <v>776907.66449214821</v>
      </c>
      <c r="E121" s="25">
        <f>VLOOKUP($A121,[1]!CurveTable,MATCH($E$4,[1]!CurveType,0))</f>
        <v>4.5644999999999998</v>
      </c>
      <c r="F121" s="31">
        <f>E121-Inputs!$B$16</f>
        <v>4.6194999999999995</v>
      </c>
      <c r="G121" s="43">
        <f t="shared" si="108"/>
        <v>4.6194999999999995</v>
      </c>
      <c r="H121" s="25">
        <f>VLOOKUP($A121,[1]!CurveTable,MATCH($H$4,[1]!CurveType,0))</f>
        <v>0.6</v>
      </c>
      <c r="I121" s="31">
        <f>H121+Inputs!$B$22</f>
        <v>0.6</v>
      </c>
      <c r="J121" s="44">
        <f t="shared" si="109"/>
        <v>0.6</v>
      </c>
      <c r="K121" s="25">
        <f>VLOOKUP($A121,[1]!CurveTable,MATCH($K$4,[1]!CurveType,0))</f>
        <v>0</v>
      </c>
      <c r="L121" s="31">
        <v>0</v>
      </c>
      <c r="M121" s="45">
        <f t="shared" si="110"/>
        <v>0</v>
      </c>
      <c r="N121" s="25">
        <f>VLOOKUP($A121,[1]!CurveTable,MATCH($N$4,[1]!CurveType,0))</f>
        <v>1.4500000000000001E-2</v>
      </c>
      <c r="O121" s="31">
        <f>N121+Inputs!$E$22</f>
        <v>1.4500000000000001E-2</v>
      </c>
      <c r="P121" s="45">
        <f t="shared" si="111"/>
        <v>1.4500000000000001E-2</v>
      </c>
      <c r="Q121" s="25">
        <f>VLOOKUP($A121,[1]!CurveTable,MATCH($Q$4,[1]!CurveType,0))</f>
        <v>0.01</v>
      </c>
      <c r="R121" s="31">
        <v>0</v>
      </c>
      <c r="S121" s="45">
        <f t="shared" si="112"/>
        <v>0</v>
      </c>
      <c r="T121" s="4"/>
      <c r="U121" s="159">
        <f t="shared" si="77"/>
        <v>5.2194999999999991</v>
      </c>
      <c r="V121" s="160"/>
      <c r="W121" s="100">
        <f>VLOOKUP($A121,[1]!CurveTable,MATCH($W$4,[1]!CurveType,0))+$W$9</f>
        <v>0.34</v>
      </c>
      <c r="X121" s="100">
        <f>VLOOKUP($A121,[1]!CurveTable,MATCH($X$4,[1]!CurveType,0))+$X$9</f>
        <v>0.34500000000000003</v>
      </c>
      <c r="Y121" s="158">
        <f t="shared" ca="1" si="68"/>
        <v>0.34686614866162929</v>
      </c>
      <c r="Z121" s="4"/>
      <c r="AA121" s="159">
        <f t="shared" si="78"/>
        <v>4.6339999999999995</v>
      </c>
      <c r="AB121" s="160"/>
      <c r="AC121" s="100">
        <f>VLOOKUP($A121,[1]!CurveTable,MATCH($AC$4,[1]!CurveType,0))+$AC$9</f>
        <v>0.17</v>
      </c>
      <c r="AD121" s="100">
        <f>VLOOKUP($A121,[1]!CurveTable,MATCH($AD$4,[1]!CurveType,0))+$AD$9</f>
        <v>0.17500000000000002</v>
      </c>
      <c r="AE121" s="158">
        <f t="shared" ca="1" si="69"/>
        <v>0.17593821907103036</v>
      </c>
      <c r="AF121" s="4"/>
      <c r="AG121" s="52">
        <f ca="1">((Inputs!$F$20*(X121*AD121)*(A121-$C$3))+(Inputs!$F$19*W121*AC121*(DAY(EOMONTH(A121,0))/2)))/(AN121*Y121*AE121)</f>
        <v>0.749999743917107</v>
      </c>
      <c r="AH121" s="4"/>
      <c r="AI121" s="18">
        <f>Inputs!$B$15</f>
        <v>0.06</v>
      </c>
      <c r="AJ121" s="46"/>
      <c r="AK121" s="18">
        <f t="shared" si="70"/>
        <v>0.52549999999999963</v>
      </c>
      <c r="AL121" s="46"/>
      <c r="AM121" s="62">
        <f t="shared" si="71"/>
        <v>41486</v>
      </c>
      <c r="AN121" s="63">
        <f t="shared" ca="1" si="72"/>
        <v>4293</v>
      </c>
      <c r="AO121" s="63">
        <f t="shared" si="99"/>
        <v>1</v>
      </c>
      <c r="AP121" s="19"/>
      <c r="AQ121" s="74">
        <f ca="1">_xll.SPRDOPT(U121,AA121,AI121,AX121,X121,AD121,AG121,AN121,AO121,0)</f>
        <v>0.97221126413063985</v>
      </c>
      <c r="AR121" s="47">
        <f t="shared" ca="1" si="79"/>
        <v>1458316.8961959598</v>
      </c>
      <c r="AS121" s="135">
        <f t="shared" ca="1" si="80"/>
        <v>0.44671126413064022</v>
      </c>
      <c r="AU121" s="5">
        <f t="shared" si="100"/>
        <v>30</v>
      </c>
      <c r="AV121" s="148">
        <f t="shared" si="73"/>
        <v>41532</v>
      </c>
      <c r="AW121" s="41">
        <f t="shared" ca="1" si="74"/>
        <v>4339</v>
      </c>
      <c r="AX121" s="100">
        <f>VLOOKUP($A121,[1]!CurveTable,MATCH(AX$4,[1]!CurveType,0))</f>
        <v>5.6154749864832702E-2</v>
      </c>
      <c r="AY121" s="149">
        <f ca="1">1/(1+CHOOSE(F$3,(AX122+(Inputs!$B$14/10000))/2,(AX121+(Inputs!$B$14/10000))/2))^(2*AW121/365.25)</f>
        <v>0.51793844299476544</v>
      </c>
      <c r="AZ121" s="41">
        <f t="shared" si="101"/>
        <v>1</v>
      </c>
      <c r="BA121" s="72">
        <f t="shared" si="102"/>
        <v>30</v>
      </c>
      <c r="BC121" s="65">
        <f t="shared" ca="1" si="81"/>
        <v>3546195.0345744104</v>
      </c>
      <c r="BD121" s="65">
        <f t="shared" ca="1" si="82"/>
        <v>3588924.9561214782</v>
      </c>
      <c r="BE121" s="65">
        <f t="shared" ca="1" si="83"/>
        <v>3588924.9561214782</v>
      </c>
      <c r="BF121" s="65">
        <f t="shared" ca="1" si="84"/>
        <v>466144.59869528894</v>
      </c>
      <c r="BG121" s="65">
        <f t="shared" ca="1" si="85"/>
        <v>466144.59869528894</v>
      </c>
      <c r="BH121" s="65">
        <f t="shared" ca="1" si="86"/>
        <v>466144.59869528894</v>
      </c>
      <c r="BI121" s="65">
        <f t="shared" ca="1" si="87"/>
        <v>0</v>
      </c>
      <c r="BJ121" s="65">
        <f t="shared" ca="1" si="88"/>
        <v>0</v>
      </c>
      <c r="BK121" s="65">
        <f t="shared" ca="1" si="89"/>
        <v>0</v>
      </c>
      <c r="BL121" s="65">
        <f t="shared" ca="1" si="90"/>
        <v>11265.16113513615</v>
      </c>
      <c r="BM121" s="65">
        <f t="shared" ca="1" si="91"/>
        <v>11265.16113513615</v>
      </c>
      <c r="BN121" s="65">
        <f t="shared" ca="1" si="92"/>
        <v>11265.16113513615</v>
      </c>
      <c r="BO121" s="65">
        <f t="shared" ca="1" si="93"/>
        <v>7769.0766449214825</v>
      </c>
      <c r="BP121" s="65">
        <f t="shared" ca="1" si="94"/>
        <v>0</v>
      </c>
      <c r="BQ121" s="65">
        <f t="shared" ca="1" si="95"/>
        <v>0</v>
      </c>
      <c r="BR121" s="65">
        <f t="shared" ca="1" si="96"/>
        <v>4055069.5548167671</v>
      </c>
      <c r="BS121" s="65">
        <f t="shared" ca="1" si="97"/>
        <v>3600190.1172566144</v>
      </c>
      <c r="BT121" s="65">
        <f t="shared" ca="1" si="98"/>
        <v>46614.459869528888</v>
      </c>
      <c r="BU121" s="65">
        <f t="shared" ca="1" si="75"/>
        <v>408264.97769062361</v>
      </c>
    </row>
    <row r="122" spans="1:73">
      <c r="A122" s="42">
        <f t="shared" si="76"/>
        <v>41548</v>
      </c>
      <c r="B122" s="30">
        <f>Inputs!$B$8</f>
        <v>50000</v>
      </c>
      <c r="C122" s="17">
        <f t="shared" si="66"/>
        <v>1550000</v>
      </c>
      <c r="D122" s="17">
        <f t="shared" ca="1" si="67"/>
        <v>798637.49708760239</v>
      </c>
      <c r="E122" s="25">
        <f>VLOOKUP($A122,[1]!CurveTable,MATCH($E$4,[1]!CurveType,0))</f>
        <v>4.5644999999999998</v>
      </c>
      <c r="F122" s="31">
        <f>E122-Inputs!$B$16</f>
        <v>4.6194999999999995</v>
      </c>
      <c r="G122" s="43">
        <f t="shared" si="108"/>
        <v>4.6194999999999995</v>
      </c>
      <c r="H122" s="25">
        <f>VLOOKUP($A122,[1]!CurveTable,MATCH($H$4,[1]!CurveType,0))</f>
        <v>0.3</v>
      </c>
      <c r="I122" s="31">
        <f>H122+Inputs!$B$22</f>
        <v>0.3</v>
      </c>
      <c r="J122" s="44">
        <f t="shared" si="109"/>
        <v>0.3</v>
      </c>
      <c r="K122" s="25">
        <f>VLOOKUP($A122,[1]!CurveTable,MATCH($K$4,[1]!CurveType,0))</f>
        <v>0</v>
      </c>
      <c r="L122" s="31">
        <v>0</v>
      </c>
      <c r="M122" s="45">
        <f t="shared" si="110"/>
        <v>0</v>
      </c>
      <c r="N122" s="25">
        <f>VLOOKUP($A122,[1]!CurveTable,MATCH($N$4,[1]!CurveType,0))</f>
        <v>1.3000000000000001E-2</v>
      </c>
      <c r="O122" s="31">
        <f>N122+Inputs!$E$22</f>
        <v>1.3000000000000001E-2</v>
      </c>
      <c r="P122" s="45">
        <f t="shared" si="111"/>
        <v>1.3000000000000001E-2</v>
      </c>
      <c r="Q122" s="25">
        <f>VLOOKUP($A122,[1]!CurveTable,MATCH($Q$4,[1]!CurveType,0))</f>
        <v>0.01</v>
      </c>
      <c r="R122" s="31">
        <v>0</v>
      </c>
      <c r="S122" s="45">
        <f t="shared" si="112"/>
        <v>0</v>
      </c>
      <c r="T122" s="4"/>
      <c r="U122" s="159">
        <f t="shared" si="77"/>
        <v>4.9194999999999993</v>
      </c>
      <c r="V122" s="160"/>
      <c r="W122" s="100">
        <f>VLOOKUP($A122,[1]!CurveTable,MATCH($W$4,[1]!CurveType,0))+$W$9</f>
        <v>0.17</v>
      </c>
      <c r="X122" s="100">
        <f>VLOOKUP($A122,[1]!CurveTable,MATCH($X$4,[1]!CurveType,0))+$X$9</f>
        <v>0.17500000000000002</v>
      </c>
      <c r="Y122" s="158">
        <f t="shared" ca="1" si="68"/>
        <v>0.17592087892835012</v>
      </c>
      <c r="Z122" s="4"/>
      <c r="AA122" s="159">
        <f t="shared" si="78"/>
        <v>4.6324999999999994</v>
      </c>
      <c r="AB122" s="160"/>
      <c r="AC122" s="100">
        <f>VLOOKUP($A122,[1]!CurveTable,MATCH($AC$4,[1]!CurveType,0))+$AC$9</f>
        <v>0.17</v>
      </c>
      <c r="AD122" s="100">
        <f>VLOOKUP($A122,[1]!CurveTable,MATCH($AD$4,[1]!CurveType,0))+$AD$9</f>
        <v>0.17500000000000002</v>
      </c>
      <c r="AE122" s="158">
        <f t="shared" ca="1" si="69"/>
        <v>0.17592087892835012</v>
      </c>
      <c r="AF122" s="4"/>
      <c r="AG122" s="52">
        <f ca="1">((Inputs!$F$20*(X122*AD122)*(A122-$C$3))+(Inputs!$F$19*W122*AC122*(DAY(EOMONTH(A122,0))/2)))/(AN122*Y122*AE122)</f>
        <v>0.75</v>
      </c>
      <c r="AH122" s="4"/>
      <c r="AI122" s="18">
        <f>Inputs!$B$15</f>
        <v>0.06</v>
      </c>
      <c r="AJ122" s="46"/>
      <c r="AK122" s="18">
        <f t="shared" si="70"/>
        <v>0.22699999999999992</v>
      </c>
      <c r="AL122" s="46"/>
      <c r="AM122" s="62">
        <f t="shared" si="71"/>
        <v>41517</v>
      </c>
      <c r="AN122" s="63">
        <f t="shared" ca="1" si="72"/>
        <v>4324</v>
      </c>
      <c r="AO122" s="63">
        <f t="shared" si="99"/>
        <v>1</v>
      </c>
      <c r="AP122" s="19"/>
      <c r="AQ122" s="74">
        <f ca="1">_xll.SPRDOPT(U122,AA122,AI122,AX122,X122,AD122,AG122,AN122,AO122,0)</f>
        <v>0.47479784549956067</v>
      </c>
      <c r="AR122" s="47">
        <f t="shared" ca="1" si="79"/>
        <v>735936.66052431904</v>
      </c>
      <c r="AS122" s="135">
        <f t="shared" ca="1" si="80"/>
        <v>0.24779784549956074</v>
      </c>
      <c r="AU122" s="5">
        <f t="shared" si="100"/>
        <v>31</v>
      </c>
      <c r="AV122" s="148">
        <f t="shared" si="73"/>
        <v>41562</v>
      </c>
      <c r="AW122" s="41">
        <f t="shared" ca="1" si="74"/>
        <v>4369</v>
      </c>
      <c r="AX122" s="100">
        <f>VLOOKUP($A122,[1]!CurveTable,MATCH(AX$4,[1]!CurveType,0))</f>
        <v>5.6211084758547504E-2</v>
      </c>
      <c r="AY122" s="149">
        <f ca="1">1/(1+CHOOSE(F$3,(AX123+(Inputs!$B$14/10000))/2,(AX122+(Inputs!$B$14/10000))/2))^(2*AW122/365.25)</f>
        <v>0.51524999812103378</v>
      </c>
      <c r="AZ122" s="41">
        <f t="shared" si="101"/>
        <v>1</v>
      </c>
      <c r="BA122" s="72">
        <f t="shared" si="102"/>
        <v>31</v>
      </c>
      <c r="BC122" s="65">
        <f t="shared" ca="1" si="81"/>
        <v>3645380.8554563611</v>
      </c>
      <c r="BD122" s="65">
        <f t="shared" ca="1" si="82"/>
        <v>3689305.9177961787</v>
      </c>
      <c r="BE122" s="65">
        <f t="shared" ca="1" si="83"/>
        <v>3689305.9177961787</v>
      </c>
      <c r="BF122" s="65">
        <f t="shared" ca="1" si="84"/>
        <v>239591.24912628072</v>
      </c>
      <c r="BG122" s="65">
        <f t="shared" ca="1" si="85"/>
        <v>239591.24912628072</v>
      </c>
      <c r="BH122" s="65">
        <f t="shared" ca="1" si="86"/>
        <v>239591.24912628072</v>
      </c>
      <c r="BI122" s="65">
        <f t="shared" ca="1" si="87"/>
        <v>0</v>
      </c>
      <c r="BJ122" s="65">
        <f t="shared" ca="1" si="88"/>
        <v>0</v>
      </c>
      <c r="BK122" s="65">
        <f t="shared" ca="1" si="89"/>
        <v>0</v>
      </c>
      <c r="BL122" s="65">
        <f t="shared" ca="1" si="90"/>
        <v>10382.287462138833</v>
      </c>
      <c r="BM122" s="65">
        <f t="shared" ca="1" si="91"/>
        <v>10382.287462138833</v>
      </c>
      <c r="BN122" s="65">
        <f t="shared" ca="1" si="92"/>
        <v>10382.287462138833</v>
      </c>
      <c r="BO122" s="65">
        <f t="shared" ca="1" si="93"/>
        <v>7986.3749708760242</v>
      </c>
      <c r="BP122" s="65">
        <f t="shared" ca="1" si="94"/>
        <v>0</v>
      </c>
      <c r="BQ122" s="65">
        <f t="shared" ca="1" si="95"/>
        <v>0</v>
      </c>
      <c r="BR122" s="65">
        <f t="shared" ca="1" si="96"/>
        <v>3928897.1669224594</v>
      </c>
      <c r="BS122" s="65">
        <f t="shared" ca="1" si="97"/>
        <v>3699688.2052583178</v>
      </c>
      <c r="BT122" s="65">
        <f t="shared" ca="1" si="98"/>
        <v>47918.249825256142</v>
      </c>
      <c r="BU122" s="65">
        <f t="shared" ca="1" si="75"/>
        <v>181290.71183888568</v>
      </c>
    </row>
    <row r="123" spans="1:73">
      <c r="A123" s="42">
        <f t="shared" si="76"/>
        <v>41579</v>
      </c>
      <c r="B123" s="30">
        <f>Inputs!$B$8</f>
        <v>50000</v>
      </c>
      <c r="C123" s="17">
        <f t="shared" si="66"/>
        <v>1500000</v>
      </c>
      <c r="D123" s="17">
        <f t="shared" ca="1" si="67"/>
        <v>768722.64203500631</v>
      </c>
      <c r="E123" s="25">
        <f>VLOOKUP($A123,[1]!CurveTable,MATCH($E$4,[1]!CurveType,0))</f>
        <v>4.7125000000000004</v>
      </c>
      <c r="F123" s="31">
        <f>E123-Inputs!$B$16</f>
        <v>4.7675000000000001</v>
      </c>
      <c r="G123" s="43">
        <f t="shared" si="108"/>
        <v>4.7675000000000001</v>
      </c>
      <c r="H123" s="25">
        <f>VLOOKUP($A123,[1]!CurveTable,MATCH($H$4,[1]!CurveType,0))</f>
        <v>0.23</v>
      </c>
      <c r="I123" s="31">
        <f>H123+Inputs!$B$22</f>
        <v>0.23</v>
      </c>
      <c r="J123" s="44">
        <f t="shared" si="109"/>
        <v>0.23</v>
      </c>
      <c r="K123" s="25">
        <f>VLOOKUP($A123,[1]!CurveTable,MATCH($K$4,[1]!CurveType,0))</f>
        <v>0</v>
      </c>
      <c r="L123" s="31">
        <v>0</v>
      </c>
      <c r="M123" s="45">
        <f t="shared" si="110"/>
        <v>0</v>
      </c>
      <c r="N123" s="25">
        <f>VLOOKUP($A123,[1]!CurveTable,MATCH($N$4,[1]!CurveType,0))</f>
        <v>1.4E-2</v>
      </c>
      <c r="O123" s="31">
        <f>N123+Inputs!$E$22</f>
        <v>1.4E-2</v>
      </c>
      <c r="P123" s="45">
        <f t="shared" si="111"/>
        <v>1.4E-2</v>
      </c>
      <c r="Q123" s="25">
        <f>VLOOKUP($A123,[1]!CurveTable,MATCH($Q$4,[1]!CurveType,0))</f>
        <v>7.4999999999999997E-3</v>
      </c>
      <c r="R123" s="31">
        <v>0</v>
      </c>
      <c r="S123" s="45">
        <f t="shared" si="112"/>
        <v>0</v>
      </c>
      <c r="T123" s="4"/>
      <c r="U123" s="159">
        <f t="shared" si="77"/>
        <v>4.9975000000000005</v>
      </c>
      <c r="V123" s="160"/>
      <c r="W123" s="100">
        <f>VLOOKUP($A123,[1]!CurveTable,MATCH($W$4,[1]!CurveType,0))+$W$9</f>
        <v>0.17</v>
      </c>
      <c r="X123" s="100">
        <f>VLOOKUP($A123,[1]!CurveTable,MATCH($X$4,[1]!CurveType,0))+$X$9</f>
        <v>0.17500000000000002</v>
      </c>
      <c r="Y123" s="158">
        <f t="shared" ca="1" si="68"/>
        <v>0.17592510908199596</v>
      </c>
      <c r="Z123" s="4"/>
      <c r="AA123" s="159">
        <f t="shared" si="78"/>
        <v>4.7815000000000003</v>
      </c>
      <c r="AB123" s="160"/>
      <c r="AC123" s="100">
        <f>VLOOKUP($A123,[1]!CurveTable,MATCH($AC$4,[1]!CurveType,0))+$AC$9</f>
        <v>0.17</v>
      </c>
      <c r="AD123" s="100">
        <f>VLOOKUP($A123,[1]!CurveTable,MATCH($AD$4,[1]!CurveType,0))+$AD$9</f>
        <v>0.17500000000000002</v>
      </c>
      <c r="AE123" s="158">
        <f t="shared" ca="1" si="69"/>
        <v>0.17592510908199596</v>
      </c>
      <c r="AF123" s="4"/>
      <c r="AG123" s="52">
        <f ca="1">((Inputs!$F$20*(X123*AD123)*(A123-$C$3))+(Inputs!$F$19*W123*AC123*(DAY(EOMONTH(A123,0))/2)))/(AN123*Y123*AE123)</f>
        <v>0.75</v>
      </c>
      <c r="AH123" s="4"/>
      <c r="AI123" s="18">
        <f>Inputs!$B$15</f>
        <v>0.06</v>
      </c>
      <c r="AJ123" s="46"/>
      <c r="AK123" s="18">
        <f t="shared" si="70"/>
        <v>0.15600000000000019</v>
      </c>
      <c r="AL123" s="46"/>
      <c r="AM123" s="62">
        <f t="shared" si="71"/>
        <v>41547</v>
      </c>
      <c r="AN123" s="63">
        <f t="shared" ca="1" si="72"/>
        <v>4354</v>
      </c>
      <c r="AO123" s="63">
        <f t="shared" si="99"/>
        <v>1</v>
      </c>
      <c r="AP123" s="19"/>
      <c r="AQ123" s="74">
        <f ca="1">_xll.SPRDOPT(U123,AA123,AI123,AX123,X123,AD123,AG123,AN123,AO123,0)</f>
        <v>0.46399755417388416</v>
      </c>
      <c r="AR123" s="47">
        <f t="shared" ca="1" si="79"/>
        <v>695996.33126082621</v>
      </c>
      <c r="AS123" s="135">
        <f t="shared" ca="1" si="80"/>
        <v>0.30799755417388397</v>
      </c>
      <c r="AU123" s="5">
        <f t="shared" si="100"/>
        <v>30</v>
      </c>
      <c r="AV123" s="148">
        <f t="shared" si="73"/>
        <v>41593</v>
      </c>
      <c r="AW123" s="41">
        <f t="shared" ca="1" si="74"/>
        <v>4400</v>
      </c>
      <c r="AX123" s="100">
        <f>VLOOKUP($A123,[1]!CurveTable,MATCH(AX$4,[1]!CurveType,0))</f>
        <v>5.6269297483162402E-2</v>
      </c>
      <c r="AY123" s="149">
        <f ca="1">1/(1+CHOOSE(F$3,(AX124+(Inputs!$B$14/10000))/2,(AX123+(Inputs!$B$14/10000))/2))^(2*AW123/365.25)</f>
        <v>0.5124817613566709</v>
      </c>
      <c r="AZ123" s="41">
        <f t="shared" si="101"/>
        <v>1</v>
      </c>
      <c r="BA123" s="72">
        <f t="shared" si="102"/>
        <v>30</v>
      </c>
      <c r="BC123" s="65">
        <f t="shared" ca="1" si="81"/>
        <v>3622605.4505899674</v>
      </c>
      <c r="BD123" s="65">
        <f t="shared" ca="1" si="82"/>
        <v>3664885.1959018926</v>
      </c>
      <c r="BE123" s="65">
        <f t="shared" ca="1" si="83"/>
        <v>3664885.1959018926</v>
      </c>
      <c r="BF123" s="65">
        <f t="shared" ca="1" si="84"/>
        <v>176806.20766805147</v>
      </c>
      <c r="BG123" s="65">
        <f t="shared" ca="1" si="85"/>
        <v>176806.20766805147</v>
      </c>
      <c r="BH123" s="65">
        <f t="shared" ca="1" si="86"/>
        <v>176806.20766805147</v>
      </c>
      <c r="BI123" s="65">
        <f t="shared" ca="1" si="87"/>
        <v>0</v>
      </c>
      <c r="BJ123" s="65">
        <f t="shared" ca="1" si="88"/>
        <v>0</v>
      </c>
      <c r="BK123" s="65">
        <f t="shared" ca="1" si="89"/>
        <v>0</v>
      </c>
      <c r="BL123" s="65">
        <f t="shared" ca="1" si="90"/>
        <v>10762.116988490088</v>
      </c>
      <c r="BM123" s="65">
        <f t="shared" ca="1" si="91"/>
        <v>10762.116988490088</v>
      </c>
      <c r="BN123" s="65">
        <f t="shared" ca="1" si="92"/>
        <v>10762.116988490088</v>
      </c>
      <c r="BO123" s="65">
        <f t="shared" ca="1" si="93"/>
        <v>5765.4198152625468</v>
      </c>
      <c r="BP123" s="65">
        <f t="shared" ca="1" si="94"/>
        <v>0</v>
      </c>
      <c r="BQ123" s="65">
        <f t="shared" ca="1" si="95"/>
        <v>0</v>
      </c>
      <c r="BR123" s="65">
        <f t="shared" ca="1" si="96"/>
        <v>3841691.4035699442</v>
      </c>
      <c r="BS123" s="65">
        <f t="shared" ca="1" si="97"/>
        <v>3675647.3128903829</v>
      </c>
      <c r="BT123" s="65">
        <f t="shared" ca="1" si="98"/>
        <v>46123.358522100374</v>
      </c>
      <c r="BU123" s="65">
        <f t="shared" ca="1" si="75"/>
        <v>119920.73215746113</v>
      </c>
    </row>
    <row r="124" spans="1:73">
      <c r="A124" s="42">
        <f t="shared" si="76"/>
        <v>41609</v>
      </c>
      <c r="B124" s="30">
        <f>Inputs!$B$8</f>
        <v>50000</v>
      </c>
      <c r="C124" s="17">
        <f t="shared" si="66"/>
        <v>1550000</v>
      </c>
      <c r="D124" s="17">
        <f t="shared" ca="1" si="67"/>
        <v>790209.10868676996</v>
      </c>
      <c r="E124" s="25">
        <f>VLOOKUP($A124,[1]!CurveTable,MATCH($E$4,[1]!CurveType,0))</f>
        <v>4.8645000000000005</v>
      </c>
      <c r="F124" s="31">
        <f>E124-Inputs!$B$16</f>
        <v>4.9195000000000002</v>
      </c>
      <c r="G124" s="43">
        <f t="shared" si="108"/>
        <v>4.9195000000000002</v>
      </c>
      <c r="H124" s="25">
        <f>VLOOKUP($A124,[1]!CurveTable,MATCH($H$4,[1]!CurveType,0))</f>
        <v>0.26</v>
      </c>
      <c r="I124" s="31">
        <f>H124+Inputs!$B$22</f>
        <v>0.26</v>
      </c>
      <c r="J124" s="44">
        <f t="shared" si="109"/>
        <v>0.26</v>
      </c>
      <c r="K124" s="25">
        <f>VLOOKUP($A124,[1]!CurveTable,MATCH($K$4,[1]!CurveType,0))</f>
        <v>0</v>
      </c>
      <c r="L124" s="31">
        <v>0</v>
      </c>
      <c r="M124" s="45">
        <f t="shared" si="110"/>
        <v>0</v>
      </c>
      <c r="N124" s="25">
        <f>VLOOKUP($A124,[1]!CurveTable,MATCH($N$4,[1]!CurveType,0))</f>
        <v>1.4E-2</v>
      </c>
      <c r="O124" s="31">
        <f>N124+Inputs!$E$22</f>
        <v>1.4E-2</v>
      </c>
      <c r="P124" s="45">
        <f t="shared" si="111"/>
        <v>1.4E-2</v>
      </c>
      <c r="Q124" s="25">
        <f>VLOOKUP($A124,[1]!CurveTable,MATCH($Q$4,[1]!CurveType,0))</f>
        <v>7.4999999999999997E-3</v>
      </c>
      <c r="R124" s="31">
        <v>0</v>
      </c>
      <c r="S124" s="45">
        <f t="shared" si="112"/>
        <v>0</v>
      </c>
      <c r="T124" s="4"/>
      <c r="U124" s="159">
        <f t="shared" si="77"/>
        <v>5.1795</v>
      </c>
      <c r="V124" s="160"/>
      <c r="W124" s="100">
        <f>VLOOKUP($A124,[1]!CurveTable,MATCH($W$4,[1]!CurveType,0))+$W$9</f>
        <v>0.17</v>
      </c>
      <c r="X124" s="100">
        <f>VLOOKUP($A124,[1]!CurveTable,MATCH($X$4,[1]!CurveType,0))+$X$9</f>
        <v>0.17500000000000002</v>
      </c>
      <c r="Y124" s="158">
        <f t="shared" ca="1" si="68"/>
        <v>0.17590810159070319</v>
      </c>
      <c r="Z124" s="4"/>
      <c r="AA124" s="159">
        <f t="shared" si="78"/>
        <v>4.9335000000000004</v>
      </c>
      <c r="AB124" s="160"/>
      <c r="AC124" s="100">
        <f>VLOOKUP($A124,[1]!CurveTable,MATCH($AC$4,[1]!CurveType,0))+$AC$9</f>
        <v>0.17</v>
      </c>
      <c r="AD124" s="100">
        <f>VLOOKUP($A124,[1]!CurveTable,MATCH($AD$4,[1]!CurveType,0))+$AD$9</f>
        <v>0.17500000000000002</v>
      </c>
      <c r="AE124" s="158">
        <f t="shared" ca="1" si="69"/>
        <v>0.17590810159070319</v>
      </c>
      <c r="AF124" s="4"/>
      <c r="AG124" s="52">
        <f ca="1">((Inputs!$F$20*(X124*AD124)*(A124-$C$3))+(Inputs!$F$19*W124*AC124*(DAY(EOMONTH(A124,0))/2)))/(AN124*Y124*AE124)</f>
        <v>0.75</v>
      </c>
      <c r="AH124" s="4"/>
      <c r="AI124" s="18">
        <f>Inputs!$B$15</f>
        <v>0.06</v>
      </c>
      <c r="AJ124" s="46"/>
      <c r="AK124" s="18">
        <f t="shared" si="70"/>
        <v>0.18599999999999955</v>
      </c>
      <c r="AL124" s="46"/>
      <c r="AM124" s="62">
        <f t="shared" si="71"/>
        <v>41578</v>
      </c>
      <c r="AN124" s="63">
        <f t="shared" ca="1" si="72"/>
        <v>4385</v>
      </c>
      <c r="AO124" s="63">
        <f t="shared" si="99"/>
        <v>1</v>
      </c>
      <c r="AP124" s="19"/>
      <c r="AQ124" s="74">
        <f ca="1">_xll.SPRDOPT(U124,AA124,AI124,AX124,X124,AD124,AG124,AN124,AO124,0)</f>
        <v>0.48541210514767758</v>
      </c>
      <c r="AR124" s="47">
        <f t="shared" ca="1" si="79"/>
        <v>752388.76297890022</v>
      </c>
      <c r="AS124" s="135">
        <f t="shared" ca="1" si="80"/>
        <v>0.29941210514767802</v>
      </c>
      <c r="AU124" s="5">
        <f t="shared" si="100"/>
        <v>31</v>
      </c>
      <c r="AV124" s="148">
        <f t="shared" si="73"/>
        <v>41623</v>
      </c>
      <c r="AW124" s="41">
        <f t="shared" ca="1" si="74"/>
        <v>4430</v>
      </c>
      <c r="AX124" s="100">
        <f>VLOOKUP($A124,[1]!CurveTable,MATCH(AX$4,[1]!CurveType,0))</f>
        <v>5.6325632379025298E-2</v>
      </c>
      <c r="AY124" s="149">
        <f ca="1">1/(1+CHOOSE(F$3,(AX125+(Inputs!$B$14/10000))/2,(AX124+(Inputs!$B$14/10000))/2))^(2*AW124/365.25)</f>
        <v>0.50981232818501288</v>
      </c>
      <c r="AZ124" s="41">
        <f t="shared" si="101"/>
        <v>1</v>
      </c>
      <c r="BA124" s="72">
        <f t="shared" si="102"/>
        <v>31</v>
      </c>
      <c r="BC124" s="65">
        <f t="shared" ca="1" si="81"/>
        <v>3843972.209206793</v>
      </c>
      <c r="BD124" s="65">
        <f t="shared" ca="1" si="82"/>
        <v>3887433.7101845648</v>
      </c>
      <c r="BE124" s="65">
        <f t="shared" ca="1" si="83"/>
        <v>3887433.7101845648</v>
      </c>
      <c r="BF124" s="65">
        <f t="shared" ca="1" si="84"/>
        <v>205454.36825856019</v>
      </c>
      <c r="BG124" s="65">
        <f t="shared" ca="1" si="85"/>
        <v>205454.36825856019</v>
      </c>
      <c r="BH124" s="65">
        <f t="shared" ca="1" si="86"/>
        <v>205454.36825856019</v>
      </c>
      <c r="BI124" s="65">
        <f t="shared" ca="1" si="87"/>
        <v>0</v>
      </c>
      <c r="BJ124" s="65">
        <f t="shared" ca="1" si="88"/>
        <v>0</v>
      </c>
      <c r="BK124" s="65">
        <f t="shared" ca="1" si="89"/>
        <v>0</v>
      </c>
      <c r="BL124" s="65">
        <f t="shared" ca="1" si="90"/>
        <v>11062.92752161478</v>
      </c>
      <c r="BM124" s="65">
        <f t="shared" ca="1" si="91"/>
        <v>11062.92752161478</v>
      </c>
      <c r="BN124" s="65">
        <f t="shared" ca="1" si="92"/>
        <v>11062.92752161478</v>
      </c>
      <c r="BO124" s="65">
        <f t="shared" ca="1" si="93"/>
        <v>5926.5683151507747</v>
      </c>
      <c r="BP124" s="65">
        <f t="shared" ca="1" si="94"/>
        <v>0</v>
      </c>
      <c r="BQ124" s="65">
        <f t="shared" ca="1" si="95"/>
        <v>0</v>
      </c>
      <c r="BR124" s="65">
        <f t="shared" ca="1" si="96"/>
        <v>4092888.0784431249</v>
      </c>
      <c r="BS124" s="65">
        <f t="shared" ca="1" si="97"/>
        <v>3898496.6377061801</v>
      </c>
      <c r="BT124" s="65">
        <f t="shared" ca="1" si="98"/>
        <v>47412.546521206197</v>
      </c>
      <c r="BU124" s="65">
        <f t="shared" ca="1" si="75"/>
        <v>146978.89421573887</v>
      </c>
    </row>
    <row r="125" spans="1:73">
      <c r="A125" s="42">
        <f t="shared" si="76"/>
        <v>41640</v>
      </c>
      <c r="B125" s="30">
        <f>Inputs!$B$8</f>
        <v>50000</v>
      </c>
      <c r="C125" s="17">
        <f t="shared" si="66"/>
        <v>1550000</v>
      </c>
      <c r="D125" s="17">
        <f t="shared" ca="1" si="67"/>
        <v>785948.79027759808</v>
      </c>
      <c r="E125" s="25">
        <f>VLOOKUP($A125,[1]!CurveTable,MATCH($E$4,[1]!CurveType,0))</f>
        <v>4.9420000000000002</v>
      </c>
      <c r="F125" s="31">
        <f>E125-Inputs!$B$16</f>
        <v>4.9969999999999999</v>
      </c>
      <c r="G125" s="43">
        <f t="shared" si="108"/>
        <v>4.9969999999999999</v>
      </c>
      <c r="H125" s="25">
        <f>VLOOKUP($A125,[1]!CurveTable,MATCH($H$4,[1]!CurveType,0))</f>
        <v>8.5000000000000006E-2</v>
      </c>
      <c r="I125" s="31">
        <f>H125+Inputs!$B$22</f>
        <v>8.5000000000000006E-2</v>
      </c>
      <c r="J125" s="44">
        <f t="shared" si="109"/>
        <v>8.5000000000000006E-2</v>
      </c>
      <c r="K125" s="25">
        <f>VLOOKUP($A125,[1]!CurveTable,MATCH($K$4,[1]!CurveType,0))</f>
        <v>0</v>
      </c>
      <c r="L125" s="31">
        <v>0</v>
      </c>
      <c r="M125" s="45">
        <f t="shared" si="110"/>
        <v>0</v>
      </c>
      <c r="N125" s="25">
        <f>VLOOKUP($A125,[1]!CurveTable,MATCH($N$4,[1]!CurveType,0))</f>
        <v>1.4E-2</v>
      </c>
      <c r="O125" s="31">
        <f>N125+Inputs!$E$22</f>
        <v>1.4E-2</v>
      </c>
      <c r="P125" s="45">
        <f t="shared" si="111"/>
        <v>1.4E-2</v>
      </c>
      <c r="Q125" s="25">
        <f>VLOOKUP($A125,[1]!CurveTable,MATCH($Q$4,[1]!CurveType,0))</f>
        <v>7.4999999999999997E-3</v>
      </c>
      <c r="R125" s="31">
        <v>0</v>
      </c>
      <c r="S125" s="45">
        <f t="shared" si="112"/>
        <v>0</v>
      </c>
      <c r="T125" s="4"/>
      <c r="U125" s="159">
        <f t="shared" si="77"/>
        <v>5.0819999999999999</v>
      </c>
      <c r="V125" s="160"/>
      <c r="W125" s="100">
        <f>VLOOKUP($A125,[1]!CurveTable,MATCH($W$4,[1]!CurveType,0))+$W$9</f>
        <v>0.17</v>
      </c>
      <c r="X125" s="100">
        <f>VLOOKUP($A125,[1]!CurveTable,MATCH($X$4,[1]!CurveType,0))+$X$9</f>
        <v>0.17500000000000002</v>
      </c>
      <c r="Y125" s="158">
        <f t="shared" ca="1" si="68"/>
        <v>0.17592166291727326</v>
      </c>
      <c r="Z125" s="4"/>
      <c r="AA125" s="159">
        <f t="shared" si="78"/>
        <v>5.0110000000000001</v>
      </c>
      <c r="AB125" s="160"/>
      <c r="AC125" s="100">
        <f>VLOOKUP($A125,[1]!CurveTable,MATCH($AC$4,[1]!CurveType,0))+$AC$9</f>
        <v>0.17</v>
      </c>
      <c r="AD125" s="100">
        <f>VLOOKUP($A125,[1]!CurveTable,MATCH($AD$4,[1]!CurveType,0))+$AD$9</f>
        <v>0.17500000000000002</v>
      </c>
      <c r="AE125" s="158">
        <f t="shared" ca="1" si="69"/>
        <v>0.17592166291727326</v>
      </c>
      <c r="AF125" s="4"/>
      <c r="AG125" s="52">
        <f ca="1">((Inputs!$F$20*(X125*AD125)*(A125-$C$3))+(Inputs!$F$19*W125*AC125*(DAY(EOMONTH(A125,0))/2)))/(AN125*Y125*AE125)</f>
        <v>0.74999999999999978</v>
      </c>
      <c r="AH125" s="4"/>
      <c r="AI125" s="18">
        <f>Inputs!$B$15</f>
        <v>0.06</v>
      </c>
      <c r="AJ125" s="46"/>
      <c r="AK125" s="18">
        <f t="shared" si="70"/>
        <v>1.0999999999999732E-2</v>
      </c>
      <c r="AL125" s="46"/>
      <c r="AM125" s="62">
        <f t="shared" si="71"/>
        <v>41608</v>
      </c>
      <c r="AN125" s="63">
        <f t="shared" ca="1" si="72"/>
        <v>4415</v>
      </c>
      <c r="AO125" s="63">
        <f t="shared" si="99"/>
        <v>1</v>
      </c>
      <c r="AP125" s="19"/>
      <c r="AQ125" s="74">
        <f ca="1">_xll.SPRDOPT(U125,AA125,AI125,AX125,X125,AD125,AG125,AN125,AO125,0)</f>
        <v>0.43762519357583646</v>
      </c>
      <c r="AR125" s="47">
        <f t="shared" ca="1" si="79"/>
        <v>678319.05004254647</v>
      </c>
      <c r="AS125" s="135">
        <f t="shared" ca="1" si="80"/>
        <v>0.42662519357583673</v>
      </c>
      <c r="AU125" s="5">
        <f t="shared" si="100"/>
        <v>31</v>
      </c>
      <c r="AV125" s="148">
        <f t="shared" si="73"/>
        <v>41654</v>
      </c>
      <c r="AW125" s="41">
        <f t="shared" ca="1" si="74"/>
        <v>4461</v>
      </c>
      <c r="AX125" s="100">
        <f>VLOOKUP($A125,[1]!CurveTable,MATCH(AX$4,[1]!CurveType,0))</f>
        <v>5.6383845105859802E-2</v>
      </c>
      <c r="AY125" s="149">
        <f ca="1">1/(1+CHOOSE(F$3,(AX126+(Inputs!$B$14/10000))/2,(AX125+(Inputs!$B$14/10000))/2))^(2*AW125/365.25)</f>
        <v>0.50706373566296647</v>
      </c>
      <c r="AZ125" s="41">
        <f t="shared" si="101"/>
        <v>1</v>
      </c>
      <c r="BA125" s="72">
        <f t="shared" si="102"/>
        <v>31</v>
      </c>
      <c r="BC125" s="65">
        <f t="shared" ca="1" si="81"/>
        <v>3884158.9215518897</v>
      </c>
      <c r="BD125" s="65">
        <f t="shared" ca="1" si="82"/>
        <v>3927386.1050171573</v>
      </c>
      <c r="BE125" s="65">
        <f t="shared" ca="1" si="83"/>
        <v>3927386.1050171573</v>
      </c>
      <c r="BF125" s="65">
        <f t="shared" ca="1" si="84"/>
        <v>66805.647173595848</v>
      </c>
      <c r="BG125" s="65">
        <f t="shared" ca="1" si="85"/>
        <v>66805.647173595848</v>
      </c>
      <c r="BH125" s="65">
        <f t="shared" ca="1" si="86"/>
        <v>66805.647173595848</v>
      </c>
      <c r="BI125" s="65">
        <f t="shared" ca="1" si="87"/>
        <v>0</v>
      </c>
      <c r="BJ125" s="65">
        <f t="shared" ca="1" si="88"/>
        <v>0</v>
      </c>
      <c r="BK125" s="65">
        <f t="shared" ca="1" si="89"/>
        <v>0</v>
      </c>
      <c r="BL125" s="65">
        <f t="shared" ca="1" si="90"/>
        <v>11003.283063886372</v>
      </c>
      <c r="BM125" s="65">
        <f t="shared" ca="1" si="91"/>
        <v>11003.283063886372</v>
      </c>
      <c r="BN125" s="65">
        <f t="shared" ca="1" si="92"/>
        <v>11003.283063886372</v>
      </c>
      <c r="BO125" s="65">
        <f t="shared" ca="1" si="93"/>
        <v>5894.6159270819853</v>
      </c>
      <c r="BP125" s="65">
        <f t="shared" ca="1" si="94"/>
        <v>0</v>
      </c>
      <c r="BQ125" s="65">
        <f t="shared" ca="1" si="95"/>
        <v>0</v>
      </c>
      <c r="BR125" s="65">
        <f t="shared" ca="1" si="96"/>
        <v>3994191.7521907534</v>
      </c>
      <c r="BS125" s="65">
        <f t="shared" ca="1" si="97"/>
        <v>3938389.388081044</v>
      </c>
      <c r="BT125" s="65">
        <f t="shared" ca="1" si="98"/>
        <v>47156.927416655883</v>
      </c>
      <c r="BU125" s="65">
        <f t="shared" ca="1" si="75"/>
        <v>8645.4366930533688</v>
      </c>
    </row>
    <row r="126" spans="1:73">
      <c r="A126" s="42">
        <f t="shared" si="76"/>
        <v>41671</v>
      </c>
      <c r="B126" s="30">
        <f>Inputs!$B$8</f>
        <v>50000</v>
      </c>
      <c r="C126" s="17">
        <f t="shared" si="66"/>
        <v>1400000</v>
      </c>
      <c r="D126" s="17">
        <f t="shared" ca="1" si="67"/>
        <v>706055.17483837553</v>
      </c>
      <c r="E126" s="25">
        <f>VLOOKUP($A126,[1]!CurveTable,MATCH($E$4,[1]!CurveType,0))</f>
        <v>4.8550000000000004</v>
      </c>
      <c r="F126" s="31">
        <f>E126-Inputs!$B$16</f>
        <v>4.91</v>
      </c>
      <c r="G126" s="43">
        <f t="shared" si="108"/>
        <v>4.91</v>
      </c>
      <c r="H126" s="25">
        <f>VLOOKUP($A126,[1]!CurveTable,MATCH($H$4,[1]!CurveType,0))</f>
        <v>7.4999999999999997E-2</v>
      </c>
      <c r="I126" s="31">
        <f>H126+Inputs!$B$22</f>
        <v>7.4999999999999997E-2</v>
      </c>
      <c r="J126" s="44">
        <f t="shared" si="109"/>
        <v>7.4999999999999997E-2</v>
      </c>
      <c r="K126" s="25">
        <f>VLOOKUP($A126,[1]!CurveTable,MATCH($K$4,[1]!CurveType,0))</f>
        <v>0</v>
      </c>
      <c r="L126" s="31">
        <v>0</v>
      </c>
      <c r="M126" s="45">
        <f t="shared" si="110"/>
        <v>0</v>
      </c>
      <c r="N126" s="25">
        <f>VLOOKUP($A126,[1]!CurveTable,MATCH($N$4,[1]!CurveType,0))</f>
        <v>1.4E-2</v>
      </c>
      <c r="O126" s="31">
        <f>N126+Inputs!$E$22</f>
        <v>1.4E-2</v>
      </c>
      <c r="P126" s="45">
        <f t="shared" si="111"/>
        <v>1.4E-2</v>
      </c>
      <c r="Q126" s="25">
        <f>VLOOKUP($A126,[1]!CurveTable,MATCH($Q$4,[1]!CurveType,0))</f>
        <v>7.4999999999999997E-3</v>
      </c>
      <c r="R126" s="31">
        <v>0</v>
      </c>
      <c r="S126" s="45">
        <f t="shared" si="112"/>
        <v>0</v>
      </c>
      <c r="T126" s="4"/>
      <c r="U126" s="159">
        <f t="shared" si="77"/>
        <v>4.9850000000000003</v>
      </c>
      <c r="V126" s="160"/>
      <c r="W126" s="100">
        <f>VLOOKUP($A126,[1]!CurveTable,MATCH($W$4,[1]!CurveType,0))+$W$9</f>
        <v>0.17</v>
      </c>
      <c r="X126" s="100">
        <f>VLOOKUP($A126,[1]!CurveTable,MATCH($X$4,[1]!CurveType,0))+$X$9</f>
        <v>0.17500000000000002</v>
      </c>
      <c r="Y126" s="158">
        <f t="shared" ca="1" si="68"/>
        <v>0.17588753793518086</v>
      </c>
      <c r="Z126" s="4"/>
      <c r="AA126" s="159">
        <f t="shared" si="78"/>
        <v>4.9240000000000004</v>
      </c>
      <c r="AB126" s="160"/>
      <c r="AC126" s="100">
        <f>VLOOKUP($A126,[1]!CurveTable,MATCH($AC$4,[1]!CurveType,0))+$AC$9</f>
        <v>0.17</v>
      </c>
      <c r="AD126" s="100">
        <f>VLOOKUP($A126,[1]!CurveTable,MATCH($AD$4,[1]!CurveType,0))+$AD$9</f>
        <v>0.17500000000000002</v>
      </c>
      <c r="AE126" s="158">
        <f t="shared" ca="1" si="69"/>
        <v>0.17588753793518086</v>
      </c>
      <c r="AF126" s="4"/>
      <c r="AG126" s="52">
        <f ca="1">((Inputs!$F$20*(X126*AD126)*(A126-$C$3))+(Inputs!$F$19*W126*AC126*(DAY(EOMONTH(A126,0))/2)))/(AN126*Y126*AE126)</f>
        <v>0.75</v>
      </c>
      <c r="AH126" s="4"/>
      <c r="AI126" s="18">
        <f>Inputs!$B$15</f>
        <v>0.06</v>
      </c>
      <c r="AJ126" s="46"/>
      <c r="AK126" s="18">
        <f t="shared" si="70"/>
        <v>9.9999999999994538E-4</v>
      </c>
      <c r="AL126" s="46"/>
      <c r="AM126" s="62">
        <f t="shared" si="71"/>
        <v>41639</v>
      </c>
      <c r="AN126" s="63">
        <f t="shared" ca="1" si="72"/>
        <v>4446</v>
      </c>
      <c r="AO126" s="63">
        <f t="shared" si="99"/>
        <v>1</v>
      </c>
      <c r="AP126" s="19"/>
      <c r="AQ126" s="74">
        <f ca="1">_xll.SPRDOPT(U126,AA126,AI126,AX126,X126,AD126,AG126,AN126,AO126,0)</f>
        <v>0.42629162566539602</v>
      </c>
      <c r="AR126" s="47">
        <f t="shared" ca="1" si="79"/>
        <v>596808.27593155438</v>
      </c>
      <c r="AS126" s="135">
        <f t="shared" ca="1" si="80"/>
        <v>0.42529162566539608</v>
      </c>
      <c r="AU126" s="5">
        <f t="shared" si="100"/>
        <v>28</v>
      </c>
      <c r="AV126" s="148">
        <f t="shared" si="73"/>
        <v>41685</v>
      </c>
      <c r="AW126" s="41">
        <f t="shared" ca="1" si="74"/>
        <v>4492</v>
      </c>
      <c r="AX126" s="100">
        <f>VLOOKUP($A126,[1]!CurveTable,MATCH(AX$4,[1]!CurveType,0))</f>
        <v>5.64420578338218E-2</v>
      </c>
      <c r="AY126" s="149">
        <f ca="1">1/(1+CHOOSE(F$3,(AX127+(Inputs!$B$14/10000))/2,(AX126+(Inputs!$B$14/10000))/2))^(2*AW126/365.25)</f>
        <v>0.50432512488455394</v>
      </c>
      <c r="AZ126" s="41">
        <f t="shared" si="101"/>
        <v>1</v>
      </c>
      <c r="BA126" s="72">
        <f t="shared" si="102"/>
        <v>28</v>
      </c>
      <c r="BC126" s="65">
        <f t="shared" ca="1" si="81"/>
        <v>3427897.8738403134</v>
      </c>
      <c r="BD126" s="65">
        <f t="shared" ca="1" si="82"/>
        <v>3466730.9084564238</v>
      </c>
      <c r="BE126" s="65">
        <f t="shared" ca="1" si="83"/>
        <v>3466730.9084564238</v>
      </c>
      <c r="BF126" s="65">
        <f t="shared" ca="1" si="84"/>
        <v>52954.138112878165</v>
      </c>
      <c r="BG126" s="65">
        <f t="shared" ca="1" si="85"/>
        <v>52954.138112878165</v>
      </c>
      <c r="BH126" s="65">
        <f t="shared" ca="1" si="86"/>
        <v>52954.138112878165</v>
      </c>
      <c r="BI126" s="65">
        <f t="shared" ca="1" si="87"/>
        <v>0</v>
      </c>
      <c r="BJ126" s="65">
        <f t="shared" ca="1" si="88"/>
        <v>0</v>
      </c>
      <c r="BK126" s="65">
        <f t="shared" ca="1" si="89"/>
        <v>0</v>
      </c>
      <c r="BL126" s="65">
        <f t="shared" ca="1" si="90"/>
        <v>9884.7724477372576</v>
      </c>
      <c r="BM126" s="65">
        <f t="shared" ca="1" si="91"/>
        <v>9884.7724477372576</v>
      </c>
      <c r="BN126" s="65">
        <f t="shared" ca="1" si="92"/>
        <v>9884.7724477372576</v>
      </c>
      <c r="BO126" s="65">
        <f t="shared" ca="1" si="93"/>
        <v>5295.4138112878163</v>
      </c>
      <c r="BP126" s="65">
        <f t="shared" ca="1" si="94"/>
        <v>0</v>
      </c>
      <c r="BQ126" s="65">
        <f t="shared" ca="1" si="95"/>
        <v>0</v>
      </c>
      <c r="BR126" s="65">
        <f t="shared" ca="1" si="96"/>
        <v>3519685.0465693022</v>
      </c>
      <c r="BS126" s="65">
        <f t="shared" ca="1" si="97"/>
        <v>3476615.6809041612</v>
      </c>
      <c r="BT126" s="65">
        <f t="shared" ca="1" si="98"/>
        <v>42363.310490302531</v>
      </c>
      <c r="BU126" s="65">
        <f t="shared" ca="1" si="75"/>
        <v>706.05517483833694</v>
      </c>
    </row>
    <row r="127" spans="1:73">
      <c r="A127" s="42">
        <f t="shared" si="76"/>
        <v>41699</v>
      </c>
      <c r="B127" s="30">
        <f>Inputs!$B$8</f>
        <v>50000</v>
      </c>
      <c r="C127" s="17">
        <f t="shared" si="66"/>
        <v>1550000</v>
      </c>
      <c r="D127" s="17">
        <f t="shared" ca="1" si="67"/>
        <v>777883.1850504165</v>
      </c>
      <c r="E127" s="25">
        <f>VLOOKUP($A127,[1]!CurveTable,MATCH($E$4,[1]!CurveType,0))</f>
        <v>4.7160000000000002</v>
      </c>
      <c r="F127" s="31">
        <f>E127-Inputs!$B$16</f>
        <v>4.7709999999999999</v>
      </c>
      <c r="G127" s="43">
        <f t="shared" si="108"/>
        <v>4.7709999999999999</v>
      </c>
      <c r="H127" s="25">
        <f>VLOOKUP($A127,[1]!CurveTable,MATCH($H$4,[1]!CurveType,0))</f>
        <v>0.115</v>
      </c>
      <c r="I127" s="31">
        <f>H127+Inputs!$B$22</f>
        <v>0.115</v>
      </c>
      <c r="J127" s="44">
        <f t="shared" si="109"/>
        <v>0.115</v>
      </c>
      <c r="K127" s="25">
        <f>VLOOKUP($A127,[1]!CurveTable,MATCH($K$4,[1]!CurveType,0))</f>
        <v>0</v>
      </c>
      <c r="L127" s="31">
        <v>0</v>
      </c>
      <c r="M127" s="45">
        <f t="shared" si="110"/>
        <v>0</v>
      </c>
      <c r="N127" s="25">
        <f>VLOOKUP($A127,[1]!CurveTable,MATCH($N$4,[1]!CurveType,0))</f>
        <v>1.8000000000000002E-2</v>
      </c>
      <c r="O127" s="31">
        <f>N127+Inputs!$E$22</f>
        <v>1.8000000000000002E-2</v>
      </c>
      <c r="P127" s="45">
        <f t="shared" si="111"/>
        <v>1.8000000000000002E-2</v>
      </c>
      <c r="Q127" s="25">
        <f>VLOOKUP($A127,[1]!CurveTable,MATCH($Q$4,[1]!CurveType,0))</f>
        <v>7.4999999999999997E-3</v>
      </c>
      <c r="R127" s="31">
        <v>0</v>
      </c>
      <c r="S127" s="45">
        <f t="shared" si="112"/>
        <v>0</v>
      </c>
      <c r="T127" s="4"/>
      <c r="U127" s="159">
        <f t="shared" si="77"/>
        <v>4.8860000000000001</v>
      </c>
      <c r="V127" s="160"/>
      <c r="W127" s="100">
        <f>VLOOKUP($A127,[1]!CurveTable,MATCH($W$4,[1]!CurveType,0))+$W$9</f>
        <v>0.17</v>
      </c>
      <c r="X127" s="100">
        <f>VLOOKUP($A127,[1]!CurveTable,MATCH($X$4,[1]!CurveType,0))+$X$9</f>
        <v>0.17500000000000002</v>
      </c>
      <c r="Y127" s="158">
        <f t="shared" ca="1" si="68"/>
        <v>0.17585059246100201</v>
      </c>
      <c r="Z127" s="4"/>
      <c r="AA127" s="159">
        <f t="shared" si="78"/>
        <v>4.7889999999999997</v>
      </c>
      <c r="AB127" s="160"/>
      <c r="AC127" s="100">
        <f>VLOOKUP($A127,[1]!CurveTable,MATCH($AC$4,[1]!CurveType,0))+$AC$9</f>
        <v>0.17</v>
      </c>
      <c r="AD127" s="100">
        <f>VLOOKUP($A127,[1]!CurveTable,MATCH($AD$4,[1]!CurveType,0))+$AD$9</f>
        <v>0.17500000000000002</v>
      </c>
      <c r="AE127" s="158">
        <f t="shared" ca="1" si="69"/>
        <v>0.17585059246100201</v>
      </c>
      <c r="AF127" s="4"/>
      <c r="AG127" s="52">
        <f ca="1">((Inputs!$F$20*(X127*AD127)*(A127-$C$3))+(Inputs!$F$19*W127*AC127*(DAY(EOMONTH(A127,0))/2)))/(AN127*Y127*AE127)</f>
        <v>0.74999999999999989</v>
      </c>
      <c r="AH127" s="4"/>
      <c r="AI127" s="18">
        <f>Inputs!$B$15</f>
        <v>0.06</v>
      </c>
      <c r="AJ127" s="46"/>
      <c r="AK127" s="18">
        <f t="shared" si="70"/>
        <v>3.7000000000000421E-2</v>
      </c>
      <c r="AL127" s="46"/>
      <c r="AM127" s="62">
        <f t="shared" si="71"/>
        <v>41670</v>
      </c>
      <c r="AN127" s="63">
        <f t="shared" ca="1" si="72"/>
        <v>4477</v>
      </c>
      <c r="AO127" s="63">
        <f t="shared" si="99"/>
        <v>1</v>
      </c>
      <c r="AP127" s="19"/>
      <c r="AQ127" s="74">
        <f ca="1">_xll.SPRDOPT(U127,AA127,AI127,AX127,X127,AD127,AG127,AN127,AO127,0)</f>
        <v>0.42446040288896175</v>
      </c>
      <c r="AR127" s="47">
        <f t="shared" ca="1" si="79"/>
        <v>657913.62447789067</v>
      </c>
      <c r="AS127" s="135">
        <f t="shared" ca="1" si="80"/>
        <v>0.38746040288896133</v>
      </c>
      <c r="AU127" s="5">
        <f t="shared" si="100"/>
        <v>31</v>
      </c>
      <c r="AV127" s="148">
        <f t="shared" si="73"/>
        <v>41713</v>
      </c>
      <c r="AW127" s="41">
        <f t="shared" ca="1" si="74"/>
        <v>4520</v>
      </c>
      <c r="AX127" s="100">
        <f>VLOOKUP($A127,[1]!CurveTable,MATCH(AX$4,[1]!CurveType,0))</f>
        <v>5.6494637072951104E-2</v>
      </c>
      <c r="AY127" s="149">
        <f ca="1">1/(1+CHOOSE(F$3,(AX128+(Inputs!$B$14/10000))/2,(AX127+(Inputs!$B$14/10000))/2))^(2*AW127/365.25)</f>
        <v>0.50186011938736552</v>
      </c>
      <c r="AZ127" s="41">
        <f t="shared" si="101"/>
        <v>1</v>
      </c>
      <c r="BA127" s="72">
        <f t="shared" si="102"/>
        <v>31</v>
      </c>
      <c r="BC127" s="65">
        <f t="shared" ca="1" si="81"/>
        <v>3668497.1006977642</v>
      </c>
      <c r="BD127" s="65">
        <f t="shared" ca="1" si="82"/>
        <v>3711280.6758755371</v>
      </c>
      <c r="BE127" s="65">
        <f t="shared" ca="1" si="83"/>
        <v>3711280.6758755371</v>
      </c>
      <c r="BF127" s="65">
        <f t="shared" ca="1" si="84"/>
        <v>89456.566280797895</v>
      </c>
      <c r="BG127" s="65">
        <f t="shared" ca="1" si="85"/>
        <v>89456.566280797895</v>
      </c>
      <c r="BH127" s="65">
        <f t="shared" ca="1" si="86"/>
        <v>89456.566280797895</v>
      </c>
      <c r="BI127" s="65">
        <f t="shared" ca="1" si="87"/>
        <v>0</v>
      </c>
      <c r="BJ127" s="65">
        <f t="shared" ca="1" si="88"/>
        <v>0</v>
      </c>
      <c r="BK127" s="65">
        <f t="shared" ca="1" si="89"/>
        <v>0</v>
      </c>
      <c r="BL127" s="65">
        <f t="shared" ca="1" si="90"/>
        <v>14001.897330907499</v>
      </c>
      <c r="BM127" s="65">
        <f t="shared" ca="1" si="91"/>
        <v>14001.897330907499</v>
      </c>
      <c r="BN127" s="65">
        <f t="shared" ca="1" si="92"/>
        <v>14001.897330907499</v>
      </c>
      <c r="BO127" s="65">
        <f t="shared" ca="1" si="93"/>
        <v>5834.1238878781232</v>
      </c>
      <c r="BP127" s="65">
        <f t="shared" ca="1" si="94"/>
        <v>0</v>
      </c>
      <c r="BQ127" s="65">
        <f t="shared" ca="1" si="95"/>
        <v>0</v>
      </c>
      <c r="BR127" s="65">
        <f t="shared" ca="1" si="96"/>
        <v>3800737.2421563352</v>
      </c>
      <c r="BS127" s="65">
        <f t="shared" ca="1" si="97"/>
        <v>3725282.5732064443</v>
      </c>
      <c r="BT127" s="65">
        <f t="shared" ca="1" si="98"/>
        <v>46672.991103024986</v>
      </c>
      <c r="BU127" s="65">
        <f t="shared" ca="1" si="75"/>
        <v>28781.677846865739</v>
      </c>
    </row>
    <row r="128" spans="1:73">
      <c r="A128" s="42">
        <f t="shared" si="76"/>
        <v>41730</v>
      </c>
      <c r="B128" s="30">
        <f>Inputs!$B$8</f>
        <v>50000</v>
      </c>
      <c r="C128" s="17">
        <f t="shared" si="66"/>
        <v>1500000</v>
      </c>
      <c r="D128" s="17">
        <f t="shared" ca="1" si="67"/>
        <v>748710.75337059877</v>
      </c>
      <c r="E128" s="25">
        <f>VLOOKUP($A128,[1]!CurveTable,MATCH($E$4,[1]!CurveType,0))</f>
        <v>4.5620000000000003</v>
      </c>
      <c r="F128" s="31">
        <f>E128-Inputs!$B$16</f>
        <v>4.617</v>
      </c>
      <c r="G128" s="43">
        <f t="shared" si="108"/>
        <v>4.617</v>
      </c>
      <c r="H128" s="25">
        <f>VLOOKUP($A128,[1]!CurveTable,MATCH($H$4,[1]!CurveType,0))</f>
        <v>0.55000000000000004</v>
      </c>
      <c r="I128" s="31">
        <f>H128+Inputs!$B$22</f>
        <v>0.55000000000000004</v>
      </c>
      <c r="J128" s="44">
        <f t="shared" si="109"/>
        <v>0.55000000000000004</v>
      </c>
      <c r="K128" s="25">
        <f>VLOOKUP($A128,[1]!CurveTable,MATCH($K$4,[1]!CurveType,0))</f>
        <v>0</v>
      </c>
      <c r="L128" s="31">
        <v>0</v>
      </c>
      <c r="M128" s="45">
        <f t="shared" si="110"/>
        <v>0</v>
      </c>
      <c r="N128" s="25">
        <f>VLOOKUP($A128,[1]!CurveTable,MATCH($N$4,[1]!CurveType,0))</f>
        <v>1.8000000000000002E-2</v>
      </c>
      <c r="O128" s="31">
        <f>N128+Inputs!$E$22</f>
        <v>1.8000000000000002E-2</v>
      </c>
      <c r="P128" s="45">
        <f t="shared" si="111"/>
        <v>1.8000000000000002E-2</v>
      </c>
      <c r="Q128" s="25">
        <f>VLOOKUP($A128,[1]!CurveTable,MATCH($Q$4,[1]!CurveType,0))</f>
        <v>0.01</v>
      </c>
      <c r="R128" s="31">
        <v>0</v>
      </c>
      <c r="S128" s="45">
        <f t="shared" si="112"/>
        <v>0</v>
      </c>
      <c r="T128" s="4"/>
      <c r="U128" s="159">
        <f t="shared" si="77"/>
        <v>5.1669999999999998</v>
      </c>
      <c r="V128" s="160"/>
      <c r="W128" s="100">
        <f>VLOOKUP($A128,[1]!CurveTable,MATCH($W$4,[1]!CurveType,0))+$W$9</f>
        <v>0.17</v>
      </c>
      <c r="X128" s="100">
        <f>VLOOKUP($A128,[1]!CurveTable,MATCH($X$4,[1]!CurveType,0))+$X$9</f>
        <v>0.17500000000000002</v>
      </c>
      <c r="Y128" s="158">
        <f t="shared" ca="1" si="68"/>
        <v>0.1758941797960539</v>
      </c>
      <c r="Z128" s="4"/>
      <c r="AA128" s="159">
        <f t="shared" si="78"/>
        <v>4.6349999999999998</v>
      </c>
      <c r="AB128" s="160"/>
      <c r="AC128" s="100">
        <f>VLOOKUP($A128,[1]!CurveTable,MATCH($AC$4,[1]!CurveType,0))+$AC$9</f>
        <v>0.17</v>
      </c>
      <c r="AD128" s="100">
        <f>VLOOKUP($A128,[1]!CurveTable,MATCH($AD$4,[1]!CurveType,0))+$AD$9</f>
        <v>0.17500000000000002</v>
      </c>
      <c r="AE128" s="158">
        <f t="shared" ca="1" si="69"/>
        <v>0.1758941797960539</v>
      </c>
      <c r="AF128" s="4"/>
      <c r="AG128" s="52">
        <f ca="1">((Inputs!$F$20*(X128*AD128)*(A128-$C$3))+(Inputs!$F$19*W128*AC128*(DAY(EOMONTH(A128,0))/2)))/(AN128*Y128*AE128)</f>
        <v>0.74999999999999989</v>
      </c>
      <c r="AH128" s="4"/>
      <c r="AI128" s="18">
        <f>Inputs!$B$15</f>
        <v>0.06</v>
      </c>
      <c r="AJ128" s="46"/>
      <c r="AK128" s="18">
        <f t="shared" si="70"/>
        <v>0.47200000000000003</v>
      </c>
      <c r="AL128" s="46"/>
      <c r="AM128" s="62">
        <f t="shared" si="71"/>
        <v>41698</v>
      </c>
      <c r="AN128" s="63">
        <f t="shared" ca="1" si="72"/>
        <v>4505</v>
      </c>
      <c r="AO128" s="63">
        <f t="shared" si="99"/>
        <v>1</v>
      </c>
      <c r="AP128" s="19"/>
      <c r="AQ128" s="74">
        <f ca="1">_xll.SPRDOPT(U128,AA128,AI128,AX128,X128,AD128,AG128,AN128,AO128,0)</f>
        <v>0.54729309906745738</v>
      </c>
      <c r="AR128" s="47">
        <f t="shared" ca="1" si="79"/>
        <v>820939.64860118611</v>
      </c>
      <c r="AS128" s="135">
        <f t="shared" ca="1" si="80"/>
        <v>7.5293099067457347E-2</v>
      </c>
      <c r="AU128" s="5">
        <f t="shared" si="100"/>
        <v>30</v>
      </c>
      <c r="AV128" s="148">
        <f t="shared" si="73"/>
        <v>41744</v>
      </c>
      <c r="AW128" s="41">
        <f t="shared" ca="1" si="74"/>
        <v>4551</v>
      </c>
      <c r="AX128" s="100">
        <f>VLOOKUP($A128,[1]!CurveTable,MATCH(AX$4,[1]!CurveType,0))</f>
        <v>5.6552849803060301E-2</v>
      </c>
      <c r="AY128" s="149">
        <f ca="1">1/(1+CHOOSE(F$3,(AX129+(Inputs!$B$14/10000))/2,(AX128+(Inputs!$B$14/10000))/2))^(2*AW128/365.25)</f>
        <v>0.49914050224706585</v>
      </c>
      <c r="AZ128" s="41">
        <f t="shared" si="101"/>
        <v>1</v>
      </c>
      <c r="BA128" s="72">
        <f t="shared" si="102"/>
        <v>30</v>
      </c>
      <c r="BC128" s="65">
        <f t="shared" ca="1" si="81"/>
        <v>3415618.4568766719</v>
      </c>
      <c r="BD128" s="65">
        <f t="shared" ca="1" si="82"/>
        <v>3456797.5483120545</v>
      </c>
      <c r="BE128" s="65">
        <f t="shared" ca="1" si="83"/>
        <v>3456797.5483120545</v>
      </c>
      <c r="BF128" s="65">
        <f t="shared" ca="1" si="84"/>
        <v>411790.91435382934</v>
      </c>
      <c r="BG128" s="65">
        <f t="shared" ca="1" si="85"/>
        <v>411790.91435382934</v>
      </c>
      <c r="BH128" s="65">
        <f t="shared" ca="1" si="86"/>
        <v>411790.91435382934</v>
      </c>
      <c r="BI128" s="65">
        <f t="shared" ca="1" si="87"/>
        <v>0</v>
      </c>
      <c r="BJ128" s="65">
        <f t="shared" ca="1" si="88"/>
        <v>0</v>
      </c>
      <c r="BK128" s="65">
        <f t="shared" ca="1" si="89"/>
        <v>0</v>
      </c>
      <c r="BL128" s="65">
        <f t="shared" ca="1" si="90"/>
        <v>13476.79356067078</v>
      </c>
      <c r="BM128" s="65">
        <f t="shared" ca="1" si="91"/>
        <v>13476.79356067078</v>
      </c>
      <c r="BN128" s="65">
        <f t="shared" ca="1" si="92"/>
        <v>13476.79356067078</v>
      </c>
      <c r="BO128" s="65">
        <f t="shared" ca="1" si="93"/>
        <v>7487.1075337059883</v>
      </c>
      <c r="BP128" s="65">
        <f t="shared" ca="1" si="94"/>
        <v>0</v>
      </c>
      <c r="BQ128" s="65">
        <f t="shared" ca="1" si="95"/>
        <v>0</v>
      </c>
      <c r="BR128" s="65">
        <f t="shared" ca="1" si="96"/>
        <v>3868588.4626658838</v>
      </c>
      <c r="BS128" s="65">
        <f t="shared" ca="1" si="97"/>
        <v>3470274.3418727252</v>
      </c>
      <c r="BT128" s="65">
        <f t="shared" ca="1" si="98"/>
        <v>44922.645202235923</v>
      </c>
      <c r="BU128" s="65">
        <f t="shared" ca="1" si="75"/>
        <v>353391.47559092264</v>
      </c>
    </row>
    <row r="129" spans="1:73">
      <c r="A129" s="42">
        <f t="shared" si="76"/>
        <v>41760</v>
      </c>
      <c r="B129" s="30">
        <f>Inputs!$B$8</f>
        <v>50000</v>
      </c>
      <c r="C129" s="17">
        <f t="shared" si="66"/>
        <v>1550000</v>
      </c>
      <c r="D129" s="17">
        <f t="shared" ca="1" si="67"/>
        <v>769603.07713330199</v>
      </c>
      <c r="E129" s="25">
        <f>VLOOKUP($A129,[1]!CurveTable,MATCH($E$4,[1]!CurveType,0))</f>
        <v>4.5670000000000002</v>
      </c>
      <c r="F129" s="31">
        <f>E129-Inputs!$B$16</f>
        <v>4.6219999999999999</v>
      </c>
      <c r="G129" s="43">
        <f t="shared" si="108"/>
        <v>4.6219999999999999</v>
      </c>
      <c r="H129" s="25">
        <f>VLOOKUP($A129,[1]!CurveTable,MATCH($H$4,[1]!CurveType,0))</f>
        <v>0.7</v>
      </c>
      <c r="I129" s="31">
        <f>H129+Inputs!$B$22</f>
        <v>0.7</v>
      </c>
      <c r="J129" s="44">
        <f t="shared" si="109"/>
        <v>0.7</v>
      </c>
      <c r="K129" s="25">
        <f>VLOOKUP($A129,[1]!CurveTable,MATCH($K$4,[1]!CurveType,0))</f>
        <v>0</v>
      </c>
      <c r="L129" s="31">
        <v>0</v>
      </c>
      <c r="M129" s="45">
        <f t="shared" si="110"/>
        <v>0</v>
      </c>
      <c r="N129" s="25">
        <f>VLOOKUP($A129,[1]!CurveTable,MATCH($N$4,[1]!CurveType,0))</f>
        <v>2.0500000000000001E-2</v>
      </c>
      <c r="O129" s="31">
        <f>N129+Inputs!$E$22</f>
        <v>2.0500000000000001E-2</v>
      </c>
      <c r="P129" s="45">
        <f t="shared" si="111"/>
        <v>2.0500000000000001E-2</v>
      </c>
      <c r="Q129" s="25">
        <f>VLOOKUP($A129,[1]!CurveTable,MATCH($Q$4,[1]!CurveType,0))</f>
        <v>0.01</v>
      </c>
      <c r="R129" s="31">
        <v>0</v>
      </c>
      <c r="S129" s="45">
        <f t="shared" si="112"/>
        <v>0</v>
      </c>
      <c r="T129" s="4"/>
      <c r="U129" s="159">
        <f t="shared" si="77"/>
        <v>5.3220000000000001</v>
      </c>
      <c r="V129" s="160"/>
      <c r="W129" s="100">
        <f>VLOOKUP($A129,[1]!CurveTable,MATCH($W$4,[1]!CurveType,0))+$W$9</f>
        <v>0.34</v>
      </c>
      <c r="X129" s="100">
        <f>VLOOKUP($A129,[1]!CurveTable,MATCH($X$4,[1]!CurveType,0))+$X$9</f>
        <v>0.34500000000000003</v>
      </c>
      <c r="Y129" s="158">
        <f t="shared" ca="1" si="68"/>
        <v>0.34674696840347685</v>
      </c>
      <c r="Z129" s="4"/>
      <c r="AA129" s="159">
        <f t="shared" si="78"/>
        <v>4.6425000000000001</v>
      </c>
      <c r="AB129" s="160"/>
      <c r="AC129" s="100">
        <f>VLOOKUP($A129,[1]!CurveTable,MATCH($AC$4,[1]!CurveType,0))+$AC$9</f>
        <v>0.17</v>
      </c>
      <c r="AD129" s="100">
        <f>VLOOKUP($A129,[1]!CurveTable,MATCH($AD$4,[1]!CurveType,0))+$AD$9</f>
        <v>0.17500000000000002</v>
      </c>
      <c r="AE129" s="158">
        <f t="shared" ca="1" si="69"/>
        <v>0.17587794702201084</v>
      </c>
      <c r="AF129" s="4"/>
      <c r="AG129" s="52">
        <f ca="1">((Inputs!$F$20*(X129*AD129)*(A129-$C$3))+(Inputs!$F$19*W129*AC129*(DAY(EOMONTH(A129,0))/2)))/(AN129*Y129*AE129)</f>
        <v>0.74999974936732516</v>
      </c>
      <c r="AH129" s="4"/>
      <c r="AI129" s="18">
        <f>Inputs!$B$15</f>
        <v>0.06</v>
      </c>
      <c r="AJ129" s="46"/>
      <c r="AK129" s="18">
        <f t="shared" si="70"/>
        <v>0.61949999999999994</v>
      </c>
      <c r="AL129" s="46"/>
      <c r="AM129" s="62">
        <f t="shared" si="71"/>
        <v>41729</v>
      </c>
      <c r="AN129" s="63">
        <f t="shared" ca="1" si="72"/>
        <v>4536</v>
      </c>
      <c r="AO129" s="63">
        <f t="shared" si="99"/>
        <v>1</v>
      </c>
      <c r="AP129" s="19"/>
      <c r="AQ129" s="74">
        <f ca="1">_xll.SPRDOPT(U129,AA129,AI129,AX129,X129,AD129,AG129,AN129,AO129,0)</f>
        <v>0.98656180219617895</v>
      </c>
      <c r="AR129" s="47">
        <f t="shared" ca="1" si="79"/>
        <v>1529170.7934040774</v>
      </c>
      <c r="AS129" s="135">
        <f t="shared" ca="1" si="80"/>
        <v>0.36706180219617901</v>
      </c>
      <c r="AU129" s="5">
        <f t="shared" si="100"/>
        <v>31</v>
      </c>
      <c r="AV129" s="148">
        <f t="shared" si="73"/>
        <v>41774</v>
      </c>
      <c r="AW129" s="41">
        <f t="shared" ca="1" si="74"/>
        <v>4581</v>
      </c>
      <c r="AX129" s="100">
        <f>VLOOKUP($A129,[1]!CurveTable,MATCH(AX$4,[1]!CurveType,0))</f>
        <v>5.6609184704239798E-2</v>
      </c>
      <c r="AY129" s="149">
        <f ca="1">1/(1+CHOOSE(F$3,(AX130+(Inputs!$B$14/10000))/2,(AX129+(Inputs!$B$14/10000))/2))^(2*AW129/365.25)</f>
        <v>0.49651811427954967</v>
      </c>
      <c r="AZ129" s="41">
        <f t="shared" si="101"/>
        <v>1</v>
      </c>
      <c r="BA129" s="72">
        <f t="shared" si="102"/>
        <v>31</v>
      </c>
      <c r="BC129" s="65">
        <f t="shared" ca="1" si="81"/>
        <v>3514777.2532677902</v>
      </c>
      <c r="BD129" s="65">
        <f t="shared" ca="1" si="82"/>
        <v>3557105.4225101219</v>
      </c>
      <c r="BE129" s="65">
        <f t="shared" ca="1" si="83"/>
        <v>3557105.4225101219</v>
      </c>
      <c r="BF129" s="65">
        <f t="shared" ca="1" si="84"/>
        <v>538722.15399331134</v>
      </c>
      <c r="BG129" s="65">
        <f t="shared" ca="1" si="85"/>
        <v>538722.15399331134</v>
      </c>
      <c r="BH129" s="65">
        <f t="shared" ca="1" si="86"/>
        <v>538722.15399331134</v>
      </c>
      <c r="BI129" s="65">
        <f t="shared" ca="1" si="87"/>
        <v>0</v>
      </c>
      <c r="BJ129" s="65">
        <f t="shared" ca="1" si="88"/>
        <v>0</v>
      </c>
      <c r="BK129" s="65">
        <f t="shared" ca="1" si="89"/>
        <v>0</v>
      </c>
      <c r="BL129" s="65">
        <f t="shared" ca="1" si="90"/>
        <v>15776.863081232692</v>
      </c>
      <c r="BM129" s="65">
        <f t="shared" ca="1" si="91"/>
        <v>15776.863081232692</v>
      </c>
      <c r="BN129" s="65">
        <f t="shared" ca="1" si="92"/>
        <v>15776.863081232692</v>
      </c>
      <c r="BO129" s="65">
        <f t="shared" ca="1" si="93"/>
        <v>7696.0307713330203</v>
      </c>
      <c r="BP129" s="65">
        <f t="shared" ca="1" si="94"/>
        <v>0</v>
      </c>
      <c r="BQ129" s="65">
        <f t="shared" ca="1" si="95"/>
        <v>0</v>
      </c>
      <c r="BR129" s="65">
        <f t="shared" ca="1" si="96"/>
        <v>4095827.5765034333</v>
      </c>
      <c r="BS129" s="65">
        <f t="shared" ca="1" si="97"/>
        <v>3572882.2855913546</v>
      </c>
      <c r="BT129" s="65">
        <f t="shared" ca="1" si="98"/>
        <v>46176.184627998118</v>
      </c>
      <c r="BU129" s="65">
        <f t="shared" ca="1" si="75"/>
        <v>476769.10628408054</v>
      </c>
    </row>
    <row r="130" spans="1:73">
      <c r="A130" s="42">
        <f t="shared" si="76"/>
        <v>41791</v>
      </c>
      <c r="B130" s="30">
        <f>Inputs!$B$8</f>
        <v>50000</v>
      </c>
      <c r="C130" s="17">
        <f t="shared" si="66"/>
        <v>0</v>
      </c>
      <c r="D130" s="17">
        <f t="shared" ca="1" si="67"/>
        <v>0</v>
      </c>
      <c r="E130" s="25">
        <f>VLOOKUP($A130,[1]!CurveTable,MATCH($E$4,[1]!CurveType,0))</f>
        <v>4.6050000000000004</v>
      </c>
      <c r="F130" s="31">
        <f>E130-Inputs!$B$16</f>
        <v>4.66</v>
      </c>
      <c r="G130" s="43">
        <f t="shared" ref="G130:G149" si="113">F130</f>
        <v>4.66</v>
      </c>
      <c r="H130" s="25">
        <f>VLOOKUP($A130,[1]!CurveTable,MATCH($H$4,[1]!CurveType,0))</f>
        <v>0.8</v>
      </c>
      <c r="I130" s="31">
        <f>H130+Inputs!$B$22</f>
        <v>0.8</v>
      </c>
      <c r="J130" s="44">
        <f t="shared" ref="J130:J149" si="114">I130</f>
        <v>0.8</v>
      </c>
      <c r="K130" s="25">
        <f>VLOOKUP($A130,[1]!CurveTable,MATCH($K$4,[1]!CurveType,0))</f>
        <v>0</v>
      </c>
      <c r="L130" s="31">
        <v>0</v>
      </c>
      <c r="M130" s="45">
        <f t="shared" ref="M130:M149" si="115">L130</f>
        <v>0</v>
      </c>
      <c r="N130" s="25">
        <f>VLOOKUP($A130,[1]!CurveTable,MATCH($N$4,[1]!CurveType,0))</f>
        <v>1.8000000000000002E-2</v>
      </c>
      <c r="O130" s="31">
        <f>N130+Inputs!$E$22</f>
        <v>1.8000000000000002E-2</v>
      </c>
      <c r="P130" s="45">
        <f t="shared" ref="P130:P149" si="116">O130</f>
        <v>1.8000000000000002E-2</v>
      </c>
      <c r="Q130" s="25">
        <f>VLOOKUP($A130,[1]!CurveTable,MATCH($Q$4,[1]!CurveType,0))</f>
        <v>0.01</v>
      </c>
      <c r="R130" s="31">
        <v>0</v>
      </c>
      <c r="S130" s="45">
        <f t="shared" ref="S130:S149" si="117">R130</f>
        <v>0</v>
      </c>
      <c r="T130" s="4"/>
      <c r="U130" s="159">
        <f t="shared" si="77"/>
        <v>5.46</v>
      </c>
      <c r="V130" s="160"/>
      <c r="W130" s="100">
        <f>VLOOKUP($A130,[1]!CurveTable,MATCH($W$4,[1]!CurveType,0))+$W$9</f>
        <v>0.34</v>
      </c>
      <c r="X130" s="100">
        <f>VLOOKUP($A130,[1]!CurveTable,MATCH($X$4,[1]!CurveType,0))+$X$9</f>
        <v>0.34500000000000003</v>
      </c>
      <c r="Y130" s="158">
        <f t="shared" ca="1" si="68"/>
        <v>0.3467548543866919</v>
      </c>
      <c r="Z130" s="4"/>
      <c r="AA130" s="159">
        <f t="shared" si="78"/>
        <v>4.6779999999999999</v>
      </c>
      <c r="AB130" s="160"/>
      <c r="AC130" s="100">
        <f>VLOOKUP($A130,[1]!CurveTable,MATCH($AC$4,[1]!CurveType,0))+$AC$9</f>
        <v>0.17</v>
      </c>
      <c r="AD130" s="100">
        <f>VLOOKUP($A130,[1]!CurveTable,MATCH($AD$4,[1]!CurveType,0))+$AD$9</f>
        <v>0.17500000000000002</v>
      </c>
      <c r="AE130" s="158">
        <f t="shared" ca="1" si="69"/>
        <v>0.17588226385924779</v>
      </c>
      <c r="AF130" s="4"/>
      <c r="AG130" s="52">
        <f ca="1">((Inputs!$F$20*(X130*AD130)*(A130-$C$3))+(Inputs!$F$19*W130*AC130*(DAY(EOMONTH(A130,0))/2)))/(AN130*Y130*AE130)</f>
        <v>0.74999975902698723</v>
      </c>
      <c r="AH130" s="4"/>
      <c r="AI130" s="18">
        <f>Inputs!$B$15</f>
        <v>0.06</v>
      </c>
      <c r="AJ130" s="46"/>
      <c r="AK130" s="18">
        <f t="shared" si="70"/>
        <v>0.72199999999999998</v>
      </c>
      <c r="AL130" s="46"/>
      <c r="AM130" s="62">
        <f t="shared" si="71"/>
        <v>41759</v>
      </c>
      <c r="AN130" s="63">
        <f t="shared" ca="1" si="72"/>
        <v>4566</v>
      </c>
      <c r="AO130" s="63">
        <f t="shared" si="99"/>
        <v>1</v>
      </c>
      <c r="AP130" s="19"/>
      <c r="AQ130" s="74">
        <f ca="1">_xll.SPRDOPT(U130,AA130,AI130,AX130,X130,AD130,AG130,AN130,AO130,0)</f>
        <v>1.0259194634948039</v>
      </c>
      <c r="AR130" s="47">
        <f t="shared" ca="1" si="79"/>
        <v>0</v>
      </c>
      <c r="AS130" s="135">
        <f t="shared" ca="1" si="80"/>
        <v>0.30391946349480392</v>
      </c>
      <c r="AU130" s="5">
        <f t="shared" si="100"/>
        <v>30</v>
      </c>
      <c r="AV130" s="148">
        <f t="shared" si="73"/>
        <v>41805</v>
      </c>
      <c r="AW130" s="41">
        <f t="shared" ca="1" si="74"/>
        <v>4612</v>
      </c>
      <c r="AX130" s="100">
        <f>VLOOKUP($A130,[1]!CurveTable,MATCH(AX$4,[1]!CurveType,0))</f>
        <v>5.6667397436568102E-2</v>
      </c>
      <c r="AY130" s="149">
        <f ca="1">1/(1+CHOOSE(F$3,(AX131+(Inputs!$B$14/10000))/2,(AX130+(Inputs!$B$14/10000))/2))^(2*AW130/365.25)</f>
        <v>0.49381812754856763</v>
      </c>
      <c r="AZ130" s="41">
        <f t="shared" si="101"/>
        <v>0</v>
      </c>
      <c r="BA130" s="72">
        <f t="shared" si="102"/>
        <v>0</v>
      </c>
      <c r="BC130" s="65">
        <f t="shared" ca="1" si="81"/>
        <v>0</v>
      </c>
      <c r="BD130" s="65">
        <f t="shared" ca="1" si="82"/>
        <v>0</v>
      </c>
      <c r="BE130" s="65">
        <f t="shared" ca="1" si="83"/>
        <v>0</v>
      </c>
      <c r="BF130" s="65">
        <f t="shared" ca="1" si="84"/>
        <v>0</v>
      </c>
      <c r="BG130" s="65">
        <f t="shared" ca="1" si="85"/>
        <v>0</v>
      </c>
      <c r="BH130" s="65">
        <f t="shared" ca="1" si="86"/>
        <v>0</v>
      </c>
      <c r="BI130" s="65">
        <f t="shared" ca="1" si="87"/>
        <v>0</v>
      </c>
      <c r="BJ130" s="65">
        <f t="shared" ca="1" si="88"/>
        <v>0</v>
      </c>
      <c r="BK130" s="65">
        <f t="shared" ca="1" si="89"/>
        <v>0</v>
      </c>
      <c r="BL130" s="65">
        <f t="shared" ca="1" si="90"/>
        <v>0</v>
      </c>
      <c r="BM130" s="65">
        <f t="shared" ca="1" si="91"/>
        <v>0</v>
      </c>
      <c r="BN130" s="65">
        <f t="shared" ca="1" si="92"/>
        <v>0</v>
      </c>
      <c r="BO130" s="65">
        <f t="shared" ca="1" si="93"/>
        <v>0</v>
      </c>
      <c r="BP130" s="65">
        <f t="shared" ca="1" si="94"/>
        <v>0</v>
      </c>
      <c r="BQ130" s="65">
        <f t="shared" ca="1" si="95"/>
        <v>0</v>
      </c>
      <c r="BR130" s="65">
        <f t="shared" ca="1" si="96"/>
        <v>0</v>
      </c>
      <c r="BS130" s="65">
        <f t="shared" ca="1" si="97"/>
        <v>0</v>
      </c>
      <c r="BT130" s="65">
        <f t="shared" ca="1" si="98"/>
        <v>0</v>
      </c>
      <c r="BU130" s="65">
        <f t="shared" ca="1" si="75"/>
        <v>0</v>
      </c>
    </row>
    <row r="131" spans="1:73">
      <c r="A131" s="42">
        <f t="shared" si="76"/>
        <v>41821</v>
      </c>
      <c r="B131" s="30">
        <f>Inputs!$B$8</f>
        <v>50000</v>
      </c>
      <c r="C131" s="17">
        <f t="shared" si="66"/>
        <v>0</v>
      </c>
      <c r="D131" s="17">
        <f t="shared" ca="1" si="67"/>
        <v>0</v>
      </c>
      <c r="E131" s="25">
        <f>VLOOKUP($A131,[1]!CurveTable,MATCH($E$4,[1]!CurveType,0))</f>
        <v>4.6500000000000004</v>
      </c>
      <c r="F131" s="31">
        <f>E131-Inputs!$B$16</f>
        <v>4.7050000000000001</v>
      </c>
      <c r="G131" s="43">
        <f t="shared" si="113"/>
        <v>4.7050000000000001</v>
      </c>
      <c r="H131" s="25">
        <f>VLOOKUP($A131,[1]!CurveTable,MATCH($H$4,[1]!CurveType,0))</f>
        <v>1</v>
      </c>
      <c r="I131" s="31">
        <f>H131+Inputs!$B$22</f>
        <v>1</v>
      </c>
      <c r="J131" s="44">
        <f t="shared" si="114"/>
        <v>1</v>
      </c>
      <c r="K131" s="25">
        <f>VLOOKUP($A131,[1]!CurveTable,MATCH($K$4,[1]!CurveType,0))</f>
        <v>0</v>
      </c>
      <c r="L131" s="31">
        <v>0</v>
      </c>
      <c r="M131" s="45">
        <f t="shared" si="115"/>
        <v>0</v>
      </c>
      <c r="N131" s="25">
        <f>VLOOKUP($A131,[1]!CurveTable,MATCH($N$4,[1]!CurveType,0))</f>
        <v>1.55E-2</v>
      </c>
      <c r="O131" s="31">
        <f>N131+Inputs!$E$22</f>
        <v>1.55E-2</v>
      </c>
      <c r="P131" s="45">
        <f t="shared" si="116"/>
        <v>1.55E-2</v>
      </c>
      <c r="Q131" s="25">
        <f>VLOOKUP($A131,[1]!CurveTable,MATCH($Q$4,[1]!CurveType,0))</f>
        <v>0.01</v>
      </c>
      <c r="R131" s="31">
        <v>0</v>
      </c>
      <c r="S131" s="45">
        <f t="shared" si="117"/>
        <v>0</v>
      </c>
      <c r="T131" s="4"/>
      <c r="U131" s="159">
        <f t="shared" si="77"/>
        <v>5.7050000000000001</v>
      </c>
      <c r="V131" s="160"/>
      <c r="W131" s="100">
        <f>VLOOKUP($A131,[1]!CurveTable,MATCH($W$4,[1]!CurveType,0))+$W$9</f>
        <v>0.34</v>
      </c>
      <c r="X131" s="100">
        <f>VLOOKUP($A131,[1]!CurveTable,MATCH($X$4,[1]!CurveType,0))+$X$9</f>
        <v>0.34500000000000003</v>
      </c>
      <c r="Y131" s="158">
        <f t="shared" ca="1" si="68"/>
        <v>0.34672384458993027</v>
      </c>
      <c r="Z131" s="4"/>
      <c r="AA131" s="159">
        <f t="shared" si="78"/>
        <v>4.7205000000000004</v>
      </c>
      <c r="AB131" s="160"/>
      <c r="AC131" s="100">
        <f>VLOOKUP($A131,[1]!CurveTable,MATCH($AC$4,[1]!CurveType,0))+$AC$9</f>
        <v>0.17</v>
      </c>
      <c r="AD131" s="100">
        <f>VLOOKUP($A131,[1]!CurveTable,MATCH($AD$4,[1]!CurveType,0))+$AD$9</f>
        <v>0.17500000000000002</v>
      </c>
      <c r="AE131" s="158">
        <f t="shared" ca="1" si="69"/>
        <v>0.17586632577640515</v>
      </c>
      <c r="AF131" s="4"/>
      <c r="AG131" s="52">
        <f ca="1">((Inputs!$F$20*(X131*AD131)*(A131-$C$3))+(Inputs!$F$19*W131*AC131*(DAY(EOMONTH(A131,0))/2)))/(AN131*Y131*AE131)</f>
        <v>0.74999975264970553</v>
      </c>
      <c r="AH131" s="4"/>
      <c r="AI131" s="18">
        <f>Inputs!$B$15</f>
        <v>0.06</v>
      </c>
      <c r="AJ131" s="46"/>
      <c r="AK131" s="18">
        <f t="shared" si="70"/>
        <v>0.92449999999999966</v>
      </c>
      <c r="AL131" s="46"/>
      <c r="AM131" s="62">
        <f t="shared" si="71"/>
        <v>41790</v>
      </c>
      <c r="AN131" s="63">
        <f t="shared" ca="1" si="72"/>
        <v>4597</v>
      </c>
      <c r="AO131" s="63">
        <f t="shared" si="99"/>
        <v>1</v>
      </c>
      <c r="AP131" s="19"/>
      <c r="AQ131" s="74">
        <f ca="1">_xll.SPRDOPT(U131,AA131,AI131,AX131,X131,AD131,AG131,AN131,AO131,0)</f>
        <v>1.1022488138589082</v>
      </c>
      <c r="AR131" s="47">
        <f t="shared" ca="1" si="79"/>
        <v>0</v>
      </c>
      <c r="AS131" s="135">
        <f t="shared" ca="1" si="80"/>
        <v>0.17774881385890851</v>
      </c>
      <c r="AU131" s="5">
        <f t="shared" si="100"/>
        <v>31</v>
      </c>
      <c r="AV131" s="148">
        <f t="shared" si="73"/>
        <v>41835</v>
      </c>
      <c r="AW131" s="41">
        <f t="shared" ca="1" si="74"/>
        <v>4642</v>
      </c>
      <c r="AX131" s="100">
        <f>VLOOKUP($A131,[1]!CurveTable,MATCH(AX$4,[1]!CurveType,0))</f>
        <v>5.6723732339895201E-2</v>
      </c>
      <c r="AY131" s="149">
        <f ca="1">1/(1+CHOOSE(F$3,(AX132+(Inputs!$B$14/10000))/2,(AX131+(Inputs!$B$14/10000))/2))^(2*AW131/365.25)</f>
        <v>0.49121473250854869</v>
      </c>
      <c r="AZ131" s="41">
        <f t="shared" si="101"/>
        <v>0</v>
      </c>
      <c r="BA131" s="72">
        <f t="shared" si="102"/>
        <v>0</v>
      </c>
      <c r="BC131" s="65">
        <f t="shared" ca="1" si="81"/>
        <v>0</v>
      </c>
      <c r="BD131" s="65">
        <f t="shared" ca="1" si="82"/>
        <v>0</v>
      </c>
      <c r="BE131" s="65">
        <f t="shared" ca="1" si="83"/>
        <v>0</v>
      </c>
      <c r="BF131" s="65">
        <f t="shared" ca="1" si="84"/>
        <v>0</v>
      </c>
      <c r="BG131" s="65">
        <f t="shared" ca="1" si="85"/>
        <v>0</v>
      </c>
      <c r="BH131" s="65">
        <f t="shared" ca="1" si="86"/>
        <v>0</v>
      </c>
      <c r="BI131" s="65">
        <f t="shared" ca="1" si="87"/>
        <v>0</v>
      </c>
      <c r="BJ131" s="65">
        <f t="shared" ca="1" si="88"/>
        <v>0</v>
      </c>
      <c r="BK131" s="65">
        <f t="shared" ca="1" si="89"/>
        <v>0</v>
      </c>
      <c r="BL131" s="65">
        <f t="shared" ca="1" si="90"/>
        <v>0</v>
      </c>
      <c r="BM131" s="65">
        <f t="shared" ca="1" si="91"/>
        <v>0</v>
      </c>
      <c r="BN131" s="65">
        <f t="shared" ca="1" si="92"/>
        <v>0</v>
      </c>
      <c r="BO131" s="65">
        <f t="shared" ca="1" si="93"/>
        <v>0</v>
      </c>
      <c r="BP131" s="65">
        <f t="shared" ca="1" si="94"/>
        <v>0</v>
      </c>
      <c r="BQ131" s="65">
        <f t="shared" ca="1" si="95"/>
        <v>0</v>
      </c>
      <c r="BR131" s="65">
        <f t="shared" ca="1" si="96"/>
        <v>0</v>
      </c>
      <c r="BS131" s="65">
        <f t="shared" ca="1" si="97"/>
        <v>0</v>
      </c>
      <c r="BT131" s="65">
        <f t="shared" ca="1" si="98"/>
        <v>0</v>
      </c>
      <c r="BU131" s="65">
        <f t="shared" ca="1" si="75"/>
        <v>0</v>
      </c>
    </row>
    <row r="132" spans="1:73">
      <c r="A132" s="42">
        <f t="shared" si="76"/>
        <v>41852</v>
      </c>
      <c r="B132" s="30">
        <f>Inputs!$B$8</f>
        <v>50000</v>
      </c>
      <c r="C132" s="17">
        <f t="shared" si="66"/>
        <v>0</v>
      </c>
      <c r="D132" s="17">
        <f t="shared" ca="1" si="67"/>
        <v>0</v>
      </c>
      <c r="E132" s="25">
        <f>VLOOKUP($A132,[1]!CurveTable,MATCH($E$4,[1]!CurveType,0))</f>
        <v>4.6880000000000006</v>
      </c>
      <c r="F132" s="31">
        <f>E132-Inputs!$B$16</f>
        <v>4.7430000000000003</v>
      </c>
      <c r="G132" s="43">
        <f t="shared" si="113"/>
        <v>4.7430000000000003</v>
      </c>
      <c r="H132" s="25">
        <f>VLOOKUP($A132,[1]!CurveTable,MATCH($H$4,[1]!CurveType,0))</f>
        <v>1</v>
      </c>
      <c r="I132" s="31">
        <f>H132+Inputs!$B$22</f>
        <v>1</v>
      </c>
      <c r="J132" s="44">
        <f t="shared" si="114"/>
        <v>1</v>
      </c>
      <c r="K132" s="25">
        <f>VLOOKUP($A132,[1]!CurveTable,MATCH($K$4,[1]!CurveType,0))</f>
        <v>0</v>
      </c>
      <c r="L132" s="31">
        <v>0</v>
      </c>
      <c r="M132" s="45">
        <f t="shared" si="115"/>
        <v>0</v>
      </c>
      <c r="N132" s="25">
        <f>VLOOKUP($A132,[1]!CurveTable,MATCH($N$4,[1]!CurveType,0))</f>
        <v>1.55E-2</v>
      </c>
      <c r="O132" s="31">
        <f>N132+Inputs!$E$22</f>
        <v>1.55E-2</v>
      </c>
      <c r="P132" s="45">
        <f t="shared" si="116"/>
        <v>1.55E-2</v>
      </c>
      <c r="Q132" s="25">
        <f>VLOOKUP($A132,[1]!CurveTable,MATCH($Q$4,[1]!CurveType,0))</f>
        <v>0.01</v>
      </c>
      <c r="R132" s="31">
        <v>0</v>
      </c>
      <c r="S132" s="45">
        <f t="shared" si="117"/>
        <v>0</v>
      </c>
      <c r="T132" s="4"/>
      <c r="U132" s="159">
        <f t="shared" si="77"/>
        <v>5.7430000000000003</v>
      </c>
      <c r="V132" s="160"/>
      <c r="W132" s="100">
        <f>VLOOKUP($A132,[1]!CurveTable,MATCH($W$4,[1]!CurveType,0))+$W$9</f>
        <v>0.34</v>
      </c>
      <c r="X132" s="100">
        <f>VLOOKUP($A132,[1]!CurveTable,MATCH($X$4,[1]!CurveType,0))+$X$9</f>
        <v>0.34500000000000003</v>
      </c>
      <c r="Y132" s="158">
        <f t="shared" ca="1" si="68"/>
        <v>0.34674979036319897</v>
      </c>
      <c r="Z132" s="4"/>
      <c r="AA132" s="159">
        <f t="shared" si="78"/>
        <v>4.7585000000000006</v>
      </c>
      <c r="AB132" s="160"/>
      <c r="AC132" s="100">
        <f>VLOOKUP($A132,[1]!CurveTable,MATCH($AC$4,[1]!CurveType,0))+$AC$9</f>
        <v>0.17</v>
      </c>
      <c r="AD132" s="100">
        <f>VLOOKUP($A132,[1]!CurveTable,MATCH($AD$4,[1]!CurveType,0))+$AD$9</f>
        <v>0.17500000000000002</v>
      </c>
      <c r="AE132" s="158">
        <f t="shared" ca="1" si="69"/>
        <v>0.17587953971936418</v>
      </c>
      <c r="AF132" s="4"/>
      <c r="AG132" s="52">
        <f ca="1">((Inputs!$F$20*(X132*AD132)*(A132-$C$3))+(Inputs!$F$19*W132*AC132*(DAY(EOMONTH(A132,0))/2)))/(AN132*Y132*AE132)</f>
        <v>0.74999975428507037</v>
      </c>
      <c r="AH132" s="4"/>
      <c r="AI132" s="18">
        <f>Inputs!$B$15</f>
        <v>0.06</v>
      </c>
      <c r="AJ132" s="46"/>
      <c r="AK132" s="18">
        <f t="shared" si="70"/>
        <v>0.92449999999999966</v>
      </c>
      <c r="AL132" s="46"/>
      <c r="AM132" s="62">
        <f t="shared" si="71"/>
        <v>41820</v>
      </c>
      <c r="AN132" s="63">
        <f t="shared" ca="1" si="72"/>
        <v>4627</v>
      </c>
      <c r="AO132" s="63">
        <f t="shared" si="99"/>
        <v>1</v>
      </c>
      <c r="AP132" s="19"/>
      <c r="AQ132" s="74">
        <f ca="1">_xll.SPRDOPT(U132,AA132,AI132,AX132,X132,AD132,AG132,AN132,AO132,0)</f>
        <v>1.1049394931721028</v>
      </c>
      <c r="AR132" s="47">
        <f t="shared" ca="1" si="79"/>
        <v>0</v>
      </c>
      <c r="AS132" s="135">
        <f t="shared" ca="1" si="80"/>
        <v>0.18043949317210317</v>
      </c>
      <c r="AU132" s="5">
        <f t="shared" si="100"/>
        <v>31</v>
      </c>
      <c r="AV132" s="148">
        <f t="shared" si="73"/>
        <v>41866</v>
      </c>
      <c r="AW132" s="41">
        <f t="shared" ca="1" si="74"/>
        <v>4673</v>
      </c>
      <c r="AX132" s="100">
        <f>VLOOKUP($A132,[1]!CurveTable,MATCH(AX$4,[1]!CurveType,0))</f>
        <v>5.6781945074443098E-2</v>
      </c>
      <c r="AY132" s="149">
        <f ca="1">1/(1+CHOOSE(F$3,(AX133+(Inputs!$B$14/10000))/2,(AX132+(Inputs!$B$14/10000))/2))^(2*AW132/365.25)</f>
        <v>0.48853436688764712</v>
      </c>
      <c r="AZ132" s="41">
        <f t="shared" si="101"/>
        <v>0</v>
      </c>
      <c r="BA132" s="72">
        <f t="shared" si="102"/>
        <v>0</v>
      </c>
      <c r="BC132" s="65">
        <f t="shared" ca="1" si="81"/>
        <v>0</v>
      </c>
      <c r="BD132" s="65">
        <f t="shared" ca="1" si="82"/>
        <v>0</v>
      </c>
      <c r="BE132" s="65">
        <f t="shared" ca="1" si="83"/>
        <v>0</v>
      </c>
      <c r="BF132" s="65">
        <f t="shared" ca="1" si="84"/>
        <v>0</v>
      </c>
      <c r="BG132" s="65">
        <f t="shared" ca="1" si="85"/>
        <v>0</v>
      </c>
      <c r="BH132" s="65">
        <f t="shared" ca="1" si="86"/>
        <v>0</v>
      </c>
      <c r="BI132" s="65">
        <f t="shared" ca="1" si="87"/>
        <v>0</v>
      </c>
      <c r="BJ132" s="65">
        <f t="shared" ca="1" si="88"/>
        <v>0</v>
      </c>
      <c r="BK132" s="65">
        <f t="shared" ca="1" si="89"/>
        <v>0</v>
      </c>
      <c r="BL132" s="65">
        <f t="shared" ca="1" si="90"/>
        <v>0</v>
      </c>
      <c r="BM132" s="65">
        <f t="shared" ca="1" si="91"/>
        <v>0</v>
      </c>
      <c r="BN132" s="65">
        <f t="shared" ca="1" si="92"/>
        <v>0</v>
      </c>
      <c r="BO132" s="65">
        <f t="shared" ca="1" si="93"/>
        <v>0</v>
      </c>
      <c r="BP132" s="65">
        <f t="shared" ca="1" si="94"/>
        <v>0</v>
      </c>
      <c r="BQ132" s="65">
        <f t="shared" ca="1" si="95"/>
        <v>0</v>
      </c>
      <c r="BR132" s="65">
        <f t="shared" ca="1" si="96"/>
        <v>0</v>
      </c>
      <c r="BS132" s="65">
        <f t="shared" ca="1" si="97"/>
        <v>0</v>
      </c>
      <c r="BT132" s="65">
        <f t="shared" ca="1" si="98"/>
        <v>0</v>
      </c>
      <c r="BU132" s="65">
        <f t="shared" ca="1" si="75"/>
        <v>0</v>
      </c>
    </row>
    <row r="133" spans="1:73">
      <c r="A133" s="42">
        <f t="shared" si="76"/>
        <v>41883</v>
      </c>
      <c r="B133" s="30">
        <f>Inputs!$B$8</f>
        <v>50000</v>
      </c>
      <c r="C133" s="17">
        <f t="shared" si="66"/>
        <v>0</v>
      </c>
      <c r="D133" s="17">
        <f t="shared" ca="1" si="67"/>
        <v>0</v>
      </c>
      <c r="E133" s="25">
        <f>VLOOKUP($A133,[1]!CurveTable,MATCH($E$4,[1]!CurveType,0))</f>
        <v>4.6820000000000004</v>
      </c>
      <c r="F133" s="31">
        <f>E133-Inputs!$B$16</f>
        <v>4.7370000000000001</v>
      </c>
      <c r="G133" s="43">
        <f t="shared" si="113"/>
        <v>4.7370000000000001</v>
      </c>
      <c r="H133" s="25">
        <f>VLOOKUP($A133,[1]!CurveTable,MATCH($H$4,[1]!CurveType,0))</f>
        <v>0.6</v>
      </c>
      <c r="I133" s="31">
        <f>H133+Inputs!$B$22</f>
        <v>0.6</v>
      </c>
      <c r="J133" s="44">
        <f t="shared" si="114"/>
        <v>0.6</v>
      </c>
      <c r="K133" s="25">
        <f>VLOOKUP($A133,[1]!CurveTable,MATCH($K$4,[1]!CurveType,0))</f>
        <v>0</v>
      </c>
      <c r="L133" s="31">
        <v>0</v>
      </c>
      <c r="M133" s="45">
        <f t="shared" si="115"/>
        <v>0</v>
      </c>
      <c r="N133" s="25">
        <f>VLOOKUP($A133,[1]!CurveTable,MATCH($N$4,[1]!CurveType,0))</f>
        <v>1.55E-2</v>
      </c>
      <c r="O133" s="31">
        <f>N133+Inputs!$E$22</f>
        <v>1.55E-2</v>
      </c>
      <c r="P133" s="45">
        <f t="shared" si="116"/>
        <v>1.55E-2</v>
      </c>
      <c r="Q133" s="25">
        <f>VLOOKUP($A133,[1]!CurveTable,MATCH($Q$4,[1]!CurveType,0))</f>
        <v>0.01</v>
      </c>
      <c r="R133" s="31">
        <v>0</v>
      </c>
      <c r="S133" s="45">
        <f t="shared" si="117"/>
        <v>0</v>
      </c>
      <c r="T133" s="4"/>
      <c r="U133" s="159">
        <f t="shared" si="77"/>
        <v>5.3369999999999997</v>
      </c>
      <c r="V133" s="160"/>
      <c r="W133" s="100">
        <f>VLOOKUP($A133,[1]!CurveTable,MATCH($W$4,[1]!CurveType,0))+$W$9</f>
        <v>0.34</v>
      </c>
      <c r="X133" s="100">
        <f>VLOOKUP($A133,[1]!CurveTable,MATCH($X$4,[1]!CurveType,0))+$X$9</f>
        <v>0.34500000000000003</v>
      </c>
      <c r="Y133" s="158">
        <f t="shared" ca="1" si="68"/>
        <v>0.34672028029728658</v>
      </c>
      <c r="Z133" s="4"/>
      <c r="AA133" s="159">
        <f t="shared" si="78"/>
        <v>4.7525000000000004</v>
      </c>
      <c r="AB133" s="160"/>
      <c r="AC133" s="100">
        <f>VLOOKUP($A133,[1]!CurveTable,MATCH($AC$4,[1]!CurveType,0))+$AC$9</f>
        <v>0.17</v>
      </c>
      <c r="AD133" s="100">
        <f>VLOOKUP($A133,[1]!CurveTable,MATCH($AD$4,[1]!CurveType,0))+$AD$9</f>
        <v>0.17500000000000002</v>
      </c>
      <c r="AE133" s="158">
        <f t="shared" ca="1" si="69"/>
        <v>0.17586488114192664</v>
      </c>
      <c r="AF133" s="4"/>
      <c r="AG133" s="52">
        <f ca="1">((Inputs!$F$20*(X133*AD133)*(A133-$C$3))+(Inputs!$F$19*W133*AC133*(DAY(EOMONTH(A133,0))/2)))/(AN133*Y133*AE133)</f>
        <v>0.74999976372510146</v>
      </c>
      <c r="AH133" s="4"/>
      <c r="AI133" s="18">
        <f>Inputs!$B$15</f>
        <v>0.06</v>
      </c>
      <c r="AJ133" s="46"/>
      <c r="AK133" s="18">
        <f t="shared" si="70"/>
        <v>0.5244999999999993</v>
      </c>
      <c r="AL133" s="46"/>
      <c r="AM133" s="62">
        <f t="shared" si="71"/>
        <v>41851</v>
      </c>
      <c r="AN133" s="63">
        <f t="shared" ca="1" si="72"/>
        <v>4658</v>
      </c>
      <c r="AO133" s="63">
        <f t="shared" si="99"/>
        <v>1</v>
      </c>
      <c r="AP133" s="19"/>
      <c r="AQ133" s="74">
        <f ca="1">_xll.SPRDOPT(U133,AA133,AI133,AX133,X133,AD133,AG133,AN133,AO133,0)</f>
        <v>0.96010582709329773</v>
      </c>
      <c r="AR133" s="47">
        <f t="shared" ca="1" si="79"/>
        <v>0</v>
      </c>
      <c r="AS133" s="135">
        <f t="shared" ca="1" si="80"/>
        <v>0.43560582709329843</v>
      </c>
      <c r="AU133" s="5">
        <f t="shared" si="100"/>
        <v>30</v>
      </c>
      <c r="AV133" s="148">
        <f t="shared" si="73"/>
        <v>41897</v>
      </c>
      <c r="AW133" s="41">
        <f t="shared" ca="1" si="74"/>
        <v>4704</v>
      </c>
      <c r="AX133" s="100">
        <f>VLOOKUP($A133,[1]!CurveTable,MATCH(AX$4,[1]!CurveType,0))</f>
        <v>5.68401578101181E-2</v>
      </c>
      <c r="AY133" s="149">
        <f ca="1">1/(1+CHOOSE(F$3,(AX134+(Inputs!$B$14/10000))/2,(AX133+(Inputs!$B$14/10000))/2))^(2*AW133/365.25)</f>
        <v>0.48586396841322738</v>
      </c>
      <c r="AZ133" s="41">
        <f t="shared" si="101"/>
        <v>0</v>
      </c>
      <c r="BA133" s="72">
        <f t="shared" si="102"/>
        <v>0</v>
      </c>
      <c r="BC133" s="65">
        <f t="shared" ca="1" si="81"/>
        <v>0</v>
      </c>
      <c r="BD133" s="65">
        <f t="shared" ca="1" si="82"/>
        <v>0</v>
      </c>
      <c r="BE133" s="65">
        <f t="shared" ca="1" si="83"/>
        <v>0</v>
      </c>
      <c r="BF133" s="65">
        <f t="shared" ca="1" si="84"/>
        <v>0</v>
      </c>
      <c r="BG133" s="65">
        <f t="shared" ca="1" si="85"/>
        <v>0</v>
      </c>
      <c r="BH133" s="65">
        <f t="shared" ca="1" si="86"/>
        <v>0</v>
      </c>
      <c r="BI133" s="65">
        <f t="shared" ca="1" si="87"/>
        <v>0</v>
      </c>
      <c r="BJ133" s="65">
        <f t="shared" ca="1" si="88"/>
        <v>0</v>
      </c>
      <c r="BK133" s="65">
        <f t="shared" ca="1" si="89"/>
        <v>0</v>
      </c>
      <c r="BL133" s="65">
        <f t="shared" ca="1" si="90"/>
        <v>0</v>
      </c>
      <c r="BM133" s="65">
        <f t="shared" ca="1" si="91"/>
        <v>0</v>
      </c>
      <c r="BN133" s="65">
        <f t="shared" ca="1" si="92"/>
        <v>0</v>
      </c>
      <c r="BO133" s="65">
        <f t="shared" ca="1" si="93"/>
        <v>0</v>
      </c>
      <c r="BP133" s="65">
        <f t="shared" ca="1" si="94"/>
        <v>0</v>
      </c>
      <c r="BQ133" s="65">
        <f t="shared" ca="1" si="95"/>
        <v>0</v>
      </c>
      <c r="BR133" s="65">
        <f t="shared" ca="1" si="96"/>
        <v>0</v>
      </c>
      <c r="BS133" s="65">
        <f t="shared" ca="1" si="97"/>
        <v>0</v>
      </c>
      <c r="BT133" s="65">
        <f t="shared" ca="1" si="98"/>
        <v>0</v>
      </c>
      <c r="BU133" s="65">
        <f t="shared" ca="1" si="75"/>
        <v>0</v>
      </c>
    </row>
    <row r="134" spans="1:73">
      <c r="A134" s="42">
        <f t="shared" si="76"/>
        <v>41913</v>
      </c>
      <c r="B134" s="30">
        <f>Inputs!$B$8</f>
        <v>50000</v>
      </c>
      <c r="C134" s="17">
        <f t="shared" si="66"/>
        <v>0</v>
      </c>
      <c r="D134" s="17">
        <f t="shared" ca="1" si="67"/>
        <v>0</v>
      </c>
      <c r="E134" s="25">
        <f>VLOOKUP($A134,[1]!CurveTable,MATCH($E$4,[1]!CurveType,0))</f>
        <v>4.6820000000000004</v>
      </c>
      <c r="F134" s="31">
        <f>E134-Inputs!$B$16</f>
        <v>4.7370000000000001</v>
      </c>
      <c r="G134" s="43">
        <f t="shared" si="113"/>
        <v>4.7370000000000001</v>
      </c>
      <c r="H134" s="25">
        <f>VLOOKUP($A134,[1]!CurveTable,MATCH($H$4,[1]!CurveType,0))</f>
        <v>0.3</v>
      </c>
      <c r="I134" s="31">
        <f>H134+Inputs!$B$22</f>
        <v>0.3</v>
      </c>
      <c r="J134" s="44">
        <f t="shared" si="114"/>
        <v>0.3</v>
      </c>
      <c r="K134" s="25">
        <f>VLOOKUP($A134,[1]!CurveTable,MATCH($K$4,[1]!CurveType,0))</f>
        <v>0</v>
      </c>
      <c r="L134" s="31">
        <v>0</v>
      </c>
      <c r="M134" s="45">
        <f t="shared" si="115"/>
        <v>0</v>
      </c>
      <c r="N134" s="25">
        <f>VLOOKUP($A134,[1]!CurveTable,MATCH($N$4,[1]!CurveType,0))</f>
        <v>1.4E-2</v>
      </c>
      <c r="O134" s="31">
        <f>N134+Inputs!$E$22</f>
        <v>1.4E-2</v>
      </c>
      <c r="P134" s="45">
        <f t="shared" si="116"/>
        <v>1.4E-2</v>
      </c>
      <c r="Q134" s="25">
        <f>VLOOKUP($A134,[1]!CurveTable,MATCH($Q$4,[1]!CurveType,0))</f>
        <v>0.01</v>
      </c>
      <c r="R134" s="31">
        <v>0</v>
      </c>
      <c r="S134" s="45">
        <f t="shared" si="117"/>
        <v>0</v>
      </c>
      <c r="T134" s="4"/>
      <c r="U134" s="159">
        <f t="shared" si="77"/>
        <v>5.0369999999999999</v>
      </c>
      <c r="V134" s="160"/>
      <c r="W134" s="100">
        <f>VLOOKUP($A134,[1]!CurveTable,MATCH($W$4,[1]!CurveType,0))+$W$9</f>
        <v>0.17</v>
      </c>
      <c r="X134" s="100">
        <f>VLOOKUP($A134,[1]!CurveTable,MATCH($X$4,[1]!CurveType,0))+$X$9</f>
        <v>0.17500000000000002</v>
      </c>
      <c r="Y134" s="158">
        <f t="shared" ca="1" si="68"/>
        <v>0.17584936917656335</v>
      </c>
      <c r="Z134" s="4"/>
      <c r="AA134" s="159">
        <f t="shared" si="78"/>
        <v>4.7510000000000003</v>
      </c>
      <c r="AB134" s="160"/>
      <c r="AC134" s="100">
        <f>VLOOKUP($A134,[1]!CurveTable,MATCH($AC$4,[1]!CurveType,0))+$AC$9</f>
        <v>0.17</v>
      </c>
      <c r="AD134" s="100">
        <f>VLOOKUP($A134,[1]!CurveTable,MATCH($AD$4,[1]!CurveType,0))+$AD$9</f>
        <v>0.17500000000000002</v>
      </c>
      <c r="AE134" s="158">
        <f t="shared" ca="1" si="69"/>
        <v>0.17584936917656335</v>
      </c>
      <c r="AF134" s="4"/>
      <c r="AG134" s="52">
        <f ca="1">((Inputs!$F$20*(X134*AD134)*(A134-$C$3))+(Inputs!$F$19*W134*AC134*(DAY(EOMONTH(A134,0))/2)))/(AN134*Y134*AE134)</f>
        <v>0.74999999999999989</v>
      </c>
      <c r="AH134" s="4"/>
      <c r="AI134" s="18">
        <f>Inputs!$B$15</f>
        <v>0.06</v>
      </c>
      <c r="AJ134" s="46"/>
      <c r="AK134" s="18">
        <f t="shared" si="70"/>
        <v>0.22599999999999959</v>
      </c>
      <c r="AL134" s="46"/>
      <c r="AM134" s="62">
        <f t="shared" si="71"/>
        <v>41882</v>
      </c>
      <c r="AN134" s="63">
        <f t="shared" ca="1" si="72"/>
        <v>4689</v>
      </c>
      <c r="AO134" s="63">
        <f t="shared" si="99"/>
        <v>1</v>
      </c>
      <c r="AP134" s="19"/>
      <c r="AQ134" s="74">
        <f ca="1">_xll.SPRDOPT(U134,AA134,AI134,AX134,X134,AD134,AG134,AN134,AO134,0)</f>
        <v>0.47027242837588468</v>
      </c>
      <c r="AR134" s="47">
        <f t="shared" ca="1" si="79"/>
        <v>0</v>
      </c>
      <c r="AS134" s="135">
        <f t="shared" ca="1" si="80"/>
        <v>0.24427242837588509</v>
      </c>
      <c r="AU134" s="5">
        <f t="shared" si="100"/>
        <v>31</v>
      </c>
      <c r="AV134" s="148">
        <f t="shared" si="73"/>
        <v>41927</v>
      </c>
      <c r="AW134" s="41">
        <f t="shared" ca="1" si="74"/>
        <v>4734</v>
      </c>
      <c r="AX134" s="100">
        <f>VLOOKUP($A134,[1]!CurveTable,MATCH(AX$4,[1]!CurveType,0))</f>
        <v>5.6896492716684004E-2</v>
      </c>
      <c r="AY134" s="149">
        <f ca="1">1/(1+CHOOSE(F$3,(AX135+(Inputs!$B$14/10000))/2,(AX134+(Inputs!$B$14/10000))/2))^(2*AW134/365.25)</f>
        <v>0.48328919884778154</v>
      </c>
      <c r="AZ134" s="41">
        <f t="shared" si="101"/>
        <v>0</v>
      </c>
      <c r="BA134" s="72">
        <f t="shared" si="102"/>
        <v>0</v>
      </c>
      <c r="BC134" s="65">
        <f t="shared" ca="1" si="81"/>
        <v>0</v>
      </c>
      <c r="BD134" s="65">
        <f t="shared" ca="1" si="82"/>
        <v>0</v>
      </c>
      <c r="BE134" s="65">
        <f t="shared" ca="1" si="83"/>
        <v>0</v>
      </c>
      <c r="BF134" s="65">
        <f t="shared" ca="1" si="84"/>
        <v>0</v>
      </c>
      <c r="BG134" s="65">
        <f t="shared" ca="1" si="85"/>
        <v>0</v>
      </c>
      <c r="BH134" s="65">
        <f t="shared" ca="1" si="86"/>
        <v>0</v>
      </c>
      <c r="BI134" s="65">
        <f t="shared" ca="1" si="87"/>
        <v>0</v>
      </c>
      <c r="BJ134" s="65">
        <f t="shared" ca="1" si="88"/>
        <v>0</v>
      </c>
      <c r="BK134" s="65">
        <f t="shared" ca="1" si="89"/>
        <v>0</v>
      </c>
      <c r="BL134" s="65">
        <f t="shared" ca="1" si="90"/>
        <v>0</v>
      </c>
      <c r="BM134" s="65">
        <f t="shared" ca="1" si="91"/>
        <v>0</v>
      </c>
      <c r="BN134" s="65">
        <f t="shared" ca="1" si="92"/>
        <v>0</v>
      </c>
      <c r="BO134" s="65">
        <f t="shared" ca="1" si="93"/>
        <v>0</v>
      </c>
      <c r="BP134" s="65">
        <f t="shared" ca="1" si="94"/>
        <v>0</v>
      </c>
      <c r="BQ134" s="65">
        <f t="shared" ca="1" si="95"/>
        <v>0</v>
      </c>
      <c r="BR134" s="65">
        <f t="shared" ca="1" si="96"/>
        <v>0</v>
      </c>
      <c r="BS134" s="65">
        <f t="shared" ca="1" si="97"/>
        <v>0</v>
      </c>
      <c r="BT134" s="65">
        <f t="shared" ca="1" si="98"/>
        <v>0</v>
      </c>
      <c r="BU134" s="65">
        <f t="shared" ca="1" si="75"/>
        <v>0</v>
      </c>
    </row>
    <row r="135" spans="1:73">
      <c r="A135" s="42">
        <f t="shared" si="76"/>
        <v>41944</v>
      </c>
      <c r="B135" s="30">
        <f>Inputs!$B$8</f>
        <v>50000</v>
      </c>
      <c r="C135" s="17">
        <f t="shared" si="66"/>
        <v>0</v>
      </c>
      <c r="D135" s="17">
        <f t="shared" ca="1" si="67"/>
        <v>0</v>
      </c>
      <c r="E135" s="25">
        <f>VLOOKUP($A135,[1]!CurveTable,MATCH($E$4,[1]!CurveType,0))</f>
        <v>4.83</v>
      </c>
      <c r="F135" s="31">
        <f>E135-Inputs!$B$16</f>
        <v>4.8849999999999998</v>
      </c>
      <c r="G135" s="43">
        <f t="shared" si="113"/>
        <v>4.8849999999999998</v>
      </c>
      <c r="H135" s="25">
        <f>VLOOKUP($A135,[1]!CurveTable,MATCH($H$4,[1]!CurveType,0))</f>
        <v>0.23</v>
      </c>
      <c r="I135" s="31">
        <f>H135+Inputs!$B$22</f>
        <v>0.23</v>
      </c>
      <c r="J135" s="44">
        <f t="shared" si="114"/>
        <v>0.23</v>
      </c>
      <c r="K135" s="25">
        <f>VLOOKUP($A135,[1]!CurveTable,MATCH($K$4,[1]!CurveType,0))</f>
        <v>0</v>
      </c>
      <c r="L135" s="31">
        <v>0</v>
      </c>
      <c r="M135" s="45">
        <f t="shared" si="115"/>
        <v>0</v>
      </c>
      <c r="N135" s="25">
        <f>VLOOKUP($A135,[1]!CurveTable,MATCH($N$4,[1]!CurveType,0))</f>
        <v>1.4999999999999999E-2</v>
      </c>
      <c r="O135" s="31">
        <f>N135+Inputs!$E$22</f>
        <v>1.4999999999999999E-2</v>
      </c>
      <c r="P135" s="45">
        <f t="shared" si="116"/>
        <v>1.4999999999999999E-2</v>
      </c>
      <c r="Q135" s="25">
        <f>VLOOKUP($A135,[1]!CurveTable,MATCH($Q$4,[1]!CurveType,0))</f>
        <v>7.4999999999999997E-3</v>
      </c>
      <c r="R135" s="31">
        <v>0</v>
      </c>
      <c r="S135" s="45">
        <f t="shared" si="117"/>
        <v>0</v>
      </c>
      <c r="T135" s="4"/>
      <c r="U135" s="159">
        <f t="shared" si="77"/>
        <v>5.1150000000000002</v>
      </c>
      <c r="V135" s="160"/>
      <c r="W135" s="100">
        <f>VLOOKUP($A135,[1]!CurveTable,MATCH($W$4,[1]!CurveType,0))+$W$9</f>
        <v>0.17</v>
      </c>
      <c r="X135" s="100">
        <f>VLOOKUP($A135,[1]!CurveTable,MATCH($X$4,[1]!CurveType,0))+$X$9</f>
        <v>0.17500000000000002</v>
      </c>
      <c r="Y135" s="158">
        <f t="shared" ca="1" si="68"/>
        <v>0.17585372842090613</v>
      </c>
      <c r="Z135" s="4"/>
      <c r="AA135" s="159">
        <f t="shared" si="78"/>
        <v>4.8999999999999995</v>
      </c>
      <c r="AB135" s="160"/>
      <c r="AC135" s="100">
        <f>VLOOKUP($A135,[1]!CurveTable,MATCH($AC$4,[1]!CurveType,0))+$AC$9</f>
        <v>0.17</v>
      </c>
      <c r="AD135" s="100">
        <f>VLOOKUP($A135,[1]!CurveTable,MATCH($AD$4,[1]!CurveType,0))+$AD$9</f>
        <v>0.17500000000000002</v>
      </c>
      <c r="AE135" s="158">
        <f t="shared" ca="1" si="69"/>
        <v>0.17585372842090613</v>
      </c>
      <c r="AF135" s="4"/>
      <c r="AG135" s="52">
        <f ca="1">((Inputs!$F$20*(X135*AD135)*(A135-$C$3))+(Inputs!$F$19*W135*AC135*(DAY(EOMONTH(A135,0))/2)))/(AN135*Y135*AE135)</f>
        <v>0.74999999999999989</v>
      </c>
      <c r="AH135" s="4"/>
      <c r="AI135" s="18">
        <f>Inputs!$B$15</f>
        <v>0.06</v>
      </c>
      <c r="AJ135" s="46"/>
      <c r="AK135" s="18">
        <f t="shared" si="70"/>
        <v>0.15500000000000075</v>
      </c>
      <c r="AL135" s="46"/>
      <c r="AM135" s="62">
        <f t="shared" si="71"/>
        <v>41912</v>
      </c>
      <c r="AN135" s="63">
        <f t="shared" ca="1" si="72"/>
        <v>4719</v>
      </c>
      <c r="AO135" s="63">
        <f t="shared" si="99"/>
        <v>1</v>
      </c>
      <c r="AP135" s="19"/>
      <c r="AQ135" s="74">
        <f ca="1">_xll.SPRDOPT(U135,AA135,AI135,AX135,X135,AD135,AG135,AN135,AO135,0)</f>
        <v>0.46040281880695116</v>
      </c>
      <c r="AR135" s="47">
        <f t="shared" ca="1" si="79"/>
        <v>0</v>
      </c>
      <c r="AS135" s="135">
        <f t="shared" ca="1" si="80"/>
        <v>0.30540281880695042</v>
      </c>
      <c r="AU135" s="5">
        <f t="shared" si="100"/>
        <v>30</v>
      </c>
      <c r="AV135" s="148">
        <f t="shared" si="73"/>
        <v>41958</v>
      </c>
      <c r="AW135" s="41">
        <f t="shared" ca="1" si="74"/>
        <v>4765</v>
      </c>
      <c r="AX135" s="100">
        <f>VLOOKUP($A135,[1]!CurveTable,MATCH(AX$4,[1]!CurveType,0))</f>
        <v>5.6954705454578501E-2</v>
      </c>
      <c r="AY135" s="149">
        <f ca="1">1/(1+CHOOSE(F$3,(AX136+(Inputs!$B$14/10000))/2,(AX135+(Inputs!$B$14/10000))/2))^(2*AW135/365.25)</f>
        <v>0.48063840349558712</v>
      </c>
      <c r="AZ135" s="41">
        <f t="shared" si="101"/>
        <v>0</v>
      </c>
      <c r="BA135" s="72">
        <f t="shared" si="102"/>
        <v>0</v>
      </c>
      <c r="BC135" s="65">
        <f t="shared" ca="1" si="81"/>
        <v>0</v>
      </c>
      <c r="BD135" s="65">
        <f t="shared" ca="1" si="82"/>
        <v>0</v>
      </c>
      <c r="BE135" s="65">
        <f t="shared" ca="1" si="83"/>
        <v>0</v>
      </c>
      <c r="BF135" s="65">
        <f t="shared" ca="1" si="84"/>
        <v>0</v>
      </c>
      <c r="BG135" s="65">
        <f t="shared" ca="1" si="85"/>
        <v>0</v>
      </c>
      <c r="BH135" s="65">
        <f t="shared" ca="1" si="86"/>
        <v>0</v>
      </c>
      <c r="BI135" s="65">
        <f t="shared" ca="1" si="87"/>
        <v>0</v>
      </c>
      <c r="BJ135" s="65">
        <f t="shared" ca="1" si="88"/>
        <v>0</v>
      </c>
      <c r="BK135" s="65">
        <f t="shared" ca="1" si="89"/>
        <v>0</v>
      </c>
      <c r="BL135" s="65">
        <f t="shared" ca="1" si="90"/>
        <v>0</v>
      </c>
      <c r="BM135" s="65">
        <f t="shared" ca="1" si="91"/>
        <v>0</v>
      </c>
      <c r="BN135" s="65">
        <f t="shared" ca="1" si="92"/>
        <v>0</v>
      </c>
      <c r="BO135" s="65">
        <f t="shared" ca="1" si="93"/>
        <v>0</v>
      </c>
      <c r="BP135" s="65">
        <f t="shared" ca="1" si="94"/>
        <v>0</v>
      </c>
      <c r="BQ135" s="65">
        <f t="shared" ca="1" si="95"/>
        <v>0</v>
      </c>
      <c r="BR135" s="65">
        <f t="shared" ca="1" si="96"/>
        <v>0</v>
      </c>
      <c r="BS135" s="65">
        <f t="shared" ca="1" si="97"/>
        <v>0</v>
      </c>
      <c r="BT135" s="65">
        <f t="shared" ca="1" si="98"/>
        <v>0</v>
      </c>
      <c r="BU135" s="65">
        <f t="shared" ca="1" si="75"/>
        <v>0</v>
      </c>
    </row>
    <row r="136" spans="1:73">
      <c r="A136" s="42">
        <f t="shared" si="76"/>
        <v>41974</v>
      </c>
      <c r="B136" s="30">
        <f>Inputs!$B$8</f>
        <v>50000</v>
      </c>
      <c r="C136" s="17">
        <f t="shared" si="66"/>
        <v>0</v>
      </c>
      <c r="D136" s="17">
        <f t="shared" ca="1" si="67"/>
        <v>0</v>
      </c>
      <c r="E136" s="25">
        <f>VLOOKUP($A136,[1]!CurveTable,MATCH($E$4,[1]!CurveType,0))</f>
        <v>4.9820000000000002</v>
      </c>
      <c r="F136" s="31">
        <f>E136-Inputs!$B$16</f>
        <v>5.0369999999999999</v>
      </c>
      <c r="G136" s="43">
        <f t="shared" si="113"/>
        <v>5.0369999999999999</v>
      </c>
      <c r="H136" s="25">
        <f>VLOOKUP($A136,[1]!CurveTable,MATCH($H$4,[1]!CurveType,0))</f>
        <v>0.26</v>
      </c>
      <c r="I136" s="31">
        <f>H136+Inputs!$B$22</f>
        <v>0.26</v>
      </c>
      <c r="J136" s="44">
        <f t="shared" si="114"/>
        <v>0.26</v>
      </c>
      <c r="K136" s="25">
        <f>VLOOKUP($A136,[1]!CurveTable,MATCH($K$4,[1]!CurveType,0))</f>
        <v>0</v>
      </c>
      <c r="L136" s="31">
        <v>0</v>
      </c>
      <c r="M136" s="45">
        <f t="shared" si="115"/>
        <v>0</v>
      </c>
      <c r="N136" s="25">
        <f>VLOOKUP($A136,[1]!CurveTable,MATCH($N$4,[1]!CurveType,0))</f>
        <v>1.4999999999999999E-2</v>
      </c>
      <c r="O136" s="31">
        <f>N136+Inputs!$E$22</f>
        <v>1.4999999999999999E-2</v>
      </c>
      <c r="P136" s="45">
        <f t="shared" si="116"/>
        <v>1.4999999999999999E-2</v>
      </c>
      <c r="Q136" s="25">
        <f>VLOOKUP($A136,[1]!CurveTable,MATCH($Q$4,[1]!CurveType,0))</f>
        <v>7.4999999999999997E-3</v>
      </c>
      <c r="R136" s="31">
        <v>0</v>
      </c>
      <c r="S136" s="45">
        <f t="shared" si="117"/>
        <v>0</v>
      </c>
      <c r="T136" s="4"/>
      <c r="U136" s="159">
        <f t="shared" si="77"/>
        <v>5.2969999999999997</v>
      </c>
      <c r="V136" s="160"/>
      <c r="W136" s="100">
        <f>VLOOKUP($A136,[1]!CurveTable,MATCH($W$4,[1]!CurveType,0))+$W$9</f>
        <v>0.17</v>
      </c>
      <c r="X136" s="100">
        <f>VLOOKUP($A136,[1]!CurveTable,MATCH($X$4,[1]!CurveType,0))+$X$9</f>
        <v>0.17500000000000002</v>
      </c>
      <c r="Y136" s="158">
        <f t="shared" ca="1" si="68"/>
        <v>0.17583848749409364</v>
      </c>
      <c r="Z136" s="4"/>
      <c r="AA136" s="159">
        <f t="shared" si="78"/>
        <v>5.0519999999999996</v>
      </c>
      <c r="AB136" s="160"/>
      <c r="AC136" s="100">
        <f>VLOOKUP($A136,[1]!CurveTable,MATCH($AC$4,[1]!CurveType,0))+$AC$9</f>
        <v>0.17</v>
      </c>
      <c r="AD136" s="100">
        <f>VLOOKUP($A136,[1]!CurveTable,MATCH($AD$4,[1]!CurveType,0))+$AD$9</f>
        <v>0.17500000000000002</v>
      </c>
      <c r="AE136" s="158">
        <f t="shared" ca="1" si="69"/>
        <v>0.17583848749409364</v>
      </c>
      <c r="AF136" s="4"/>
      <c r="AG136" s="52">
        <f ca="1">((Inputs!$F$20*(X136*AD136)*(A136-$C$3))+(Inputs!$F$19*W136*AC136*(DAY(EOMONTH(A136,0))/2)))/(AN136*Y136*AE136)</f>
        <v>0.75</v>
      </c>
      <c r="AH136" s="4"/>
      <c r="AI136" s="18">
        <f>Inputs!$B$15</f>
        <v>0.06</v>
      </c>
      <c r="AJ136" s="46"/>
      <c r="AK136" s="18">
        <f t="shared" si="70"/>
        <v>0.18500000000000011</v>
      </c>
      <c r="AL136" s="46"/>
      <c r="AM136" s="62">
        <f t="shared" si="71"/>
        <v>41943</v>
      </c>
      <c r="AN136" s="63">
        <f t="shared" ca="1" si="72"/>
        <v>4750</v>
      </c>
      <c r="AO136" s="63">
        <f t="shared" si="99"/>
        <v>1</v>
      </c>
      <c r="AP136" s="19"/>
      <c r="AQ136" s="74">
        <f ca="1">_xll.SPRDOPT(U136,AA136,AI136,AX136,X136,AD136,AG136,AN136,AO136,0)</f>
        <v>0.48076463792361035</v>
      </c>
      <c r="AR136" s="47">
        <f t="shared" ca="1" si="79"/>
        <v>0</v>
      </c>
      <c r="AS136" s="135">
        <f t="shared" ca="1" si="80"/>
        <v>0.29576463792361024</v>
      </c>
      <c r="AU136" s="5">
        <f t="shared" si="100"/>
        <v>31</v>
      </c>
      <c r="AV136" s="148">
        <f t="shared" si="73"/>
        <v>41988</v>
      </c>
      <c r="AW136" s="41">
        <f t="shared" ca="1" si="74"/>
        <v>4795</v>
      </c>
      <c r="AX136" s="100">
        <f>VLOOKUP($A136,[1]!CurveTable,MATCH(AX$4,[1]!CurveType,0))</f>
        <v>5.70110403632915E-2</v>
      </c>
      <c r="AY136" s="149">
        <f ca="1">1/(1+CHOOSE(F$3,(AX137+(Inputs!$B$14/10000))/2,(AX136+(Inputs!$B$14/10000))/2))^(2*AW136/365.25)</f>
        <v>0.47808259791797963</v>
      </c>
      <c r="AZ136" s="41">
        <f t="shared" si="101"/>
        <v>0</v>
      </c>
      <c r="BA136" s="72">
        <f t="shared" si="102"/>
        <v>0</v>
      </c>
      <c r="BC136" s="65">
        <f t="shared" ca="1" si="81"/>
        <v>0</v>
      </c>
      <c r="BD136" s="65">
        <f t="shared" ca="1" si="82"/>
        <v>0</v>
      </c>
      <c r="BE136" s="65">
        <f t="shared" ca="1" si="83"/>
        <v>0</v>
      </c>
      <c r="BF136" s="65">
        <f t="shared" ca="1" si="84"/>
        <v>0</v>
      </c>
      <c r="BG136" s="65">
        <f t="shared" ca="1" si="85"/>
        <v>0</v>
      </c>
      <c r="BH136" s="65">
        <f t="shared" ca="1" si="86"/>
        <v>0</v>
      </c>
      <c r="BI136" s="65">
        <f t="shared" ca="1" si="87"/>
        <v>0</v>
      </c>
      <c r="BJ136" s="65">
        <f t="shared" ca="1" si="88"/>
        <v>0</v>
      </c>
      <c r="BK136" s="65">
        <f t="shared" ca="1" si="89"/>
        <v>0</v>
      </c>
      <c r="BL136" s="65">
        <f t="shared" ca="1" si="90"/>
        <v>0</v>
      </c>
      <c r="BM136" s="65">
        <f t="shared" ca="1" si="91"/>
        <v>0</v>
      </c>
      <c r="BN136" s="65">
        <f t="shared" ca="1" si="92"/>
        <v>0</v>
      </c>
      <c r="BO136" s="65">
        <f t="shared" ca="1" si="93"/>
        <v>0</v>
      </c>
      <c r="BP136" s="65">
        <f t="shared" ca="1" si="94"/>
        <v>0</v>
      </c>
      <c r="BQ136" s="65">
        <f t="shared" ca="1" si="95"/>
        <v>0</v>
      </c>
      <c r="BR136" s="65">
        <f t="shared" ca="1" si="96"/>
        <v>0</v>
      </c>
      <c r="BS136" s="65">
        <f t="shared" ca="1" si="97"/>
        <v>0</v>
      </c>
      <c r="BT136" s="65">
        <f t="shared" ca="1" si="98"/>
        <v>0</v>
      </c>
      <c r="BU136" s="65">
        <f t="shared" ca="1" si="75"/>
        <v>0</v>
      </c>
    </row>
    <row r="137" spans="1:73">
      <c r="A137" s="42">
        <f t="shared" si="76"/>
        <v>42005</v>
      </c>
      <c r="B137" s="30">
        <f>Inputs!$B$8</f>
        <v>50000</v>
      </c>
      <c r="C137" s="17">
        <f t="shared" si="66"/>
        <v>0</v>
      </c>
      <c r="D137" s="17">
        <f t="shared" ca="1" si="67"/>
        <v>0</v>
      </c>
      <c r="E137" s="25">
        <f>VLOOKUP($A137,[1]!CurveTable,MATCH($E$4,[1]!CurveType,0))</f>
        <v>5.0594999999999999</v>
      </c>
      <c r="F137" s="31">
        <f>E137-Inputs!$B$16</f>
        <v>5.1144999999999996</v>
      </c>
      <c r="G137" s="43">
        <f t="shared" si="113"/>
        <v>5.1144999999999996</v>
      </c>
      <c r="H137" s="25">
        <f>VLOOKUP($A137,[1]!CurveTable,MATCH($H$4,[1]!CurveType,0))</f>
        <v>8.5000000000000006E-2</v>
      </c>
      <c r="I137" s="31">
        <f>H137+Inputs!$B$22</f>
        <v>8.5000000000000006E-2</v>
      </c>
      <c r="J137" s="44">
        <f t="shared" si="114"/>
        <v>8.5000000000000006E-2</v>
      </c>
      <c r="K137" s="25">
        <f>VLOOKUP($A137,[1]!CurveTable,MATCH($K$4,[1]!CurveType,0))</f>
        <v>0</v>
      </c>
      <c r="L137" s="31">
        <v>0</v>
      </c>
      <c r="M137" s="45">
        <f t="shared" si="115"/>
        <v>0</v>
      </c>
      <c r="N137" s="25">
        <f>VLOOKUP($A137,[1]!CurveTable,MATCH($N$4,[1]!CurveType,0))</f>
        <v>1.4999999999999999E-2</v>
      </c>
      <c r="O137" s="31">
        <f>N137+Inputs!$E$22</f>
        <v>1.4999999999999999E-2</v>
      </c>
      <c r="P137" s="45">
        <f t="shared" si="116"/>
        <v>1.4999999999999999E-2</v>
      </c>
      <c r="Q137" s="25">
        <f>VLOOKUP($A137,[1]!CurveTable,MATCH($Q$4,[1]!CurveType,0))</f>
        <v>7.4999999999999997E-3</v>
      </c>
      <c r="R137" s="31">
        <v>0</v>
      </c>
      <c r="S137" s="45">
        <f t="shared" si="117"/>
        <v>0</v>
      </c>
      <c r="T137" s="4"/>
      <c r="U137" s="159">
        <f t="shared" si="77"/>
        <v>5.1994999999999996</v>
      </c>
      <c r="V137" s="160"/>
      <c r="W137" s="100">
        <f>VLOOKUP($A137,[1]!CurveTable,MATCH($W$4,[1]!CurveType,0))+$W$9</f>
        <v>0.17</v>
      </c>
      <c r="X137" s="100">
        <f>VLOOKUP($A137,[1]!CurveTable,MATCH($X$4,[1]!CurveType,0))+$X$9</f>
        <v>0.17500000000000002</v>
      </c>
      <c r="Y137" s="158">
        <f t="shared" ca="1" si="68"/>
        <v>0.17585145523885617</v>
      </c>
      <c r="Z137" s="4"/>
      <c r="AA137" s="159">
        <f t="shared" si="78"/>
        <v>5.1294999999999993</v>
      </c>
      <c r="AB137" s="160"/>
      <c r="AC137" s="100">
        <f>VLOOKUP($A137,[1]!CurveTable,MATCH($AC$4,[1]!CurveType,0))+$AC$9</f>
        <v>0.17</v>
      </c>
      <c r="AD137" s="100">
        <f>VLOOKUP($A137,[1]!CurveTable,MATCH($AD$4,[1]!CurveType,0))+$AD$9</f>
        <v>0.17500000000000002</v>
      </c>
      <c r="AE137" s="158">
        <f t="shared" ca="1" si="69"/>
        <v>0.17585145523885617</v>
      </c>
      <c r="AF137" s="4"/>
      <c r="AG137" s="52">
        <f ca="1">((Inputs!$F$20*(X137*AD137)*(A137-$C$3))+(Inputs!$F$19*W137*AC137*(DAY(EOMONTH(A137,0))/2)))/(AN137*Y137*AE137)</f>
        <v>0.75</v>
      </c>
      <c r="AH137" s="4"/>
      <c r="AI137" s="18">
        <f>Inputs!$B$15</f>
        <v>0.06</v>
      </c>
      <c r="AJ137" s="46"/>
      <c r="AK137" s="18">
        <f t="shared" si="70"/>
        <v>1.0000000000000286E-2</v>
      </c>
      <c r="AL137" s="46"/>
      <c r="AM137" s="62">
        <f t="shared" si="71"/>
        <v>41973</v>
      </c>
      <c r="AN137" s="63">
        <f t="shared" ca="1" si="72"/>
        <v>4780</v>
      </c>
      <c r="AO137" s="63">
        <f t="shared" si="99"/>
        <v>1</v>
      </c>
      <c r="AP137" s="19"/>
      <c r="AQ137" s="74">
        <f ca="1">_xll.SPRDOPT(U137,AA137,AI137,AX137,X137,AD137,AG137,AN137,AO137,0)</f>
        <v>0.43585503086128402</v>
      </c>
      <c r="AR137" s="47">
        <f t="shared" ca="1" si="79"/>
        <v>0</v>
      </c>
      <c r="AS137" s="135">
        <f t="shared" ca="1" si="80"/>
        <v>0.42585503086128373</v>
      </c>
      <c r="AU137" s="5">
        <f t="shared" si="100"/>
        <v>31</v>
      </c>
      <c r="AV137" s="148">
        <f t="shared" si="73"/>
        <v>42019</v>
      </c>
      <c r="AW137" s="41">
        <f t="shared" ca="1" si="74"/>
        <v>4826</v>
      </c>
      <c r="AX137" s="100">
        <f>VLOOKUP($A137,[1]!CurveTable,MATCH(AX$4,[1]!CurveType,0))</f>
        <v>5.7069253103404702E-2</v>
      </c>
      <c r="AY137" s="149">
        <f ca="1">1/(1+CHOOSE(F$3,(AX138+(Inputs!$B$14/10000))/2,(AX137+(Inputs!$B$14/10000))/2))^(2*AW137/365.25)</f>
        <v>0.475451391169812</v>
      </c>
      <c r="AZ137" s="41">
        <f t="shared" si="101"/>
        <v>0</v>
      </c>
      <c r="BA137" s="72">
        <f t="shared" si="102"/>
        <v>0</v>
      </c>
      <c r="BC137" s="65">
        <f t="shared" ca="1" si="81"/>
        <v>0</v>
      </c>
      <c r="BD137" s="65">
        <f t="shared" ca="1" si="82"/>
        <v>0</v>
      </c>
      <c r="BE137" s="65">
        <f t="shared" ca="1" si="83"/>
        <v>0</v>
      </c>
      <c r="BF137" s="65">
        <f t="shared" ca="1" si="84"/>
        <v>0</v>
      </c>
      <c r="BG137" s="65">
        <f t="shared" ca="1" si="85"/>
        <v>0</v>
      </c>
      <c r="BH137" s="65">
        <f t="shared" ca="1" si="86"/>
        <v>0</v>
      </c>
      <c r="BI137" s="65">
        <f t="shared" ca="1" si="87"/>
        <v>0</v>
      </c>
      <c r="BJ137" s="65">
        <f t="shared" ca="1" si="88"/>
        <v>0</v>
      </c>
      <c r="BK137" s="65">
        <f t="shared" ca="1" si="89"/>
        <v>0</v>
      </c>
      <c r="BL137" s="65">
        <f t="shared" ca="1" si="90"/>
        <v>0</v>
      </c>
      <c r="BM137" s="65">
        <f t="shared" ca="1" si="91"/>
        <v>0</v>
      </c>
      <c r="BN137" s="65">
        <f t="shared" ca="1" si="92"/>
        <v>0</v>
      </c>
      <c r="BO137" s="65">
        <f t="shared" ca="1" si="93"/>
        <v>0</v>
      </c>
      <c r="BP137" s="65">
        <f t="shared" ca="1" si="94"/>
        <v>0</v>
      </c>
      <c r="BQ137" s="65">
        <f t="shared" ca="1" si="95"/>
        <v>0</v>
      </c>
      <c r="BR137" s="65">
        <f t="shared" ca="1" si="96"/>
        <v>0</v>
      </c>
      <c r="BS137" s="65">
        <f t="shared" ca="1" si="97"/>
        <v>0</v>
      </c>
      <c r="BT137" s="65">
        <f t="shared" ca="1" si="98"/>
        <v>0</v>
      </c>
      <c r="BU137" s="65">
        <f t="shared" ca="1" si="75"/>
        <v>0</v>
      </c>
    </row>
    <row r="138" spans="1:73">
      <c r="A138" s="42">
        <f t="shared" si="76"/>
        <v>42036</v>
      </c>
      <c r="B138" s="30">
        <f>Inputs!$B$8</f>
        <v>50000</v>
      </c>
      <c r="C138" s="17">
        <f t="shared" ref="C138:C201" si="118">IF(AZ138=0,0,IF(AND(AZ138=1,$H$3=1),B138*AU138,IF($H$3=2,B138,"N/A")))</f>
        <v>0</v>
      </c>
      <c r="D138" s="17">
        <f t="shared" ref="D138:D201" ca="1" si="119">C138*AY138</f>
        <v>0</v>
      </c>
      <c r="E138" s="25">
        <f>VLOOKUP($A138,[1]!CurveTable,MATCH($E$4,[1]!CurveType,0))</f>
        <v>4.9725000000000001</v>
      </c>
      <c r="F138" s="31">
        <f>E138-Inputs!$B$16</f>
        <v>5.0274999999999999</v>
      </c>
      <c r="G138" s="43">
        <f t="shared" si="113"/>
        <v>5.0274999999999999</v>
      </c>
      <c r="H138" s="25">
        <f>VLOOKUP($A138,[1]!CurveTable,MATCH($H$4,[1]!CurveType,0))</f>
        <v>7.4999999999999997E-2</v>
      </c>
      <c r="I138" s="31">
        <f>H138+Inputs!$B$22</f>
        <v>7.4999999999999997E-2</v>
      </c>
      <c r="J138" s="44">
        <f t="shared" si="114"/>
        <v>7.4999999999999997E-2</v>
      </c>
      <c r="K138" s="25">
        <f>VLOOKUP($A138,[1]!CurveTable,MATCH($K$4,[1]!CurveType,0))</f>
        <v>0</v>
      </c>
      <c r="L138" s="31">
        <v>0</v>
      </c>
      <c r="M138" s="45">
        <f t="shared" si="115"/>
        <v>0</v>
      </c>
      <c r="N138" s="25">
        <f>VLOOKUP($A138,[1]!CurveTable,MATCH($N$4,[1]!CurveType,0))</f>
        <v>1.4999999999999999E-2</v>
      </c>
      <c r="O138" s="31">
        <f>N138+Inputs!$E$22</f>
        <v>1.4999999999999999E-2</v>
      </c>
      <c r="P138" s="45">
        <f t="shared" si="116"/>
        <v>1.4999999999999999E-2</v>
      </c>
      <c r="Q138" s="25">
        <f>VLOOKUP($A138,[1]!CurveTable,MATCH($Q$4,[1]!CurveType,0))</f>
        <v>7.4999999999999997E-3</v>
      </c>
      <c r="R138" s="31">
        <v>0</v>
      </c>
      <c r="S138" s="45">
        <f t="shared" si="117"/>
        <v>0</v>
      </c>
      <c r="T138" s="4"/>
      <c r="U138" s="159">
        <f t="shared" si="77"/>
        <v>5.1025</v>
      </c>
      <c r="V138" s="160"/>
      <c r="W138" s="100">
        <f>VLOOKUP($A138,[1]!CurveTable,MATCH($W$4,[1]!CurveType,0))+$W$9</f>
        <v>0.17</v>
      </c>
      <c r="X138" s="100">
        <f>VLOOKUP($A138,[1]!CurveTable,MATCH($X$4,[1]!CurveType,0))+$X$9</f>
        <v>0.17500000000000002</v>
      </c>
      <c r="Y138" s="158">
        <f t="shared" ref="Y138:Y201" ca="1" si="120">SQRT((X138^2*($A138-$C$3)+W138^2*(DAY(EOMONTH(A138,0))/2))/$AN138)</f>
        <v>0.17582035944232804</v>
      </c>
      <c r="Z138" s="4"/>
      <c r="AA138" s="159">
        <f t="shared" si="78"/>
        <v>5.0424999999999995</v>
      </c>
      <c r="AB138" s="160"/>
      <c r="AC138" s="100">
        <f>VLOOKUP($A138,[1]!CurveTable,MATCH($AC$4,[1]!CurveType,0))+$AC$9</f>
        <v>0.17</v>
      </c>
      <c r="AD138" s="100">
        <f>VLOOKUP($A138,[1]!CurveTable,MATCH($AD$4,[1]!CurveType,0))+$AD$9</f>
        <v>0.17500000000000002</v>
      </c>
      <c r="AE138" s="158">
        <f t="shared" ref="AE138:AE201" ca="1" si="121">SQRT((AD138^2*($A138-$C$3)+AC138^2*(DAY(EOMONTH(A138,0))/2))/$AN138)</f>
        <v>0.17582035944232804</v>
      </c>
      <c r="AF138" s="4"/>
      <c r="AG138" s="52">
        <f ca="1">((Inputs!$F$20*(X138*AD138)*(A138-$C$3))+(Inputs!$F$19*W138*AC138*(DAY(EOMONTH(A138,0))/2)))/(AN138*Y138*AE138)</f>
        <v>0.75000000000000011</v>
      </c>
      <c r="AH138" s="4"/>
      <c r="AI138" s="18">
        <f>Inputs!$B$15</f>
        <v>0.06</v>
      </c>
      <c r="AJ138" s="46"/>
      <c r="AK138" s="18">
        <f t="shared" ref="AK138:AK201" si="122">IF((U138-AA138-AI138)&lt;0,0,(U138-AA138-AI138))</f>
        <v>4.9960036108132044E-16</v>
      </c>
      <c r="AL138" s="46"/>
      <c r="AM138" s="62">
        <f t="shared" ref="AM138:AM201" si="123">WORKDAY(EOMONTH(A138-1,-1),0)</f>
        <v>42004</v>
      </c>
      <c r="AN138" s="63">
        <f t="shared" ref="AN138:AN201" ca="1" si="124">AM138-$C$3</f>
        <v>4811</v>
      </c>
      <c r="AO138" s="63">
        <f t="shared" si="99"/>
        <v>1</v>
      </c>
      <c r="AP138" s="19"/>
      <c r="AQ138" s="74">
        <f ca="1">_xll.SPRDOPT(U138,AA138,AI138,AX138,X138,AD138,AG138,AN138,AO138,0)</f>
        <v>0.42472913490530151</v>
      </c>
      <c r="AR138" s="47">
        <f t="shared" ca="1" si="79"/>
        <v>0</v>
      </c>
      <c r="AS138" s="135">
        <f t="shared" ca="1" si="80"/>
        <v>0.42472913490530101</v>
      </c>
      <c r="AU138" s="5">
        <f t="shared" si="100"/>
        <v>28</v>
      </c>
      <c r="AV138" s="148">
        <f t="shared" ref="AV138:AV201" si="125">CHOOSE(F$3,A139+24,A138+14)</f>
        <v>42050</v>
      </c>
      <c r="AW138" s="41">
        <f t="shared" ref="AW138:AW201" ca="1" si="126">AV138-C$3</f>
        <v>4857</v>
      </c>
      <c r="AX138" s="100">
        <f>VLOOKUP($A138,[1]!CurveTable,MATCH(AX$4,[1]!CurveType,0))</f>
        <v>5.7127465844645002E-2</v>
      </c>
      <c r="AY138" s="149">
        <f ca="1">1/(1+CHOOSE(F$3,(AX139+(Inputs!$B$14/10000))/2,(AX138+(Inputs!$B$14/10000))/2))^(2*AW138/365.25)</f>
        <v>0.47283013306836102</v>
      </c>
      <c r="AZ138" s="41">
        <f t="shared" si="101"/>
        <v>0</v>
      </c>
      <c r="BA138" s="72">
        <f t="shared" si="102"/>
        <v>0</v>
      </c>
      <c r="BC138" s="65">
        <f t="shared" ca="1" si="81"/>
        <v>0</v>
      </c>
      <c r="BD138" s="65">
        <f t="shared" ca="1" si="82"/>
        <v>0</v>
      </c>
      <c r="BE138" s="65">
        <f t="shared" ca="1" si="83"/>
        <v>0</v>
      </c>
      <c r="BF138" s="65">
        <f t="shared" ca="1" si="84"/>
        <v>0</v>
      </c>
      <c r="BG138" s="65">
        <f t="shared" ca="1" si="85"/>
        <v>0</v>
      </c>
      <c r="BH138" s="65">
        <f t="shared" ca="1" si="86"/>
        <v>0</v>
      </c>
      <c r="BI138" s="65">
        <f t="shared" ca="1" si="87"/>
        <v>0</v>
      </c>
      <c r="BJ138" s="65">
        <f t="shared" ca="1" si="88"/>
        <v>0</v>
      </c>
      <c r="BK138" s="65">
        <f t="shared" ca="1" si="89"/>
        <v>0</v>
      </c>
      <c r="BL138" s="65">
        <f t="shared" ca="1" si="90"/>
        <v>0</v>
      </c>
      <c r="BM138" s="65">
        <f t="shared" ca="1" si="91"/>
        <v>0</v>
      </c>
      <c r="BN138" s="65">
        <f t="shared" ca="1" si="92"/>
        <v>0</v>
      </c>
      <c r="BO138" s="65">
        <f t="shared" ca="1" si="93"/>
        <v>0</v>
      </c>
      <c r="BP138" s="65">
        <f t="shared" ca="1" si="94"/>
        <v>0</v>
      </c>
      <c r="BQ138" s="65">
        <f t="shared" ca="1" si="95"/>
        <v>0</v>
      </c>
      <c r="BR138" s="65">
        <f t="shared" ca="1" si="96"/>
        <v>0</v>
      </c>
      <c r="BS138" s="65">
        <f t="shared" ca="1" si="97"/>
        <v>0</v>
      </c>
      <c r="BT138" s="65">
        <f t="shared" ca="1" si="98"/>
        <v>0</v>
      </c>
      <c r="BU138" s="65">
        <f t="shared" ref="BU138:BU201" ca="1" si="127">AK138*D138</f>
        <v>0</v>
      </c>
    </row>
    <row r="139" spans="1:73">
      <c r="A139" s="42">
        <f t="shared" ref="A139:A202" si="128">EDATE(A138,1)</f>
        <v>42064</v>
      </c>
      <c r="B139" s="30">
        <f>Inputs!$B$8</f>
        <v>50000</v>
      </c>
      <c r="C139" s="17">
        <f t="shared" si="118"/>
        <v>0</v>
      </c>
      <c r="D139" s="17">
        <f t="shared" ca="1" si="119"/>
        <v>0</v>
      </c>
      <c r="E139" s="25">
        <f>VLOOKUP($A139,[1]!CurveTable,MATCH($E$4,[1]!CurveType,0))</f>
        <v>4.8334999999999999</v>
      </c>
      <c r="F139" s="31">
        <f>E139-Inputs!$B$16</f>
        <v>4.8884999999999996</v>
      </c>
      <c r="G139" s="43">
        <f t="shared" si="113"/>
        <v>4.8884999999999996</v>
      </c>
      <c r="H139" s="25">
        <f>VLOOKUP($A139,[1]!CurveTable,MATCH($H$4,[1]!CurveType,0))</f>
        <v>0.115</v>
      </c>
      <c r="I139" s="31">
        <f>H139+Inputs!$B$22</f>
        <v>0.115</v>
      </c>
      <c r="J139" s="44">
        <f t="shared" si="114"/>
        <v>0.115</v>
      </c>
      <c r="K139" s="25">
        <f>VLOOKUP($A139,[1]!CurveTable,MATCH($K$4,[1]!CurveType,0))</f>
        <v>0</v>
      </c>
      <c r="L139" s="31">
        <v>0</v>
      </c>
      <c r="M139" s="45">
        <f t="shared" si="115"/>
        <v>0</v>
      </c>
      <c r="N139" s="25">
        <f>VLOOKUP($A139,[1]!CurveTable,MATCH($N$4,[1]!CurveType,0))</f>
        <v>1.9E-2</v>
      </c>
      <c r="O139" s="31">
        <f>N139+Inputs!$E$22</f>
        <v>1.9E-2</v>
      </c>
      <c r="P139" s="45">
        <f t="shared" si="116"/>
        <v>1.9E-2</v>
      </c>
      <c r="Q139" s="25">
        <f>VLOOKUP($A139,[1]!CurveTable,MATCH($Q$4,[1]!CurveType,0))</f>
        <v>7.4999999999999997E-3</v>
      </c>
      <c r="R139" s="31">
        <v>0</v>
      </c>
      <c r="S139" s="45">
        <f t="shared" si="117"/>
        <v>0</v>
      </c>
      <c r="T139" s="4"/>
      <c r="U139" s="159">
        <f t="shared" ref="U139:U202" si="129">G139+J139</f>
        <v>5.0034999999999998</v>
      </c>
      <c r="V139" s="160"/>
      <c r="W139" s="100">
        <f>VLOOKUP($A139,[1]!CurveTable,MATCH($W$4,[1]!CurveType,0))+$W$9</f>
        <v>0.17</v>
      </c>
      <c r="X139" s="100">
        <f>VLOOKUP($A139,[1]!CurveTable,MATCH($X$4,[1]!CurveType,0))+$X$9</f>
        <v>0.17500000000000002</v>
      </c>
      <c r="Y139" s="158">
        <f t="shared" ca="1" si="120"/>
        <v>0.17578661647345473</v>
      </c>
      <c r="Z139" s="4"/>
      <c r="AA139" s="159">
        <f t="shared" ref="AA139:AA202" si="130">G139+P139+S139</f>
        <v>4.9074999999999998</v>
      </c>
      <c r="AB139" s="160"/>
      <c r="AC139" s="100">
        <f>VLOOKUP($A139,[1]!CurveTable,MATCH($AC$4,[1]!CurveType,0))+$AC$9</f>
        <v>0.17</v>
      </c>
      <c r="AD139" s="100">
        <f>VLOOKUP($A139,[1]!CurveTable,MATCH($AD$4,[1]!CurveType,0))+$AD$9</f>
        <v>0.17500000000000002</v>
      </c>
      <c r="AE139" s="158">
        <f t="shared" ca="1" si="121"/>
        <v>0.17578661647345473</v>
      </c>
      <c r="AF139" s="4"/>
      <c r="AG139" s="52">
        <f ca="1">((Inputs!$F$20*(X139*AD139)*(A139-$C$3))+(Inputs!$F$19*W139*AC139*(DAY(EOMONTH(A139,0))/2)))/(AN139*Y139*AE139)</f>
        <v>0.75</v>
      </c>
      <c r="AH139" s="4"/>
      <c r="AI139" s="18">
        <f>Inputs!$B$15</f>
        <v>0.06</v>
      </c>
      <c r="AJ139" s="46"/>
      <c r="AK139" s="18">
        <f t="shared" si="122"/>
        <v>3.6000000000000087E-2</v>
      </c>
      <c r="AL139" s="46"/>
      <c r="AM139" s="62">
        <f t="shared" si="123"/>
        <v>42035</v>
      </c>
      <c r="AN139" s="63">
        <f t="shared" ca="1" si="124"/>
        <v>4842</v>
      </c>
      <c r="AO139" s="63">
        <f t="shared" si="99"/>
        <v>1</v>
      </c>
      <c r="AP139" s="19"/>
      <c r="AQ139" s="74">
        <f ca="1">_xll.SPRDOPT(U139,AA139,AI139,AX139,X139,AD139,AG139,AN139,AO139,0)</f>
        <v>0.422429038505368</v>
      </c>
      <c r="AR139" s="47">
        <f t="shared" ref="AR139:AR202" ca="1" si="131">AQ139*C139</f>
        <v>0</v>
      </c>
      <c r="AS139" s="135">
        <f t="shared" ref="AS139:AS202" ca="1" si="132">AQ139-AK139</f>
        <v>0.38642903850536792</v>
      </c>
      <c r="AU139" s="5">
        <f t="shared" si="100"/>
        <v>31</v>
      </c>
      <c r="AV139" s="148">
        <f t="shared" si="125"/>
        <v>42078</v>
      </c>
      <c r="AW139" s="41">
        <f t="shared" ca="1" si="126"/>
        <v>4885</v>
      </c>
      <c r="AX139" s="100">
        <f>VLOOKUP($A139,[1]!CurveTable,MATCH(AX$4,[1]!CurveType,0))</f>
        <v>5.71800450957669E-2</v>
      </c>
      <c r="AY139" s="149">
        <f ca="1">1/(1+CHOOSE(F$3,(AX140+(Inputs!$B$14/10000))/2,(AX139+(Inputs!$B$14/10000))/2))^(2*AW139/365.25)</f>
        <v>0.47047109240786528</v>
      </c>
      <c r="AZ139" s="41">
        <f t="shared" si="101"/>
        <v>0</v>
      </c>
      <c r="BA139" s="72">
        <f t="shared" si="102"/>
        <v>0</v>
      </c>
      <c r="BC139" s="65">
        <f t="shared" ref="BC139:BC202" ca="1" si="133">E139*$D139</f>
        <v>0</v>
      </c>
      <c r="BD139" s="65">
        <f t="shared" ref="BD139:BD202" ca="1" si="134">F139*$D139</f>
        <v>0</v>
      </c>
      <c r="BE139" s="65">
        <f t="shared" ref="BE139:BE202" ca="1" si="135">G139*$D139</f>
        <v>0</v>
      </c>
      <c r="BF139" s="65">
        <f t="shared" ref="BF139:BF202" ca="1" si="136">H139*$D139</f>
        <v>0</v>
      </c>
      <c r="BG139" s="65">
        <f t="shared" ref="BG139:BG202" ca="1" si="137">I139*$D139</f>
        <v>0</v>
      </c>
      <c r="BH139" s="65">
        <f t="shared" ref="BH139:BH202" ca="1" si="138">J139*$D139</f>
        <v>0</v>
      </c>
      <c r="BI139" s="65">
        <f t="shared" ref="BI139:BI202" ca="1" si="139">K139*$D139</f>
        <v>0</v>
      </c>
      <c r="BJ139" s="65">
        <f t="shared" ref="BJ139:BJ202" ca="1" si="140">L139*$D139</f>
        <v>0</v>
      </c>
      <c r="BK139" s="65">
        <f t="shared" ref="BK139:BK202" ca="1" si="141">M139*$D139</f>
        <v>0</v>
      </c>
      <c r="BL139" s="65">
        <f t="shared" ref="BL139:BL202" ca="1" si="142">N139*$D139</f>
        <v>0</v>
      </c>
      <c r="BM139" s="65">
        <f t="shared" ref="BM139:BM202" ca="1" si="143">O139*$D139</f>
        <v>0</v>
      </c>
      <c r="BN139" s="65">
        <f t="shared" ref="BN139:BN202" ca="1" si="144">P139*$D139</f>
        <v>0</v>
      </c>
      <c r="BO139" s="65">
        <f t="shared" ref="BO139:BO202" ca="1" si="145">Q139*$D139</f>
        <v>0</v>
      </c>
      <c r="BP139" s="65">
        <f t="shared" ref="BP139:BP202" ca="1" si="146">R139*$D139</f>
        <v>0</v>
      </c>
      <c r="BQ139" s="65">
        <f t="shared" ref="BQ139:BQ202" ca="1" si="147">S139*$D139</f>
        <v>0</v>
      </c>
      <c r="BR139" s="65">
        <f t="shared" ref="BR139:BR202" ca="1" si="148">U139*$D139</f>
        <v>0</v>
      </c>
      <c r="BS139" s="65">
        <f t="shared" ref="BS139:BS202" ca="1" si="149">AA139*$D139</f>
        <v>0</v>
      </c>
      <c r="BT139" s="65">
        <f t="shared" ref="BT139:BT202" ca="1" si="150">AI139*$D139</f>
        <v>0</v>
      </c>
      <c r="BU139" s="65">
        <f t="shared" ca="1" si="127"/>
        <v>0</v>
      </c>
    </row>
    <row r="140" spans="1:73">
      <c r="A140" s="42">
        <f t="shared" si="128"/>
        <v>42095</v>
      </c>
      <c r="B140" s="30">
        <f>Inputs!$B$8</f>
        <v>50000</v>
      </c>
      <c r="C140" s="17">
        <f t="shared" si="118"/>
        <v>0</v>
      </c>
      <c r="D140" s="17">
        <f t="shared" ca="1" si="119"/>
        <v>0</v>
      </c>
      <c r="E140" s="25">
        <f>VLOOKUP($A140,[1]!CurveTable,MATCH($E$4,[1]!CurveType,0))</f>
        <v>4.6795</v>
      </c>
      <c r="F140" s="31">
        <f>E140-Inputs!$B$16</f>
        <v>4.7344999999999997</v>
      </c>
      <c r="G140" s="43">
        <f t="shared" si="113"/>
        <v>4.7344999999999997</v>
      </c>
      <c r="H140" s="25">
        <f>VLOOKUP($A140,[1]!CurveTable,MATCH($H$4,[1]!CurveType,0))</f>
        <v>0.55000000000000004</v>
      </c>
      <c r="I140" s="31">
        <f>H140+Inputs!$B$22</f>
        <v>0.55000000000000004</v>
      </c>
      <c r="J140" s="44">
        <f t="shared" si="114"/>
        <v>0.55000000000000004</v>
      </c>
      <c r="K140" s="25">
        <f>VLOOKUP($A140,[1]!CurveTable,MATCH($K$4,[1]!CurveType,0))</f>
        <v>0</v>
      </c>
      <c r="L140" s="31">
        <v>0</v>
      </c>
      <c r="M140" s="45">
        <f t="shared" si="115"/>
        <v>0</v>
      </c>
      <c r="N140" s="25">
        <f>VLOOKUP($A140,[1]!CurveTable,MATCH($N$4,[1]!CurveType,0))</f>
        <v>1.9E-2</v>
      </c>
      <c r="O140" s="31">
        <f>N140+Inputs!$E$22</f>
        <v>1.9E-2</v>
      </c>
      <c r="P140" s="45">
        <f t="shared" si="116"/>
        <v>1.9E-2</v>
      </c>
      <c r="Q140" s="25">
        <f>VLOOKUP($A140,[1]!CurveTable,MATCH($Q$4,[1]!CurveType,0))</f>
        <v>0.01</v>
      </c>
      <c r="R140" s="31">
        <v>0</v>
      </c>
      <c r="S140" s="45">
        <f t="shared" si="117"/>
        <v>0</v>
      </c>
      <c r="T140" s="4"/>
      <c r="U140" s="159">
        <f t="shared" si="129"/>
        <v>5.2844999999999995</v>
      </c>
      <c r="V140" s="160"/>
      <c r="W140" s="100">
        <f>VLOOKUP($A140,[1]!CurveTable,MATCH($W$4,[1]!CurveType,0))+$W$9</f>
        <v>0.17</v>
      </c>
      <c r="X140" s="100">
        <f>VLOOKUP($A140,[1]!CurveTable,MATCH($X$4,[1]!CurveType,0))+$X$9</f>
        <v>0.17500000000000002</v>
      </c>
      <c r="Y140" s="158">
        <f t="shared" ca="1" si="120"/>
        <v>0.17582731985266353</v>
      </c>
      <c r="Z140" s="4"/>
      <c r="AA140" s="159">
        <f t="shared" si="130"/>
        <v>4.7534999999999998</v>
      </c>
      <c r="AB140" s="160"/>
      <c r="AC140" s="100">
        <f>VLOOKUP($A140,[1]!CurveTable,MATCH($AC$4,[1]!CurveType,0))+$AC$9</f>
        <v>0.17</v>
      </c>
      <c r="AD140" s="100">
        <f>VLOOKUP($A140,[1]!CurveTable,MATCH($AD$4,[1]!CurveType,0))+$AD$9</f>
        <v>0.17500000000000002</v>
      </c>
      <c r="AE140" s="158">
        <f t="shared" ca="1" si="121"/>
        <v>0.17582731985266353</v>
      </c>
      <c r="AF140" s="4"/>
      <c r="AG140" s="52">
        <f ca="1">((Inputs!$F$20*(X140*AD140)*(A140-$C$3))+(Inputs!$F$19*W140*AC140*(DAY(EOMONTH(A140,0))/2)))/(AN140*Y140*AE140)</f>
        <v>0.74999999999999989</v>
      </c>
      <c r="AH140" s="4"/>
      <c r="AI140" s="18">
        <f>Inputs!$B$15</f>
        <v>0.06</v>
      </c>
      <c r="AJ140" s="46"/>
      <c r="AK140" s="18">
        <f t="shared" si="122"/>
        <v>0.4709999999999997</v>
      </c>
      <c r="AL140" s="46"/>
      <c r="AM140" s="62">
        <f t="shared" si="123"/>
        <v>42063</v>
      </c>
      <c r="AN140" s="63">
        <f t="shared" ca="1" si="124"/>
        <v>4870</v>
      </c>
      <c r="AO140" s="63">
        <f t="shared" ref="AO140:AO203" si="151">AO139</f>
        <v>1</v>
      </c>
      <c r="AP140" s="19"/>
      <c r="AQ140" s="74">
        <f ca="1">_xll.SPRDOPT(U140,AA140,AI140,AX140,X140,AD140,AG140,AN140,AO140,0)</f>
        <v>0.53684310144797009</v>
      </c>
      <c r="AR140" s="47">
        <f t="shared" ca="1" si="131"/>
        <v>0</v>
      </c>
      <c r="AS140" s="135">
        <f t="shared" ca="1" si="132"/>
        <v>6.5843101447970398E-2</v>
      </c>
      <c r="AU140" s="5">
        <f t="shared" si="100"/>
        <v>30</v>
      </c>
      <c r="AV140" s="148">
        <f t="shared" si="125"/>
        <v>42109</v>
      </c>
      <c r="AW140" s="41">
        <f t="shared" ca="1" si="126"/>
        <v>4916</v>
      </c>
      <c r="AX140" s="100">
        <f>VLOOKUP($A140,[1]!CurveTable,MATCH(AX$4,[1]!CurveType,0))</f>
        <v>5.7238257839152998E-2</v>
      </c>
      <c r="AY140" s="149">
        <f ca="1">1/(1+CHOOSE(F$3,(AX141+(Inputs!$B$14/10000))/2,(AX140+(Inputs!$B$14/10000))/2))^(2*AW140/365.25)</f>
        <v>0.46786875606257999</v>
      </c>
      <c r="AZ140" s="41">
        <f t="shared" si="101"/>
        <v>0</v>
      </c>
      <c r="BA140" s="72">
        <f t="shared" si="102"/>
        <v>0</v>
      </c>
      <c r="BC140" s="65">
        <f t="shared" ca="1" si="133"/>
        <v>0</v>
      </c>
      <c r="BD140" s="65">
        <f t="shared" ca="1" si="134"/>
        <v>0</v>
      </c>
      <c r="BE140" s="65">
        <f t="shared" ca="1" si="135"/>
        <v>0</v>
      </c>
      <c r="BF140" s="65">
        <f t="shared" ca="1" si="136"/>
        <v>0</v>
      </c>
      <c r="BG140" s="65">
        <f t="shared" ca="1" si="137"/>
        <v>0</v>
      </c>
      <c r="BH140" s="65">
        <f t="shared" ca="1" si="138"/>
        <v>0</v>
      </c>
      <c r="BI140" s="65">
        <f t="shared" ca="1" si="139"/>
        <v>0</v>
      </c>
      <c r="BJ140" s="65">
        <f t="shared" ca="1" si="140"/>
        <v>0</v>
      </c>
      <c r="BK140" s="65">
        <f t="shared" ca="1" si="141"/>
        <v>0</v>
      </c>
      <c r="BL140" s="65">
        <f t="shared" ca="1" si="142"/>
        <v>0</v>
      </c>
      <c r="BM140" s="65">
        <f t="shared" ca="1" si="143"/>
        <v>0</v>
      </c>
      <c r="BN140" s="65">
        <f t="shared" ca="1" si="144"/>
        <v>0</v>
      </c>
      <c r="BO140" s="65">
        <f t="shared" ca="1" si="145"/>
        <v>0</v>
      </c>
      <c r="BP140" s="65">
        <f t="shared" ca="1" si="146"/>
        <v>0</v>
      </c>
      <c r="BQ140" s="65">
        <f t="shared" ca="1" si="147"/>
        <v>0</v>
      </c>
      <c r="BR140" s="65">
        <f t="shared" ca="1" si="148"/>
        <v>0</v>
      </c>
      <c r="BS140" s="65">
        <f t="shared" ca="1" si="149"/>
        <v>0</v>
      </c>
      <c r="BT140" s="65">
        <f t="shared" ca="1" si="150"/>
        <v>0</v>
      </c>
      <c r="BU140" s="65">
        <f t="shared" ca="1" si="127"/>
        <v>0</v>
      </c>
    </row>
    <row r="141" spans="1:73">
      <c r="A141" s="42">
        <f t="shared" si="128"/>
        <v>42125</v>
      </c>
      <c r="B141" s="30">
        <f>Inputs!$B$8</f>
        <v>50000</v>
      </c>
      <c r="C141" s="17">
        <f t="shared" si="118"/>
        <v>0</v>
      </c>
      <c r="D141" s="17">
        <f t="shared" ca="1" si="119"/>
        <v>0</v>
      </c>
      <c r="E141" s="25">
        <f>VLOOKUP($A141,[1]!CurveTable,MATCH($E$4,[1]!CurveType,0))</f>
        <v>4.6844999999999999</v>
      </c>
      <c r="F141" s="31">
        <f>E141-Inputs!$B$16</f>
        <v>4.7394999999999996</v>
      </c>
      <c r="G141" s="43">
        <f t="shared" si="113"/>
        <v>4.7394999999999996</v>
      </c>
      <c r="H141" s="25">
        <f>VLOOKUP($A141,[1]!CurveTable,MATCH($H$4,[1]!CurveType,0))</f>
        <v>0.7</v>
      </c>
      <c r="I141" s="31">
        <f>H141+Inputs!$B$22</f>
        <v>0.7</v>
      </c>
      <c r="J141" s="44">
        <f t="shared" si="114"/>
        <v>0.7</v>
      </c>
      <c r="K141" s="25">
        <f>VLOOKUP($A141,[1]!CurveTable,MATCH($K$4,[1]!CurveType,0))</f>
        <v>0</v>
      </c>
      <c r="L141" s="31">
        <v>0</v>
      </c>
      <c r="M141" s="45">
        <f t="shared" si="115"/>
        <v>0</v>
      </c>
      <c r="N141" s="25">
        <f>VLOOKUP($A141,[1]!CurveTable,MATCH($N$4,[1]!CurveType,0))</f>
        <v>2.1500000000000002E-2</v>
      </c>
      <c r="O141" s="31">
        <f>N141+Inputs!$E$22</f>
        <v>2.1500000000000002E-2</v>
      </c>
      <c r="P141" s="45">
        <f t="shared" si="116"/>
        <v>2.1500000000000002E-2</v>
      </c>
      <c r="Q141" s="25">
        <f>VLOOKUP($A141,[1]!CurveTable,MATCH($Q$4,[1]!CurveType,0))</f>
        <v>0.01</v>
      </c>
      <c r="R141" s="31">
        <v>0</v>
      </c>
      <c r="S141" s="45">
        <f t="shared" si="117"/>
        <v>0</v>
      </c>
      <c r="T141" s="4"/>
      <c r="U141" s="159">
        <f t="shared" si="129"/>
        <v>5.4394999999999998</v>
      </c>
      <c r="V141" s="160"/>
      <c r="W141" s="100">
        <f>VLOOKUP($A141,[1]!CurveTable,MATCH($W$4,[1]!CurveType,0))+$W$9</f>
        <v>0.34</v>
      </c>
      <c r="X141" s="100">
        <f>VLOOKUP($A141,[1]!CurveTable,MATCH($X$4,[1]!CurveType,0))+$X$9</f>
        <v>0.34500000000000003</v>
      </c>
      <c r="Y141" s="158">
        <f t="shared" ca="1" si="120"/>
        <v>0.34661716708533291</v>
      </c>
      <c r="Z141" s="4"/>
      <c r="AA141" s="159">
        <f t="shared" si="130"/>
        <v>4.7609999999999992</v>
      </c>
      <c r="AB141" s="160"/>
      <c r="AC141" s="100">
        <f>VLOOKUP($A141,[1]!CurveTable,MATCH($AC$4,[1]!CurveType,0))+$AC$9</f>
        <v>0.17</v>
      </c>
      <c r="AD141" s="100">
        <f>VLOOKUP($A141,[1]!CurveTable,MATCH($AD$4,[1]!CurveType,0))+$AD$9</f>
        <v>0.17500000000000002</v>
      </c>
      <c r="AE141" s="158">
        <f t="shared" ca="1" si="121"/>
        <v>0.17581271336736601</v>
      </c>
      <c r="AF141" s="4"/>
      <c r="AG141" s="52">
        <f ca="1">((Inputs!$F$20*(X141*AD141)*(A141-$C$3))+(Inputs!$F$19*W141*AC141*(DAY(EOMONTH(A141,0))/2)))/(AN141*Y141*AE141)</f>
        <v>0.74999976780446864</v>
      </c>
      <c r="AH141" s="4"/>
      <c r="AI141" s="18">
        <f>Inputs!$B$15</f>
        <v>0.06</v>
      </c>
      <c r="AJ141" s="46"/>
      <c r="AK141" s="18">
        <f t="shared" si="122"/>
        <v>0.61850000000000049</v>
      </c>
      <c r="AL141" s="46"/>
      <c r="AM141" s="62">
        <f t="shared" si="123"/>
        <v>42094</v>
      </c>
      <c r="AN141" s="63">
        <f t="shared" ca="1" si="124"/>
        <v>4901</v>
      </c>
      <c r="AO141" s="63">
        <f t="shared" si="151"/>
        <v>1</v>
      </c>
      <c r="AP141" s="19"/>
      <c r="AQ141" s="74">
        <f ca="1">_xll.SPRDOPT(U141,AA141,AI141,AX141,X141,AD141,AG141,AN141,AO141,0)</f>
        <v>0.97035368389223908</v>
      </c>
      <c r="AR141" s="47">
        <f t="shared" ca="1" si="131"/>
        <v>0</v>
      </c>
      <c r="AS141" s="135">
        <f t="shared" ca="1" si="132"/>
        <v>0.35185368389223859</v>
      </c>
      <c r="AU141" s="5">
        <f t="shared" si="100"/>
        <v>31</v>
      </c>
      <c r="AV141" s="148">
        <f t="shared" si="125"/>
        <v>42139</v>
      </c>
      <c r="AW141" s="41">
        <f t="shared" ca="1" si="126"/>
        <v>4946</v>
      </c>
      <c r="AX141" s="100">
        <f>VLOOKUP($A141,[1]!CurveTable,MATCH(AX$4,[1]!CurveType,0))</f>
        <v>5.7294592753181404E-2</v>
      </c>
      <c r="AY141" s="149">
        <f ca="1">1/(1+CHOOSE(F$3,(AX142+(Inputs!$B$14/10000))/2,(AX141+(Inputs!$B$14/10000))/2))^(2*AW141/365.25)</f>
        <v>0.46535982529724668</v>
      </c>
      <c r="AZ141" s="41">
        <f t="shared" si="101"/>
        <v>0</v>
      </c>
      <c r="BA141" s="72">
        <f t="shared" si="102"/>
        <v>0</v>
      </c>
      <c r="BC141" s="65">
        <f t="shared" ca="1" si="133"/>
        <v>0</v>
      </c>
      <c r="BD141" s="65">
        <f t="shared" ca="1" si="134"/>
        <v>0</v>
      </c>
      <c r="BE141" s="65">
        <f t="shared" ca="1" si="135"/>
        <v>0</v>
      </c>
      <c r="BF141" s="65">
        <f t="shared" ca="1" si="136"/>
        <v>0</v>
      </c>
      <c r="BG141" s="65">
        <f t="shared" ca="1" si="137"/>
        <v>0</v>
      </c>
      <c r="BH141" s="65">
        <f t="shared" ca="1" si="138"/>
        <v>0</v>
      </c>
      <c r="BI141" s="65">
        <f t="shared" ca="1" si="139"/>
        <v>0</v>
      </c>
      <c r="BJ141" s="65">
        <f t="shared" ca="1" si="140"/>
        <v>0</v>
      </c>
      <c r="BK141" s="65">
        <f t="shared" ca="1" si="141"/>
        <v>0</v>
      </c>
      <c r="BL141" s="65">
        <f t="shared" ca="1" si="142"/>
        <v>0</v>
      </c>
      <c r="BM141" s="65">
        <f t="shared" ca="1" si="143"/>
        <v>0</v>
      </c>
      <c r="BN141" s="65">
        <f t="shared" ca="1" si="144"/>
        <v>0</v>
      </c>
      <c r="BO141" s="65">
        <f t="shared" ca="1" si="145"/>
        <v>0</v>
      </c>
      <c r="BP141" s="65">
        <f t="shared" ca="1" si="146"/>
        <v>0</v>
      </c>
      <c r="BQ141" s="65">
        <f t="shared" ca="1" si="147"/>
        <v>0</v>
      </c>
      <c r="BR141" s="65">
        <f t="shared" ca="1" si="148"/>
        <v>0</v>
      </c>
      <c r="BS141" s="65">
        <f t="shared" ca="1" si="149"/>
        <v>0</v>
      </c>
      <c r="BT141" s="65">
        <f t="shared" ca="1" si="150"/>
        <v>0</v>
      </c>
      <c r="BU141" s="65">
        <f t="shared" ca="1" si="127"/>
        <v>0</v>
      </c>
    </row>
    <row r="142" spans="1:73">
      <c r="A142" s="42">
        <f t="shared" si="128"/>
        <v>42156</v>
      </c>
      <c r="B142" s="30">
        <f>Inputs!$B$8</f>
        <v>50000</v>
      </c>
      <c r="C142" s="17">
        <f t="shared" si="118"/>
        <v>0</v>
      </c>
      <c r="D142" s="17">
        <f t="shared" ca="1" si="119"/>
        <v>0</v>
      </c>
      <c r="E142" s="25">
        <f>VLOOKUP($A142,[1]!CurveTable,MATCH($E$4,[1]!CurveType,0))</f>
        <v>4.7225000000000001</v>
      </c>
      <c r="F142" s="31">
        <f>E142-Inputs!$B$16</f>
        <v>4.7774999999999999</v>
      </c>
      <c r="G142" s="43">
        <f t="shared" si="113"/>
        <v>4.7774999999999999</v>
      </c>
      <c r="H142" s="25">
        <f>VLOOKUP($A142,[1]!CurveTable,MATCH($H$4,[1]!CurveType,0))</f>
        <v>0.8</v>
      </c>
      <c r="I142" s="31">
        <f>H142+Inputs!$B$22</f>
        <v>0.8</v>
      </c>
      <c r="J142" s="44">
        <f t="shared" si="114"/>
        <v>0.8</v>
      </c>
      <c r="K142" s="25">
        <f>VLOOKUP($A142,[1]!CurveTable,MATCH($K$4,[1]!CurveType,0))</f>
        <v>0</v>
      </c>
      <c r="L142" s="31">
        <v>0</v>
      </c>
      <c r="M142" s="45">
        <f t="shared" si="115"/>
        <v>0</v>
      </c>
      <c r="N142" s="25">
        <f>VLOOKUP($A142,[1]!CurveTable,MATCH($N$4,[1]!CurveType,0))</f>
        <v>1.9E-2</v>
      </c>
      <c r="O142" s="31">
        <f>N142+Inputs!$E$22</f>
        <v>1.9E-2</v>
      </c>
      <c r="P142" s="45">
        <f t="shared" si="116"/>
        <v>1.9E-2</v>
      </c>
      <c r="Q142" s="25">
        <f>VLOOKUP($A142,[1]!CurveTable,MATCH($Q$4,[1]!CurveType,0))</f>
        <v>0.01</v>
      </c>
      <c r="R142" s="31">
        <v>0</v>
      </c>
      <c r="S142" s="45">
        <f t="shared" si="117"/>
        <v>0</v>
      </c>
      <c r="T142" s="4"/>
      <c r="U142" s="159">
        <f t="shared" si="129"/>
        <v>5.5774999999999997</v>
      </c>
      <c r="V142" s="160"/>
      <c r="W142" s="100">
        <f>VLOOKUP($A142,[1]!CurveTable,MATCH($W$4,[1]!CurveType,0))+$W$9</f>
        <v>0.34</v>
      </c>
      <c r="X142" s="100">
        <f>VLOOKUP($A142,[1]!CurveTable,MATCH($X$4,[1]!CurveType,0))+$X$9</f>
        <v>0.34500000000000003</v>
      </c>
      <c r="Y142" s="158">
        <f t="shared" ca="1" si="120"/>
        <v>0.3466252619130768</v>
      </c>
      <c r="Z142" s="4"/>
      <c r="AA142" s="159">
        <f t="shared" si="130"/>
        <v>4.7965</v>
      </c>
      <c r="AB142" s="160"/>
      <c r="AC142" s="100">
        <f>VLOOKUP($A142,[1]!CurveTable,MATCH($AC$4,[1]!CurveType,0))+$AC$9</f>
        <v>0.17</v>
      </c>
      <c r="AD142" s="100">
        <f>VLOOKUP($A142,[1]!CurveTable,MATCH($AD$4,[1]!CurveType,0))+$AD$9</f>
        <v>0.17500000000000002</v>
      </c>
      <c r="AE142" s="158">
        <f t="shared" ca="1" si="121"/>
        <v>0.17581710909561737</v>
      </c>
      <c r="AF142" s="4"/>
      <c r="AG142" s="52">
        <f ca="1">((Inputs!$F$20*(X142*AD142)*(A142-$C$3))+(Inputs!$F$19*W142*AC142*(DAY(EOMONTH(A142,0))/2)))/(AN142*Y142*AE142)</f>
        <v>0.74999977664688089</v>
      </c>
      <c r="AH142" s="4"/>
      <c r="AI142" s="18">
        <f>Inputs!$B$15</f>
        <v>0.06</v>
      </c>
      <c r="AJ142" s="46"/>
      <c r="AK142" s="18">
        <f t="shared" si="122"/>
        <v>0.72099999999999964</v>
      </c>
      <c r="AL142" s="46"/>
      <c r="AM142" s="62">
        <f t="shared" si="123"/>
        <v>42124</v>
      </c>
      <c r="AN142" s="63">
        <f t="shared" ca="1" si="124"/>
        <v>4931</v>
      </c>
      <c r="AO142" s="63">
        <f t="shared" si="151"/>
        <v>1</v>
      </c>
      <c r="AP142" s="19"/>
      <c r="AQ142" s="74">
        <f ca="1">_xll.SPRDOPT(U142,AA142,AI142,AX142,X142,AD142,AG142,AN142,AO142,0)</f>
        <v>1.007114451813639</v>
      </c>
      <c r="AR142" s="47">
        <f t="shared" ca="1" si="131"/>
        <v>0</v>
      </c>
      <c r="AS142" s="135">
        <f t="shared" ca="1" si="132"/>
        <v>0.28611445181363937</v>
      </c>
      <c r="AU142" s="5">
        <f t="shared" si="100"/>
        <v>30</v>
      </c>
      <c r="AV142" s="148">
        <f t="shared" si="125"/>
        <v>42170</v>
      </c>
      <c r="AW142" s="41">
        <f t="shared" ca="1" si="126"/>
        <v>4977</v>
      </c>
      <c r="AX142" s="100">
        <f>VLOOKUP($A142,[1]!CurveTable,MATCH(AX$4,[1]!CurveType,0))</f>
        <v>5.73528054987862E-2</v>
      </c>
      <c r="AY142" s="149">
        <f ca="1">1/(1+CHOOSE(F$3,(AX143+(Inputs!$B$14/10000))/2,(AX142+(Inputs!$B$14/10000))/2))^(2*AW142/365.25)</f>
        <v>0.46277703290552813</v>
      </c>
      <c r="AZ142" s="41">
        <f t="shared" si="101"/>
        <v>0</v>
      </c>
      <c r="BA142" s="72">
        <f t="shared" si="102"/>
        <v>0</v>
      </c>
      <c r="BC142" s="65">
        <f t="shared" ca="1" si="133"/>
        <v>0</v>
      </c>
      <c r="BD142" s="65">
        <f t="shared" ca="1" si="134"/>
        <v>0</v>
      </c>
      <c r="BE142" s="65">
        <f t="shared" ca="1" si="135"/>
        <v>0</v>
      </c>
      <c r="BF142" s="65">
        <f t="shared" ca="1" si="136"/>
        <v>0</v>
      </c>
      <c r="BG142" s="65">
        <f t="shared" ca="1" si="137"/>
        <v>0</v>
      </c>
      <c r="BH142" s="65">
        <f t="shared" ca="1" si="138"/>
        <v>0</v>
      </c>
      <c r="BI142" s="65">
        <f t="shared" ca="1" si="139"/>
        <v>0</v>
      </c>
      <c r="BJ142" s="65">
        <f t="shared" ca="1" si="140"/>
        <v>0</v>
      </c>
      <c r="BK142" s="65">
        <f t="shared" ca="1" si="141"/>
        <v>0</v>
      </c>
      <c r="BL142" s="65">
        <f t="shared" ca="1" si="142"/>
        <v>0</v>
      </c>
      <c r="BM142" s="65">
        <f t="shared" ca="1" si="143"/>
        <v>0</v>
      </c>
      <c r="BN142" s="65">
        <f t="shared" ca="1" si="144"/>
        <v>0</v>
      </c>
      <c r="BO142" s="65">
        <f t="shared" ca="1" si="145"/>
        <v>0</v>
      </c>
      <c r="BP142" s="65">
        <f t="shared" ca="1" si="146"/>
        <v>0</v>
      </c>
      <c r="BQ142" s="65">
        <f t="shared" ca="1" si="147"/>
        <v>0</v>
      </c>
      <c r="BR142" s="65">
        <f t="shared" ca="1" si="148"/>
        <v>0</v>
      </c>
      <c r="BS142" s="65">
        <f t="shared" ca="1" si="149"/>
        <v>0</v>
      </c>
      <c r="BT142" s="65">
        <f t="shared" ca="1" si="150"/>
        <v>0</v>
      </c>
      <c r="BU142" s="65">
        <f t="shared" ca="1" si="127"/>
        <v>0</v>
      </c>
    </row>
    <row r="143" spans="1:73">
      <c r="A143" s="42">
        <f t="shared" si="128"/>
        <v>42186</v>
      </c>
      <c r="B143" s="30">
        <f>Inputs!$B$8</f>
        <v>50000</v>
      </c>
      <c r="C143" s="17">
        <f t="shared" si="118"/>
        <v>0</v>
      </c>
      <c r="D143" s="17">
        <f t="shared" ca="1" si="119"/>
        <v>0</v>
      </c>
      <c r="E143" s="25">
        <f>VLOOKUP($A143,[1]!CurveTable,MATCH($E$4,[1]!CurveType,0))</f>
        <v>4.7675000000000001</v>
      </c>
      <c r="F143" s="31">
        <f>E143-Inputs!$B$16</f>
        <v>4.8224999999999998</v>
      </c>
      <c r="G143" s="43">
        <f t="shared" si="113"/>
        <v>4.8224999999999998</v>
      </c>
      <c r="H143" s="25">
        <f>VLOOKUP($A143,[1]!CurveTable,MATCH($H$4,[1]!CurveType,0))</f>
        <v>1</v>
      </c>
      <c r="I143" s="31">
        <f>H143+Inputs!$B$22</f>
        <v>1</v>
      </c>
      <c r="J143" s="44">
        <f t="shared" si="114"/>
        <v>1</v>
      </c>
      <c r="K143" s="25">
        <f>VLOOKUP($A143,[1]!CurveTable,MATCH($K$4,[1]!CurveType,0))</f>
        <v>0</v>
      </c>
      <c r="L143" s="31">
        <v>0</v>
      </c>
      <c r="M143" s="45">
        <f t="shared" si="115"/>
        <v>0</v>
      </c>
      <c r="N143" s="25">
        <f>VLOOKUP($A143,[1]!CurveTable,MATCH($N$4,[1]!CurveType,0))</f>
        <v>1.6500000000000001E-2</v>
      </c>
      <c r="O143" s="31">
        <f>N143+Inputs!$E$22</f>
        <v>1.6500000000000001E-2</v>
      </c>
      <c r="P143" s="45">
        <f t="shared" si="116"/>
        <v>1.6500000000000001E-2</v>
      </c>
      <c r="Q143" s="25">
        <f>VLOOKUP($A143,[1]!CurveTable,MATCH($Q$4,[1]!CurveType,0))</f>
        <v>0.01</v>
      </c>
      <c r="R143" s="31">
        <v>0</v>
      </c>
      <c r="S143" s="45">
        <f t="shared" si="117"/>
        <v>0</v>
      </c>
      <c r="T143" s="4"/>
      <c r="U143" s="159">
        <f t="shared" si="129"/>
        <v>5.8224999999999998</v>
      </c>
      <c r="V143" s="160"/>
      <c r="W143" s="100">
        <f>VLOOKUP($A143,[1]!CurveTable,MATCH($W$4,[1]!CurveType,0))+$W$9</f>
        <v>0.34</v>
      </c>
      <c r="X143" s="100">
        <f>VLOOKUP($A143,[1]!CurveTable,MATCH($X$4,[1]!CurveType,0))+$X$9</f>
        <v>0.34500000000000003</v>
      </c>
      <c r="Y143" s="158">
        <f t="shared" ca="1" si="120"/>
        <v>0.34659733236436768</v>
      </c>
      <c r="Z143" s="4"/>
      <c r="AA143" s="159">
        <f t="shared" si="130"/>
        <v>4.8389999999999995</v>
      </c>
      <c r="AB143" s="160"/>
      <c r="AC143" s="100">
        <f>VLOOKUP($A143,[1]!CurveTable,MATCH($AC$4,[1]!CurveType,0))+$AC$9</f>
        <v>0.17</v>
      </c>
      <c r="AD143" s="100">
        <f>VLOOKUP($A143,[1]!CurveTable,MATCH($AD$4,[1]!CurveType,0))+$AD$9</f>
        <v>0.17500000000000002</v>
      </c>
      <c r="AE143" s="158">
        <f t="shared" ca="1" si="121"/>
        <v>0.17580274514215166</v>
      </c>
      <c r="AF143" s="4"/>
      <c r="AG143" s="52">
        <f ca="1">((Inputs!$F$20*(X143*AD143)*(A143-$C$3))+(Inputs!$F$19*W143*AC143*(DAY(EOMONTH(A143,0))/2)))/(AN143*Y143*AE143)</f>
        <v>0.74999977062441259</v>
      </c>
      <c r="AH143" s="4"/>
      <c r="AI143" s="18">
        <f>Inputs!$B$15</f>
        <v>0.06</v>
      </c>
      <c r="AJ143" s="46"/>
      <c r="AK143" s="18">
        <f t="shared" si="122"/>
        <v>0.92350000000000021</v>
      </c>
      <c r="AL143" s="46"/>
      <c r="AM143" s="62">
        <f t="shared" si="123"/>
        <v>42155</v>
      </c>
      <c r="AN143" s="63">
        <f t="shared" ca="1" si="124"/>
        <v>4962</v>
      </c>
      <c r="AO143" s="63">
        <f t="shared" si="151"/>
        <v>1</v>
      </c>
      <c r="AP143" s="19"/>
      <c r="AQ143" s="74">
        <f ca="1">_xll.SPRDOPT(U143,AA143,AI143,AX143,X143,AD143,AG143,AN143,AO143,0)</f>
        <v>1.0785670730375767</v>
      </c>
      <c r="AR143" s="47">
        <f t="shared" ca="1" si="131"/>
        <v>0</v>
      </c>
      <c r="AS143" s="135">
        <f t="shared" ca="1" si="132"/>
        <v>0.1550670730375765</v>
      </c>
      <c r="AU143" s="5">
        <f t="shared" si="100"/>
        <v>31</v>
      </c>
      <c r="AV143" s="148">
        <f t="shared" si="125"/>
        <v>42200</v>
      </c>
      <c r="AW143" s="41">
        <f t="shared" ca="1" si="126"/>
        <v>5007</v>
      </c>
      <c r="AX143" s="100">
        <f>VLOOKUP($A143,[1]!CurveTable,MATCH(AX$4,[1]!CurveType,0))</f>
        <v>5.7409140414961701E-2</v>
      </c>
      <c r="AY143" s="149">
        <f ca="1">1/(1+CHOOSE(F$3,(AX144+(Inputs!$B$14/10000))/2,(AX143+(Inputs!$B$14/10000))/2))^(2*AW143/365.25)</f>
        <v>0.46028700548286805</v>
      </c>
      <c r="AZ143" s="41">
        <f t="shared" si="101"/>
        <v>0</v>
      </c>
      <c r="BA143" s="72">
        <f t="shared" si="102"/>
        <v>0</v>
      </c>
      <c r="BC143" s="65">
        <f t="shared" ca="1" si="133"/>
        <v>0</v>
      </c>
      <c r="BD143" s="65">
        <f t="shared" ca="1" si="134"/>
        <v>0</v>
      </c>
      <c r="BE143" s="65">
        <f t="shared" ca="1" si="135"/>
        <v>0</v>
      </c>
      <c r="BF143" s="65">
        <f t="shared" ca="1" si="136"/>
        <v>0</v>
      </c>
      <c r="BG143" s="65">
        <f t="shared" ca="1" si="137"/>
        <v>0</v>
      </c>
      <c r="BH143" s="65">
        <f t="shared" ca="1" si="138"/>
        <v>0</v>
      </c>
      <c r="BI143" s="65">
        <f t="shared" ca="1" si="139"/>
        <v>0</v>
      </c>
      <c r="BJ143" s="65">
        <f t="shared" ca="1" si="140"/>
        <v>0</v>
      </c>
      <c r="BK143" s="65">
        <f t="shared" ca="1" si="141"/>
        <v>0</v>
      </c>
      <c r="BL143" s="65">
        <f t="shared" ca="1" si="142"/>
        <v>0</v>
      </c>
      <c r="BM143" s="65">
        <f t="shared" ca="1" si="143"/>
        <v>0</v>
      </c>
      <c r="BN143" s="65">
        <f t="shared" ca="1" si="144"/>
        <v>0</v>
      </c>
      <c r="BO143" s="65">
        <f t="shared" ca="1" si="145"/>
        <v>0</v>
      </c>
      <c r="BP143" s="65">
        <f t="shared" ca="1" si="146"/>
        <v>0</v>
      </c>
      <c r="BQ143" s="65">
        <f t="shared" ca="1" si="147"/>
        <v>0</v>
      </c>
      <c r="BR143" s="65">
        <f t="shared" ca="1" si="148"/>
        <v>0</v>
      </c>
      <c r="BS143" s="65">
        <f t="shared" ca="1" si="149"/>
        <v>0</v>
      </c>
      <c r="BT143" s="65">
        <f t="shared" ca="1" si="150"/>
        <v>0</v>
      </c>
      <c r="BU143" s="65">
        <f t="shared" ca="1" si="127"/>
        <v>0</v>
      </c>
    </row>
    <row r="144" spans="1:73">
      <c r="A144" s="42">
        <f t="shared" si="128"/>
        <v>42217</v>
      </c>
      <c r="B144" s="30">
        <f>Inputs!$B$8</f>
        <v>50000</v>
      </c>
      <c r="C144" s="17">
        <f t="shared" si="118"/>
        <v>0</v>
      </c>
      <c r="D144" s="17">
        <f t="shared" ca="1" si="119"/>
        <v>0</v>
      </c>
      <c r="E144" s="25">
        <f>VLOOKUP($A144,[1]!CurveTable,MATCH($E$4,[1]!CurveType,0))</f>
        <v>4.8055000000000003</v>
      </c>
      <c r="F144" s="31">
        <f>E144-Inputs!$B$16</f>
        <v>4.8605</v>
      </c>
      <c r="G144" s="43">
        <f t="shared" si="113"/>
        <v>4.8605</v>
      </c>
      <c r="H144" s="25">
        <f>VLOOKUP($A144,[1]!CurveTable,MATCH($H$4,[1]!CurveType,0))</f>
        <v>1</v>
      </c>
      <c r="I144" s="31">
        <f>H144+Inputs!$B$22</f>
        <v>1</v>
      </c>
      <c r="J144" s="44">
        <f t="shared" si="114"/>
        <v>1</v>
      </c>
      <c r="K144" s="25">
        <f>VLOOKUP($A144,[1]!CurveTable,MATCH($K$4,[1]!CurveType,0))</f>
        <v>0</v>
      </c>
      <c r="L144" s="31">
        <v>0</v>
      </c>
      <c r="M144" s="45">
        <f t="shared" si="115"/>
        <v>0</v>
      </c>
      <c r="N144" s="25">
        <f>VLOOKUP($A144,[1]!CurveTable,MATCH($N$4,[1]!CurveType,0))</f>
        <v>1.6500000000000001E-2</v>
      </c>
      <c r="O144" s="31">
        <f>N144+Inputs!$E$22</f>
        <v>1.6500000000000001E-2</v>
      </c>
      <c r="P144" s="45">
        <f t="shared" si="116"/>
        <v>1.6500000000000001E-2</v>
      </c>
      <c r="Q144" s="25">
        <f>VLOOKUP($A144,[1]!CurveTable,MATCH($Q$4,[1]!CurveType,0))</f>
        <v>0.01</v>
      </c>
      <c r="R144" s="31">
        <v>0</v>
      </c>
      <c r="S144" s="45">
        <f t="shared" si="117"/>
        <v>0</v>
      </c>
      <c r="T144" s="4"/>
      <c r="U144" s="159">
        <f t="shared" si="129"/>
        <v>5.8605</v>
      </c>
      <c r="V144" s="160"/>
      <c r="W144" s="100">
        <f>VLOOKUP($A144,[1]!CurveTable,MATCH($W$4,[1]!CurveType,0))+$W$9</f>
        <v>0.34</v>
      </c>
      <c r="X144" s="100">
        <f>VLOOKUP($A144,[1]!CurveTable,MATCH($X$4,[1]!CurveType,0))+$X$9</f>
        <v>0.34500000000000003</v>
      </c>
      <c r="Y144" s="158">
        <f t="shared" ca="1" si="120"/>
        <v>0.34662215027909365</v>
      </c>
      <c r="Z144" s="4"/>
      <c r="AA144" s="159">
        <f t="shared" si="130"/>
        <v>4.8769999999999998</v>
      </c>
      <c r="AB144" s="160"/>
      <c r="AC144" s="100">
        <f>VLOOKUP($A144,[1]!CurveTable,MATCH($AC$4,[1]!CurveType,0))+$AC$9</f>
        <v>0.17</v>
      </c>
      <c r="AD144" s="100">
        <f>VLOOKUP($A144,[1]!CurveTable,MATCH($AD$4,[1]!CurveType,0))+$AD$9</f>
        <v>0.17500000000000002</v>
      </c>
      <c r="AE144" s="158">
        <f t="shared" ca="1" si="121"/>
        <v>0.17581537952148002</v>
      </c>
      <c r="AF144" s="4"/>
      <c r="AG144" s="52">
        <f ca="1">((Inputs!$F$20*(X144*AD144)*(A144-$C$3))+(Inputs!$F$19*W144*AC144*(DAY(EOMONTH(A144,0))/2)))/(AN144*Y144*AE144)</f>
        <v>0.74999977203141088</v>
      </c>
      <c r="AH144" s="4"/>
      <c r="AI144" s="18">
        <f>Inputs!$B$15</f>
        <v>0.06</v>
      </c>
      <c r="AJ144" s="46"/>
      <c r="AK144" s="18">
        <f t="shared" si="122"/>
        <v>0.92350000000000021</v>
      </c>
      <c r="AL144" s="46"/>
      <c r="AM144" s="62">
        <f t="shared" si="123"/>
        <v>42185</v>
      </c>
      <c r="AN144" s="63">
        <f t="shared" ca="1" si="124"/>
        <v>4992</v>
      </c>
      <c r="AO144" s="63">
        <f t="shared" si="151"/>
        <v>1</v>
      </c>
      <c r="AP144" s="19"/>
      <c r="AQ144" s="74">
        <f ca="1">_xll.SPRDOPT(U144,AA144,AI144,AX144,X144,AD144,AG144,AN144,AO144,0)</f>
        <v>1.0808814109928788</v>
      </c>
      <c r="AR144" s="47">
        <f t="shared" ca="1" si="131"/>
        <v>0</v>
      </c>
      <c r="AS144" s="135">
        <f t="shared" ca="1" si="132"/>
        <v>0.15738141099287861</v>
      </c>
      <c r="AU144" s="5">
        <f t="shared" ref="AU144:AU207" si="152">A145-A144</f>
        <v>31</v>
      </c>
      <c r="AV144" s="148">
        <f t="shared" si="125"/>
        <v>42231</v>
      </c>
      <c r="AW144" s="41">
        <f t="shared" ca="1" si="126"/>
        <v>5038</v>
      </c>
      <c r="AX144" s="100">
        <f>VLOOKUP($A144,[1]!CurveTable,MATCH(AX$4,[1]!CurveType,0))</f>
        <v>5.7467353162784701E-2</v>
      </c>
      <c r="AY144" s="149">
        <f ca="1">1/(1+CHOOSE(F$3,(AX145+(Inputs!$B$14/10000))/2,(AX144+(Inputs!$B$14/10000))/2))^(2*AW144/365.25)</f>
        <v>0.45772373555224743</v>
      </c>
      <c r="AZ144" s="41">
        <f t="shared" ref="AZ144:AZ207" si="153">IF(AND(mthbeg&lt;=A144,mthend&gt;=A144),1,0)</f>
        <v>0</v>
      </c>
      <c r="BA144" s="72">
        <f t="shared" ref="BA144:BA207" si="154">AU144*AZ144</f>
        <v>0</v>
      </c>
      <c r="BC144" s="65">
        <f t="shared" ca="1" si="133"/>
        <v>0</v>
      </c>
      <c r="BD144" s="65">
        <f t="shared" ca="1" si="134"/>
        <v>0</v>
      </c>
      <c r="BE144" s="65">
        <f t="shared" ca="1" si="135"/>
        <v>0</v>
      </c>
      <c r="BF144" s="65">
        <f t="shared" ca="1" si="136"/>
        <v>0</v>
      </c>
      <c r="BG144" s="65">
        <f t="shared" ca="1" si="137"/>
        <v>0</v>
      </c>
      <c r="BH144" s="65">
        <f t="shared" ca="1" si="138"/>
        <v>0</v>
      </c>
      <c r="BI144" s="65">
        <f t="shared" ca="1" si="139"/>
        <v>0</v>
      </c>
      <c r="BJ144" s="65">
        <f t="shared" ca="1" si="140"/>
        <v>0</v>
      </c>
      <c r="BK144" s="65">
        <f t="shared" ca="1" si="141"/>
        <v>0</v>
      </c>
      <c r="BL144" s="65">
        <f t="shared" ca="1" si="142"/>
        <v>0</v>
      </c>
      <c r="BM144" s="65">
        <f t="shared" ca="1" si="143"/>
        <v>0</v>
      </c>
      <c r="BN144" s="65">
        <f t="shared" ca="1" si="144"/>
        <v>0</v>
      </c>
      <c r="BO144" s="65">
        <f t="shared" ca="1" si="145"/>
        <v>0</v>
      </c>
      <c r="BP144" s="65">
        <f t="shared" ca="1" si="146"/>
        <v>0</v>
      </c>
      <c r="BQ144" s="65">
        <f t="shared" ca="1" si="147"/>
        <v>0</v>
      </c>
      <c r="BR144" s="65">
        <f t="shared" ca="1" si="148"/>
        <v>0</v>
      </c>
      <c r="BS144" s="65">
        <f t="shared" ca="1" si="149"/>
        <v>0</v>
      </c>
      <c r="BT144" s="65">
        <f t="shared" ca="1" si="150"/>
        <v>0</v>
      </c>
      <c r="BU144" s="65">
        <f t="shared" ca="1" si="127"/>
        <v>0</v>
      </c>
    </row>
    <row r="145" spans="1:73">
      <c r="A145" s="42">
        <f t="shared" si="128"/>
        <v>42248</v>
      </c>
      <c r="B145" s="30">
        <f>Inputs!$B$8</f>
        <v>50000</v>
      </c>
      <c r="C145" s="17">
        <f t="shared" si="118"/>
        <v>0</v>
      </c>
      <c r="D145" s="17">
        <f t="shared" ca="1" si="119"/>
        <v>0</v>
      </c>
      <c r="E145" s="25">
        <f>VLOOKUP($A145,[1]!CurveTable,MATCH($E$4,[1]!CurveType,0))</f>
        <v>4.7995000000000001</v>
      </c>
      <c r="F145" s="31">
        <f>E145-Inputs!$B$16</f>
        <v>4.8544999999999998</v>
      </c>
      <c r="G145" s="43">
        <f t="shared" si="113"/>
        <v>4.8544999999999998</v>
      </c>
      <c r="H145" s="25">
        <f>VLOOKUP($A145,[1]!CurveTable,MATCH($H$4,[1]!CurveType,0))</f>
        <v>0.6</v>
      </c>
      <c r="I145" s="31">
        <f>H145+Inputs!$B$22</f>
        <v>0.6</v>
      </c>
      <c r="J145" s="44">
        <f t="shared" si="114"/>
        <v>0.6</v>
      </c>
      <c r="K145" s="25">
        <f>VLOOKUP($A145,[1]!CurveTable,MATCH($K$4,[1]!CurveType,0))</f>
        <v>0</v>
      </c>
      <c r="L145" s="31">
        <v>0</v>
      </c>
      <c r="M145" s="45">
        <f t="shared" si="115"/>
        <v>0</v>
      </c>
      <c r="N145" s="25">
        <f>VLOOKUP($A145,[1]!CurveTable,MATCH($N$4,[1]!CurveType,0))</f>
        <v>1.6500000000000001E-2</v>
      </c>
      <c r="O145" s="31">
        <f>N145+Inputs!$E$22</f>
        <v>1.6500000000000001E-2</v>
      </c>
      <c r="P145" s="45">
        <f t="shared" si="116"/>
        <v>1.6500000000000001E-2</v>
      </c>
      <c r="Q145" s="25">
        <f>VLOOKUP($A145,[1]!CurveTable,MATCH($Q$4,[1]!CurveType,0))</f>
        <v>0.01</v>
      </c>
      <c r="R145" s="31">
        <v>0</v>
      </c>
      <c r="S145" s="45">
        <f t="shared" si="117"/>
        <v>0</v>
      </c>
      <c r="T145" s="4"/>
      <c r="U145" s="159">
        <f t="shared" si="129"/>
        <v>5.4544999999999995</v>
      </c>
      <c r="V145" s="160"/>
      <c r="W145" s="100">
        <f>VLOOKUP($A145,[1]!CurveTable,MATCH($W$4,[1]!CurveType,0))+$W$9</f>
        <v>0.34</v>
      </c>
      <c r="X145" s="100">
        <f>VLOOKUP($A145,[1]!CurveTable,MATCH($X$4,[1]!CurveType,0))+$X$9</f>
        <v>0.34500000000000003</v>
      </c>
      <c r="Y145" s="158">
        <f t="shared" ca="1" si="120"/>
        <v>0.34659556254187807</v>
      </c>
      <c r="Z145" s="4"/>
      <c r="AA145" s="159">
        <f t="shared" si="130"/>
        <v>4.8709999999999996</v>
      </c>
      <c r="AB145" s="160"/>
      <c r="AC145" s="100">
        <f>VLOOKUP($A145,[1]!CurveTable,MATCH($AC$4,[1]!CurveType,0))+$AC$9</f>
        <v>0.17</v>
      </c>
      <c r="AD145" s="100">
        <f>VLOOKUP($A145,[1]!CurveTable,MATCH($AD$4,[1]!CurveType,0))+$AD$9</f>
        <v>0.17500000000000002</v>
      </c>
      <c r="AE145" s="158">
        <f t="shared" ca="1" si="121"/>
        <v>0.17580217727474573</v>
      </c>
      <c r="AF145" s="4"/>
      <c r="AG145" s="52">
        <f ca="1">((Inputs!$F$20*(X145*AD145)*(A145-$C$3))+(Inputs!$F$19*W145*AC145*(DAY(EOMONTH(A145,0))/2)))/(AN145*Y145*AE145)</f>
        <v>0.74999978068883077</v>
      </c>
      <c r="AH145" s="4"/>
      <c r="AI145" s="18">
        <f>Inputs!$B$15</f>
        <v>0.06</v>
      </c>
      <c r="AJ145" s="46"/>
      <c r="AK145" s="18">
        <f t="shared" si="122"/>
        <v>0.52349999999999985</v>
      </c>
      <c r="AL145" s="46"/>
      <c r="AM145" s="62">
        <f t="shared" si="123"/>
        <v>42216</v>
      </c>
      <c r="AN145" s="63">
        <f t="shared" ca="1" si="124"/>
        <v>5023</v>
      </c>
      <c r="AO145" s="63">
        <f t="shared" si="151"/>
        <v>1</v>
      </c>
      <c r="AP145" s="19"/>
      <c r="AQ145" s="74">
        <f ca="1">_xll.SPRDOPT(U145,AA145,AI145,AX145,X145,AD145,AG145,AN145,AO145,0)</f>
        <v>0.94443034235923973</v>
      </c>
      <c r="AR145" s="47">
        <f t="shared" ca="1" si="131"/>
        <v>0</v>
      </c>
      <c r="AS145" s="135">
        <f t="shared" ca="1" si="132"/>
        <v>0.42093034235923987</v>
      </c>
      <c r="AU145" s="5">
        <f t="shared" si="152"/>
        <v>30</v>
      </c>
      <c r="AV145" s="148">
        <f t="shared" si="125"/>
        <v>42262</v>
      </c>
      <c r="AW145" s="41">
        <f t="shared" ca="1" si="126"/>
        <v>5069</v>
      </c>
      <c r="AX145" s="100">
        <f>VLOOKUP($A145,[1]!CurveTable,MATCH(AX$4,[1]!CurveType,0))</f>
        <v>5.7525565911735702E-2</v>
      </c>
      <c r="AY145" s="149">
        <f ca="1">1/(1+CHOOSE(F$3,(AX146+(Inputs!$B$14/10000))/2,(AX145+(Inputs!$B$14/10000))/2))^(2*AW145/365.25)</f>
        <v>0.45517037800972604</v>
      </c>
      <c r="AZ145" s="41">
        <f t="shared" si="153"/>
        <v>0</v>
      </c>
      <c r="BA145" s="72">
        <f t="shared" si="154"/>
        <v>0</v>
      </c>
      <c r="BC145" s="65">
        <f t="shared" ca="1" si="133"/>
        <v>0</v>
      </c>
      <c r="BD145" s="65">
        <f t="shared" ca="1" si="134"/>
        <v>0</v>
      </c>
      <c r="BE145" s="65">
        <f t="shared" ca="1" si="135"/>
        <v>0</v>
      </c>
      <c r="BF145" s="65">
        <f t="shared" ca="1" si="136"/>
        <v>0</v>
      </c>
      <c r="BG145" s="65">
        <f t="shared" ca="1" si="137"/>
        <v>0</v>
      </c>
      <c r="BH145" s="65">
        <f t="shared" ca="1" si="138"/>
        <v>0</v>
      </c>
      <c r="BI145" s="65">
        <f t="shared" ca="1" si="139"/>
        <v>0</v>
      </c>
      <c r="BJ145" s="65">
        <f t="shared" ca="1" si="140"/>
        <v>0</v>
      </c>
      <c r="BK145" s="65">
        <f t="shared" ca="1" si="141"/>
        <v>0</v>
      </c>
      <c r="BL145" s="65">
        <f t="shared" ca="1" si="142"/>
        <v>0</v>
      </c>
      <c r="BM145" s="65">
        <f t="shared" ca="1" si="143"/>
        <v>0</v>
      </c>
      <c r="BN145" s="65">
        <f t="shared" ca="1" si="144"/>
        <v>0</v>
      </c>
      <c r="BO145" s="65">
        <f t="shared" ca="1" si="145"/>
        <v>0</v>
      </c>
      <c r="BP145" s="65">
        <f t="shared" ca="1" si="146"/>
        <v>0</v>
      </c>
      <c r="BQ145" s="65">
        <f t="shared" ca="1" si="147"/>
        <v>0</v>
      </c>
      <c r="BR145" s="65">
        <f t="shared" ca="1" si="148"/>
        <v>0</v>
      </c>
      <c r="BS145" s="65">
        <f t="shared" ca="1" si="149"/>
        <v>0</v>
      </c>
      <c r="BT145" s="65">
        <f t="shared" ca="1" si="150"/>
        <v>0</v>
      </c>
      <c r="BU145" s="65">
        <f t="shared" ca="1" si="127"/>
        <v>0</v>
      </c>
    </row>
    <row r="146" spans="1:73">
      <c r="A146" s="42">
        <f t="shared" si="128"/>
        <v>42278</v>
      </c>
      <c r="B146" s="30">
        <f>Inputs!$B$8</f>
        <v>50000</v>
      </c>
      <c r="C146" s="17">
        <f t="shared" si="118"/>
        <v>0</v>
      </c>
      <c r="D146" s="17">
        <f t="shared" ca="1" si="119"/>
        <v>0</v>
      </c>
      <c r="E146" s="25">
        <f>VLOOKUP($A146,[1]!CurveTable,MATCH($E$4,[1]!CurveType,0))</f>
        <v>4.7995000000000001</v>
      </c>
      <c r="F146" s="31">
        <f>E146-Inputs!$B$16</f>
        <v>4.8544999999999998</v>
      </c>
      <c r="G146" s="43">
        <f t="shared" si="113"/>
        <v>4.8544999999999998</v>
      </c>
      <c r="H146" s="25">
        <f>VLOOKUP($A146,[1]!CurveTable,MATCH($H$4,[1]!CurveType,0))</f>
        <v>0.3</v>
      </c>
      <c r="I146" s="31">
        <f>H146+Inputs!$B$22</f>
        <v>0.3</v>
      </c>
      <c r="J146" s="44">
        <f t="shared" si="114"/>
        <v>0.3</v>
      </c>
      <c r="K146" s="25">
        <f>VLOOKUP($A146,[1]!CurveTable,MATCH($K$4,[1]!CurveType,0))</f>
        <v>0</v>
      </c>
      <c r="L146" s="31">
        <v>0</v>
      </c>
      <c r="M146" s="45">
        <f t="shared" si="115"/>
        <v>0</v>
      </c>
      <c r="N146" s="25">
        <f>VLOOKUP($A146,[1]!CurveTable,MATCH($N$4,[1]!CurveType,0))</f>
        <v>1.4999999999999999E-2</v>
      </c>
      <c r="O146" s="31">
        <f>N146+Inputs!$E$22</f>
        <v>1.4999999999999999E-2</v>
      </c>
      <c r="P146" s="45">
        <f t="shared" si="116"/>
        <v>1.4999999999999999E-2</v>
      </c>
      <c r="Q146" s="25">
        <f>VLOOKUP($A146,[1]!CurveTable,MATCH($Q$4,[1]!CurveType,0))</f>
        <v>0.01</v>
      </c>
      <c r="R146" s="31">
        <v>0</v>
      </c>
      <c r="S146" s="45">
        <f t="shared" si="117"/>
        <v>0</v>
      </c>
      <c r="T146" s="4"/>
      <c r="U146" s="159">
        <f t="shared" si="129"/>
        <v>5.1544999999999996</v>
      </c>
      <c r="V146" s="160"/>
      <c r="W146" s="100">
        <f>VLOOKUP($A146,[1]!CurveTable,MATCH($W$4,[1]!CurveType,0))+$W$9</f>
        <v>0.17</v>
      </c>
      <c r="X146" s="100">
        <f>VLOOKUP($A146,[1]!CurveTable,MATCH($X$4,[1]!CurveType,0))+$X$9</f>
        <v>0.17500000000000002</v>
      </c>
      <c r="Y146" s="158">
        <f t="shared" ca="1" si="120"/>
        <v>0.17578816520606175</v>
      </c>
      <c r="Z146" s="4"/>
      <c r="AA146" s="159">
        <f t="shared" si="130"/>
        <v>4.8694999999999995</v>
      </c>
      <c r="AB146" s="160"/>
      <c r="AC146" s="100">
        <f>VLOOKUP($A146,[1]!CurveTable,MATCH($AC$4,[1]!CurveType,0))+$AC$9</f>
        <v>0.17</v>
      </c>
      <c r="AD146" s="100">
        <f>VLOOKUP($A146,[1]!CurveTable,MATCH($AD$4,[1]!CurveType,0))+$AD$9</f>
        <v>0.17500000000000002</v>
      </c>
      <c r="AE146" s="158">
        <f t="shared" ca="1" si="121"/>
        <v>0.17578816520606175</v>
      </c>
      <c r="AF146" s="4"/>
      <c r="AG146" s="52">
        <f ca="1">((Inputs!$F$20*(X146*AD146)*(A146-$C$3))+(Inputs!$F$19*W146*AC146*(DAY(EOMONTH(A146,0))/2)))/(AN146*Y146*AE146)</f>
        <v>0.74999999999999989</v>
      </c>
      <c r="AH146" s="4"/>
      <c r="AI146" s="18">
        <f>Inputs!$B$15</f>
        <v>0.06</v>
      </c>
      <c r="AJ146" s="46"/>
      <c r="AK146" s="18">
        <f t="shared" si="122"/>
        <v>0.22500000000000014</v>
      </c>
      <c r="AL146" s="46"/>
      <c r="AM146" s="62">
        <f t="shared" si="123"/>
        <v>42247</v>
      </c>
      <c r="AN146" s="63">
        <f t="shared" ca="1" si="124"/>
        <v>5054</v>
      </c>
      <c r="AO146" s="63">
        <f t="shared" si="151"/>
        <v>1</v>
      </c>
      <c r="AP146" s="19"/>
      <c r="AQ146" s="74">
        <f ca="1">_xll.SPRDOPT(U146,AA146,AI146,AX146,X146,AD146,AG146,AN146,AO146,0)</f>
        <v>0.46392922127582736</v>
      </c>
      <c r="AR146" s="47">
        <f t="shared" ca="1" si="131"/>
        <v>0</v>
      </c>
      <c r="AS146" s="135">
        <f t="shared" ca="1" si="132"/>
        <v>0.23892922127582722</v>
      </c>
      <c r="AU146" s="5">
        <f t="shared" si="152"/>
        <v>31</v>
      </c>
      <c r="AV146" s="148">
        <f t="shared" si="125"/>
        <v>42292</v>
      </c>
      <c r="AW146" s="41">
        <f t="shared" ca="1" si="126"/>
        <v>5099</v>
      </c>
      <c r="AX146" s="100">
        <f>VLOOKUP($A146,[1]!CurveTable,MATCH(AX$4,[1]!CurveType,0))</f>
        <v>5.7581900831148204E-2</v>
      </c>
      <c r="AY146" s="149">
        <f ca="1">1/(1+CHOOSE(F$3,(AX147+(Inputs!$B$14/10000))/2,(AX146+(Inputs!$B$14/10000))/2))^(2*AW146/365.25)</f>
        <v>0.45270881881324571</v>
      </c>
      <c r="AZ146" s="41">
        <f t="shared" si="153"/>
        <v>0</v>
      </c>
      <c r="BA146" s="72">
        <f t="shared" si="154"/>
        <v>0</v>
      </c>
      <c r="BC146" s="65">
        <f t="shared" ca="1" si="133"/>
        <v>0</v>
      </c>
      <c r="BD146" s="65">
        <f t="shared" ca="1" si="134"/>
        <v>0</v>
      </c>
      <c r="BE146" s="65">
        <f t="shared" ca="1" si="135"/>
        <v>0</v>
      </c>
      <c r="BF146" s="65">
        <f t="shared" ca="1" si="136"/>
        <v>0</v>
      </c>
      <c r="BG146" s="65">
        <f t="shared" ca="1" si="137"/>
        <v>0</v>
      </c>
      <c r="BH146" s="65">
        <f t="shared" ca="1" si="138"/>
        <v>0</v>
      </c>
      <c r="BI146" s="65">
        <f t="shared" ca="1" si="139"/>
        <v>0</v>
      </c>
      <c r="BJ146" s="65">
        <f t="shared" ca="1" si="140"/>
        <v>0</v>
      </c>
      <c r="BK146" s="65">
        <f t="shared" ca="1" si="141"/>
        <v>0</v>
      </c>
      <c r="BL146" s="65">
        <f t="shared" ca="1" si="142"/>
        <v>0</v>
      </c>
      <c r="BM146" s="65">
        <f t="shared" ca="1" si="143"/>
        <v>0</v>
      </c>
      <c r="BN146" s="65">
        <f t="shared" ca="1" si="144"/>
        <v>0</v>
      </c>
      <c r="BO146" s="65">
        <f t="shared" ca="1" si="145"/>
        <v>0</v>
      </c>
      <c r="BP146" s="65">
        <f t="shared" ca="1" si="146"/>
        <v>0</v>
      </c>
      <c r="BQ146" s="65">
        <f t="shared" ca="1" si="147"/>
        <v>0</v>
      </c>
      <c r="BR146" s="65">
        <f t="shared" ca="1" si="148"/>
        <v>0</v>
      </c>
      <c r="BS146" s="65">
        <f t="shared" ca="1" si="149"/>
        <v>0</v>
      </c>
      <c r="BT146" s="65">
        <f t="shared" ca="1" si="150"/>
        <v>0</v>
      </c>
      <c r="BU146" s="65">
        <f t="shared" ca="1" si="127"/>
        <v>0</v>
      </c>
    </row>
    <row r="147" spans="1:73">
      <c r="A147" s="42">
        <f t="shared" si="128"/>
        <v>42309</v>
      </c>
      <c r="B147" s="30">
        <f>Inputs!$B$8</f>
        <v>50000</v>
      </c>
      <c r="C147" s="17">
        <f t="shared" si="118"/>
        <v>0</v>
      </c>
      <c r="D147" s="17">
        <f t="shared" ca="1" si="119"/>
        <v>0</v>
      </c>
      <c r="E147" s="25">
        <f>VLOOKUP($A147,[1]!CurveTable,MATCH($E$4,[1]!CurveType,0))</f>
        <v>4.9474999999999998</v>
      </c>
      <c r="F147" s="31">
        <f>E147-Inputs!$B$16</f>
        <v>5.0024999999999995</v>
      </c>
      <c r="G147" s="43">
        <f t="shared" si="113"/>
        <v>5.0024999999999995</v>
      </c>
      <c r="H147" s="25">
        <f>VLOOKUP($A147,[1]!CurveTable,MATCH($H$4,[1]!CurveType,0))</f>
        <v>0.23</v>
      </c>
      <c r="I147" s="31">
        <f>H147+Inputs!$B$22</f>
        <v>0.23</v>
      </c>
      <c r="J147" s="44">
        <f t="shared" si="114"/>
        <v>0.23</v>
      </c>
      <c r="K147" s="25">
        <f>VLOOKUP($A147,[1]!CurveTable,MATCH($K$4,[1]!CurveType,0))</f>
        <v>0</v>
      </c>
      <c r="L147" s="31">
        <v>0</v>
      </c>
      <c r="M147" s="45">
        <f t="shared" si="115"/>
        <v>0</v>
      </c>
      <c r="N147" s="25">
        <f>VLOOKUP($A147,[1]!CurveTable,MATCH($N$4,[1]!CurveType,0))</f>
        <v>1.6E-2</v>
      </c>
      <c r="O147" s="31">
        <f>N147+Inputs!$E$22</f>
        <v>1.6E-2</v>
      </c>
      <c r="P147" s="45">
        <f t="shared" si="116"/>
        <v>1.6E-2</v>
      </c>
      <c r="Q147" s="25">
        <f>VLOOKUP($A147,[1]!CurveTable,MATCH($Q$4,[1]!CurveType,0))</f>
        <v>7.4999999999999997E-3</v>
      </c>
      <c r="R147" s="31">
        <v>0</v>
      </c>
      <c r="S147" s="45">
        <f t="shared" si="117"/>
        <v>0</v>
      </c>
      <c r="T147" s="4"/>
      <c r="U147" s="159">
        <f t="shared" si="129"/>
        <v>5.2324999999999999</v>
      </c>
      <c r="V147" s="160"/>
      <c r="W147" s="100">
        <f>VLOOKUP($A147,[1]!CurveTable,MATCH($W$4,[1]!CurveType,0))+$W$9</f>
        <v>0.17</v>
      </c>
      <c r="X147" s="100">
        <f>VLOOKUP($A147,[1]!CurveTable,MATCH($X$4,[1]!CurveType,0))+$X$9</f>
        <v>0.17500000000000002</v>
      </c>
      <c r="Y147" s="158">
        <f t="shared" ca="1" si="120"/>
        <v>0.17579257410634921</v>
      </c>
      <c r="Z147" s="4"/>
      <c r="AA147" s="159">
        <f t="shared" si="130"/>
        <v>5.0184999999999995</v>
      </c>
      <c r="AB147" s="160"/>
      <c r="AC147" s="100">
        <f>VLOOKUP($A147,[1]!CurveTable,MATCH($AC$4,[1]!CurveType,0))+$AC$9</f>
        <v>0.17</v>
      </c>
      <c r="AD147" s="100">
        <f>VLOOKUP($A147,[1]!CurveTable,MATCH($AD$4,[1]!CurveType,0))+$AD$9</f>
        <v>0.17500000000000002</v>
      </c>
      <c r="AE147" s="158">
        <f t="shared" ca="1" si="121"/>
        <v>0.17579257410634921</v>
      </c>
      <c r="AF147" s="4"/>
      <c r="AG147" s="52">
        <f ca="1">((Inputs!$F$20*(X147*AD147)*(A147-$C$3))+(Inputs!$F$19*W147*AC147*(DAY(EOMONTH(A147,0))/2)))/(AN147*Y147*AE147)</f>
        <v>0.74999999999999989</v>
      </c>
      <c r="AH147" s="4"/>
      <c r="AI147" s="18">
        <f>Inputs!$B$15</f>
        <v>0.06</v>
      </c>
      <c r="AJ147" s="46"/>
      <c r="AK147" s="18">
        <f t="shared" si="122"/>
        <v>0.15400000000000041</v>
      </c>
      <c r="AL147" s="46"/>
      <c r="AM147" s="62">
        <f t="shared" si="123"/>
        <v>42277</v>
      </c>
      <c r="AN147" s="63">
        <f t="shared" ca="1" si="124"/>
        <v>5084</v>
      </c>
      <c r="AO147" s="63">
        <f t="shared" si="151"/>
        <v>1</v>
      </c>
      <c r="AP147" s="19"/>
      <c r="AQ147" s="74">
        <f ca="1">_xll.SPRDOPT(U147,AA147,AI147,AX147,X147,AD147,AG147,AN147,AO147,0)</f>
        <v>0.45490186755689527</v>
      </c>
      <c r="AR147" s="47">
        <f t="shared" ca="1" si="131"/>
        <v>0</v>
      </c>
      <c r="AS147" s="135">
        <f t="shared" ca="1" si="132"/>
        <v>0.30090186755689485</v>
      </c>
      <c r="AU147" s="5">
        <f t="shared" si="152"/>
        <v>30</v>
      </c>
      <c r="AV147" s="148">
        <f t="shared" si="125"/>
        <v>42323</v>
      </c>
      <c r="AW147" s="41">
        <f t="shared" ca="1" si="126"/>
        <v>5130</v>
      </c>
      <c r="AX147" s="100">
        <f>VLOOKUP($A147,[1]!CurveTable,MATCH(AX$4,[1]!CurveType,0))</f>
        <v>5.76401135823175E-2</v>
      </c>
      <c r="AY147" s="149">
        <f ca="1">1/(1+CHOOSE(F$3,(AX148+(Inputs!$B$14/10000))/2,(AX147+(Inputs!$B$14/10000))/2))^(2*AW147/365.25)</f>
        <v>0.45017494763511695</v>
      </c>
      <c r="AZ147" s="41">
        <f t="shared" si="153"/>
        <v>0</v>
      </c>
      <c r="BA147" s="72">
        <f t="shared" si="154"/>
        <v>0</v>
      </c>
      <c r="BC147" s="65">
        <f t="shared" ca="1" si="133"/>
        <v>0</v>
      </c>
      <c r="BD147" s="65">
        <f t="shared" ca="1" si="134"/>
        <v>0</v>
      </c>
      <c r="BE147" s="65">
        <f t="shared" ca="1" si="135"/>
        <v>0</v>
      </c>
      <c r="BF147" s="65">
        <f t="shared" ca="1" si="136"/>
        <v>0</v>
      </c>
      <c r="BG147" s="65">
        <f t="shared" ca="1" si="137"/>
        <v>0</v>
      </c>
      <c r="BH147" s="65">
        <f t="shared" ca="1" si="138"/>
        <v>0</v>
      </c>
      <c r="BI147" s="65">
        <f t="shared" ca="1" si="139"/>
        <v>0</v>
      </c>
      <c r="BJ147" s="65">
        <f t="shared" ca="1" si="140"/>
        <v>0</v>
      </c>
      <c r="BK147" s="65">
        <f t="shared" ca="1" si="141"/>
        <v>0</v>
      </c>
      <c r="BL147" s="65">
        <f t="shared" ca="1" si="142"/>
        <v>0</v>
      </c>
      <c r="BM147" s="65">
        <f t="shared" ca="1" si="143"/>
        <v>0</v>
      </c>
      <c r="BN147" s="65">
        <f t="shared" ca="1" si="144"/>
        <v>0</v>
      </c>
      <c r="BO147" s="65">
        <f t="shared" ca="1" si="145"/>
        <v>0</v>
      </c>
      <c r="BP147" s="65">
        <f t="shared" ca="1" si="146"/>
        <v>0</v>
      </c>
      <c r="BQ147" s="65">
        <f t="shared" ca="1" si="147"/>
        <v>0</v>
      </c>
      <c r="BR147" s="65">
        <f t="shared" ca="1" si="148"/>
        <v>0</v>
      </c>
      <c r="BS147" s="65">
        <f t="shared" ca="1" si="149"/>
        <v>0</v>
      </c>
      <c r="BT147" s="65">
        <f t="shared" ca="1" si="150"/>
        <v>0</v>
      </c>
      <c r="BU147" s="65">
        <f t="shared" ca="1" si="127"/>
        <v>0</v>
      </c>
    </row>
    <row r="148" spans="1:73">
      <c r="A148" s="42">
        <f t="shared" si="128"/>
        <v>42339</v>
      </c>
      <c r="B148" s="30">
        <f>Inputs!$B$8</f>
        <v>50000</v>
      </c>
      <c r="C148" s="17">
        <f t="shared" si="118"/>
        <v>0</v>
      </c>
      <c r="D148" s="17">
        <f t="shared" ca="1" si="119"/>
        <v>0</v>
      </c>
      <c r="E148" s="25">
        <f>VLOOKUP($A148,[1]!CurveTable,MATCH($E$4,[1]!CurveType,0))</f>
        <v>5.0994999999999999</v>
      </c>
      <c r="F148" s="31">
        <f>E148-Inputs!$B$16</f>
        <v>5.1544999999999996</v>
      </c>
      <c r="G148" s="43">
        <f t="shared" si="113"/>
        <v>5.1544999999999996</v>
      </c>
      <c r="H148" s="25">
        <f>VLOOKUP($A148,[1]!CurveTable,MATCH($H$4,[1]!CurveType,0))</f>
        <v>0.26</v>
      </c>
      <c r="I148" s="31">
        <f>H148+Inputs!$B$22</f>
        <v>0.26</v>
      </c>
      <c r="J148" s="44">
        <f t="shared" si="114"/>
        <v>0.26</v>
      </c>
      <c r="K148" s="25">
        <f>VLOOKUP($A148,[1]!CurveTable,MATCH($K$4,[1]!CurveType,0))</f>
        <v>0</v>
      </c>
      <c r="L148" s="31">
        <v>0</v>
      </c>
      <c r="M148" s="45">
        <f t="shared" si="115"/>
        <v>0</v>
      </c>
      <c r="N148" s="25">
        <f>VLOOKUP($A148,[1]!CurveTable,MATCH($N$4,[1]!CurveType,0))</f>
        <v>1.6E-2</v>
      </c>
      <c r="O148" s="31">
        <f>N148+Inputs!$E$22</f>
        <v>1.6E-2</v>
      </c>
      <c r="P148" s="45">
        <f t="shared" si="116"/>
        <v>1.6E-2</v>
      </c>
      <c r="Q148" s="25">
        <f>VLOOKUP($A148,[1]!CurveTable,MATCH($Q$4,[1]!CurveType,0))</f>
        <v>7.4999999999999997E-3</v>
      </c>
      <c r="R148" s="31">
        <v>0</v>
      </c>
      <c r="S148" s="45">
        <f t="shared" si="117"/>
        <v>0</v>
      </c>
      <c r="T148" s="4"/>
      <c r="U148" s="159">
        <f t="shared" si="129"/>
        <v>5.4144999999999994</v>
      </c>
      <c r="V148" s="160"/>
      <c r="W148" s="100">
        <f>VLOOKUP($A148,[1]!CurveTable,MATCH($W$4,[1]!CurveType,0))+$W$9</f>
        <v>0.17</v>
      </c>
      <c r="X148" s="100">
        <f>VLOOKUP($A148,[1]!CurveTable,MATCH($X$4,[1]!CurveType,0))+$X$9</f>
        <v>0.17500000000000002</v>
      </c>
      <c r="Y148" s="158">
        <f t="shared" ca="1" si="120"/>
        <v>0.17577878659890056</v>
      </c>
      <c r="Z148" s="4"/>
      <c r="AA148" s="159">
        <f t="shared" si="130"/>
        <v>5.1704999999999997</v>
      </c>
      <c r="AB148" s="160"/>
      <c r="AC148" s="100">
        <f>VLOOKUP($A148,[1]!CurveTable,MATCH($AC$4,[1]!CurveType,0))+$AC$9</f>
        <v>0.17</v>
      </c>
      <c r="AD148" s="100">
        <f>VLOOKUP($A148,[1]!CurveTable,MATCH($AD$4,[1]!CurveType,0))+$AD$9</f>
        <v>0.17500000000000002</v>
      </c>
      <c r="AE148" s="158">
        <f t="shared" ca="1" si="121"/>
        <v>0.17577878659890056</v>
      </c>
      <c r="AF148" s="4"/>
      <c r="AG148" s="52">
        <f ca="1">((Inputs!$F$20*(X148*AD148)*(A148-$C$3))+(Inputs!$F$19*W148*AC148*(DAY(EOMONTH(A148,0))/2)))/(AN148*Y148*AE148)</f>
        <v>0.75</v>
      </c>
      <c r="AH148" s="4"/>
      <c r="AI148" s="18">
        <f>Inputs!$B$15</f>
        <v>0.06</v>
      </c>
      <c r="AJ148" s="46"/>
      <c r="AK148" s="18">
        <f t="shared" si="122"/>
        <v>0.18399999999999977</v>
      </c>
      <c r="AL148" s="46"/>
      <c r="AM148" s="62">
        <f t="shared" si="123"/>
        <v>42308</v>
      </c>
      <c r="AN148" s="63">
        <f t="shared" ca="1" si="124"/>
        <v>5115</v>
      </c>
      <c r="AO148" s="63">
        <f t="shared" si="151"/>
        <v>1</v>
      </c>
      <c r="AP148" s="19"/>
      <c r="AQ148" s="74">
        <f ca="1">_xll.SPRDOPT(U148,AA148,AI148,AX148,X148,AD148,AG148,AN148,AO148,0)</f>
        <v>0.47421193206638768</v>
      </c>
      <c r="AR148" s="47">
        <f t="shared" ca="1" si="131"/>
        <v>0</v>
      </c>
      <c r="AS148" s="135">
        <f t="shared" ca="1" si="132"/>
        <v>0.2902119320663879</v>
      </c>
      <c r="AU148" s="5">
        <f t="shared" si="152"/>
        <v>31</v>
      </c>
      <c r="AV148" s="148">
        <f t="shared" si="125"/>
        <v>42353</v>
      </c>
      <c r="AW148" s="41">
        <f t="shared" ca="1" si="126"/>
        <v>5160</v>
      </c>
      <c r="AX148" s="100">
        <f>VLOOKUP($A148,[1]!CurveTable,MATCH(AX$4,[1]!CurveType,0))</f>
        <v>5.7696448503876702E-2</v>
      </c>
      <c r="AY148" s="149">
        <f ca="1">1/(1+CHOOSE(F$3,(AX149+(Inputs!$B$14/10000))/2,(AX148+(Inputs!$B$14/10000))/2))^(2*AW148/365.25)</f>
        <v>0.44773223369756743</v>
      </c>
      <c r="AZ148" s="41">
        <f t="shared" si="153"/>
        <v>0</v>
      </c>
      <c r="BA148" s="72">
        <f t="shared" si="154"/>
        <v>0</v>
      </c>
      <c r="BC148" s="65">
        <f t="shared" ca="1" si="133"/>
        <v>0</v>
      </c>
      <c r="BD148" s="65">
        <f t="shared" ca="1" si="134"/>
        <v>0</v>
      </c>
      <c r="BE148" s="65">
        <f t="shared" ca="1" si="135"/>
        <v>0</v>
      </c>
      <c r="BF148" s="65">
        <f t="shared" ca="1" si="136"/>
        <v>0</v>
      </c>
      <c r="BG148" s="65">
        <f t="shared" ca="1" si="137"/>
        <v>0</v>
      </c>
      <c r="BH148" s="65">
        <f t="shared" ca="1" si="138"/>
        <v>0</v>
      </c>
      <c r="BI148" s="65">
        <f t="shared" ca="1" si="139"/>
        <v>0</v>
      </c>
      <c r="BJ148" s="65">
        <f t="shared" ca="1" si="140"/>
        <v>0</v>
      </c>
      <c r="BK148" s="65">
        <f t="shared" ca="1" si="141"/>
        <v>0</v>
      </c>
      <c r="BL148" s="65">
        <f t="shared" ca="1" si="142"/>
        <v>0</v>
      </c>
      <c r="BM148" s="65">
        <f t="shared" ca="1" si="143"/>
        <v>0</v>
      </c>
      <c r="BN148" s="65">
        <f t="shared" ca="1" si="144"/>
        <v>0</v>
      </c>
      <c r="BO148" s="65">
        <f t="shared" ca="1" si="145"/>
        <v>0</v>
      </c>
      <c r="BP148" s="65">
        <f t="shared" ca="1" si="146"/>
        <v>0</v>
      </c>
      <c r="BQ148" s="65">
        <f t="shared" ca="1" si="147"/>
        <v>0</v>
      </c>
      <c r="BR148" s="65">
        <f t="shared" ca="1" si="148"/>
        <v>0</v>
      </c>
      <c r="BS148" s="65">
        <f t="shared" ca="1" si="149"/>
        <v>0</v>
      </c>
      <c r="BT148" s="65">
        <f t="shared" ca="1" si="150"/>
        <v>0</v>
      </c>
      <c r="BU148" s="65">
        <f t="shared" ca="1" si="127"/>
        <v>0</v>
      </c>
    </row>
    <row r="149" spans="1:73">
      <c r="A149" s="42">
        <f t="shared" si="128"/>
        <v>42370</v>
      </c>
      <c r="B149" s="30">
        <f>Inputs!$B$8</f>
        <v>50000</v>
      </c>
      <c r="C149" s="17">
        <f t="shared" si="118"/>
        <v>0</v>
      </c>
      <c r="D149" s="17">
        <f t="shared" ca="1" si="119"/>
        <v>0</v>
      </c>
      <c r="E149" s="25">
        <f>VLOOKUP($A149,[1]!CurveTable,MATCH($E$4,[1]!CurveType,0))</f>
        <v>5.1770000000000005</v>
      </c>
      <c r="F149" s="31">
        <f>E149-Inputs!$B$16</f>
        <v>5.2320000000000002</v>
      </c>
      <c r="G149" s="43">
        <f t="shared" si="113"/>
        <v>5.2320000000000002</v>
      </c>
      <c r="H149" s="25">
        <f>VLOOKUP($A149,[1]!CurveTable,MATCH($H$4,[1]!CurveType,0))</f>
        <v>8.5000000000000006E-2</v>
      </c>
      <c r="I149" s="31">
        <f>H149+Inputs!$B$22</f>
        <v>8.5000000000000006E-2</v>
      </c>
      <c r="J149" s="44">
        <f t="shared" si="114"/>
        <v>8.5000000000000006E-2</v>
      </c>
      <c r="K149" s="25">
        <f>VLOOKUP($A149,[1]!CurveTable,MATCH($K$4,[1]!CurveType,0))</f>
        <v>0</v>
      </c>
      <c r="L149" s="31">
        <v>0</v>
      </c>
      <c r="M149" s="45">
        <f t="shared" si="115"/>
        <v>0</v>
      </c>
      <c r="N149" s="25">
        <f>VLOOKUP($A149,[1]!CurveTable,MATCH($N$4,[1]!CurveType,0))</f>
        <v>1.6E-2</v>
      </c>
      <c r="O149" s="31">
        <f>N149+Inputs!$E$22</f>
        <v>1.6E-2</v>
      </c>
      <c r="P149" s="45">
        <f t="shared" si="116"/>
        <v>1.6E-2</v>
      </c>
      <c r="Q149" s="25">
        <f>VLOOKUP($A149,[1]!CurveTable,MATCH($Q$4,[1]!CurveType,0))</f>
        <v>7.4999999999999997E-3</v>
      </c>
      <c r="R149" s="31">
        <v>0</v>
      </c>
      <c r="S149" s="45">
        <f t="shared" si="117"/>
        <v>0</v>
      </c>
      <c r="T149" s="4"/>
      <c r="U149" s="159">
        <f t="shared" si="129"/>
        <v>5.3170000000000002</v>
      </c>
      <c r="V149" s="160"/>
      <c r="W149" s="100">
        <f>VLOOKUP($A149,[1]!CurveTable,MATCH($W$4,[1]!CurveType,0))+$W$9</f>
        <v>0.17</v>
      </c>
      <c r="X149" s="100">
        <f>VLOOKUP($A149,[1]!CurveTable,MATCH($X$4,[1]!CurveType,0))+$X$9</f>
        <v>0.17500000000000002</v>
      </c>
      <c r="Y149" s="158">
        <f t="shared" ca="1" si="120"/>
        <v>0.17579118664550616</v>
      </c>
      <c r="Z149" s="4"/>
      <c r="AA149" s="159">
        <f t="shared" si="130"/>
        <v>5.2480000000000002</v>
      </c>
      <c r="AB149" s="160"/>
      <c r="AC149" s="100">
        <f>VLOOKUP($A149,[1]!CurveTable,MATCH($AC$4,[1]!CurveType,0))+$AC$9</f>
        <v>0.17</v>
      </c>
      <c r="AD149" s="100">
        <f>VLOOKUP($A149,[1]!CurveTable,MATCH($AD$4,[1]!CurveType,0))+$AD$9</f>
        <v>0.17500000000000002</v>
      </c>
      <c r="AE149" s="158">
        <f t="shared" ca="1" si="121"/>
        <v>0.17579118664550616</v>
      </c>
      <c r="AF149" s="4"/>
      <c r="AG149" s="52">
        <f ca="1">((Inputs!$F$20*(X149*AD149)*(A149-$C$3))+(Inputs!$F$19*W149*AC149*(DAY(EOMONTH(A149,0))/2)))/(AN149*Y149*AE149)</f>
        <v>0.75</v>
      </c>
      <c r="AH149" s="4"/>
      <c r="AI149" s="18">
        <f>Inputs!$B$15</f>
        <v>0.06</v>
      </c>
      <c r="AJ149" s="46"/>
      <c r="AK149" s="18">
        <f t="shared" si="122"/>
        <v>8.9999999999999525E-3</v>
      </c>
      <c r="AL149" s="46"/>
      <c r="AM149" s="62">
        <f t="shared" si="123"/>
        <v>42338</v>
      </c>
      <c r="AN149" s="63">
        <f t="shared" ca="1" si="124"/>
        <v>5145</v>
      </c>
      <c r="AO149" s="63">
        <f t="shared" si="151"/>
        <v>1</v>
      </c>
      <c r="AP149" s="19"/>
      <c r="AQ149" s="74">
        <f ca="1">_xll.SPRDOPT(U149,AA149,AI149,AX149,X149,AD149,AG149,AN149,AO149,0)</f>
        <v>0.43205191557669803</v>
      </c>
      <c r="AR149" s="47">
        <f t="shared" ca="1" si="131"/>
        <v>0</v>
      </c>
      <c r="AS149" s="135">
        <f t="shared" ca="1" si="132"/>
        <v>0.42305191557669808</v>
      </c>
      <c r="AU149" s="5">
        <f t="shared" si="152"/>
        <v>31</v>
      </c>
      <c r="AV149" s="148">
        <f t="shared" si="125"/>
        <v>42384</v>
      </c>
      <c r="AW149" s="41">
        <f t="shared" ca="1" si="126"/>
        <v>5191</v>
      </c>
      <c r="AX149" s="100">
        <f>VLOOKUP($A149,[1]!CurveTable,MATCH(AX$4,[1]!CurveType,0))</f>
        <v>5.7754661257263702E-2</v>
      </c>
      <c r="AY149" s="149">
        <f ca="1">1/(1+CHOOSE(F$3,(AX150+(Inputs!$B$14/10000))/2,(AX149+(Inputs!$B$14/10000))/2))^(2*AW149/365.25)</f>
        <v>0.44521782254584186</v>
      </c>
      <c r="AZ149" s="41">
        <f t="shared" si="153"/>
        <v>0</v>
      </c>
      <c r="BA149" s="72">
        <f t="shared" si="154"/>
        <v>0</v>
      </c>
      <c r="BC149" s="65">
        <f t="shared" ca="1" si="133"/>
        <v>0</v>
      </c>
      <c r="BD149" s="65">
        <f t="shared" ca="1" si="134"/>
        <v>0</v>
      </c>
      <c r="BE149" s="65">
        <f t="shared" ca="1" si="135"/>
        <v>0</v>
      </c>
      <c r="BF149" s="65">
        <f t="shared" ca="1" si="136"/>
        <v>0</v>
      </c>
      <c r="BG149" s="65">
        <f t="shared" ca="1" si="137"/>
        <v>0</v>
      </c>
      <c r="BH149" s="65">
        <f t="shared" ca="1" si="138"/>
        <v>0</v>
      </c>
      <c r="BI149" s="65">
        <f t="shared" ca="1" si="139"/>
        <v>0</v>
      </c>
      <c r="BJ149" s="65">
        <f t="shared" ca="1" si="140"/>
        <v>0</v>
      </c>
      <c r="BK149" s="65">
        <f t="shared" ca="1" si="141"/>
        <v>0</v>
      </c>
      <c r="BL149" s="65">
        <f t="shared" ca="1" si="142"/>
        <v>0</v>
      </c>
      <c r="BM149" s="65">
        <f t="shared" ca="1" si="143"/>
        <v>0</v>
      </c>
      <c r="BN149" s="65">
        <f t="shared" ca="1" si="144"/>
        <v>0</v>
      </c>
      <c r="BO149" s="65">
        <f t="shared" ca="1" si="145"/>
        <v>0</v>
      </c>
      <c r="BP149" s="65">
        <f t="shared" ca="1" si="146"/>
        <v>0</v>
      </c>
      <c r="BQ149" s="65">
        <f t="shared" ca="1" si="147"/>
        <v>0</v>
      </c>
      <c r="BR149" s="65">
        <f t="shared" ca="1" si="148"/>
        <v>0</v>
      </c>
      <c r="BS149" s="65">
        <f t="shared" ca="1" si="149"/>
        <v>0</v>
      </c>
      <c r="BT149" s="65">
        <f t="shared" ca="1" si="150"/>
        <v>0</v>
      </c>
      <c r="BU149" s="65">
        <f t="shared" ca="1" si="127"/>
        <v>0</v>
      </c>
    </row>
    <row r="150" spans="1:73">
      <c r="A150" s="42">
        <f t="shared" si="128"/>
        <v>42401</v>
      </c>
      <c r="B150" s="30">
        <f>Inputs!$B$8</f>
        <v>50000</v>
      </c>
      <c r="C150" s="17">
        <f t="shared" si="118"/>
        <v>0</v>
      </c>
      <c r="D150" s="17">
        <f t="shared" ca="1" si="119"/>
        <v>0</v>
      </c>
      <c r="E150" s="25">
        <f>VLOOKUP($A150,[1]!CurveTable,MATCH($E$4,[1]!CurveType,0))</f>
        <v>5.09</v>
      </c>
      <c r="F150" s="31">
        <f>E150-Inputs!$B$16</f>
        <v>5.1449999999999996</v>
      </c>
      <c r="G150" s="43">
        <f t="shared" ref="G150:G169" si="155">F150</f>
        <v>5.1449999999999996</v>
      </c>
      <c r="H150" s="25">
        <f>VLOOKUP($A150,[1]!CurveTable,MATCH($H$4,[1]!CurveType,0))</f>
        <v>7.4999999999999997E-2</v>
      </c>
      <c r="I150" s="31">
        <f>H150+Inputs!$B$22</f>
        <v>7.4999999999999997E-2</v>
      </c>
      <c r="J150" s="44">
        <f t="shared" ref="J150:J169" si="156">I150</f>
        <v>7.4999999999999997E-2</v>
      </c>
      <c r="K150" s="25">
        <f>VLOOKUP($A150,[1]!CurveTable,MATCH($K$4,[1]!CurveType,0))</f>
        <v>0</v>
      </c>
      <c r="L150" s="31">
        <v>0</v>
      </c>
      <c r="M150" s="45">
        <f t="shared" ref="M150:M169" si="157">L150</f>
        <v>0</v>
      </c>
      <c r="N150" s="25">
        <f>VLOOKUP($A150,[1]!CurveTable,MATCH($N$4,[1]!CurveType,0))</f>
        <v>1.6E-2</v>
      </c>
      <c r="O150" s="31">
        <f>N150+Inputs!$E$22</f>
        <v>1.6E-2</v>
      </c>
      <c r="P150" s="45">
        <f t="shared" ref="P150:P169" si="158">O150</f>
        <v>1.6E-2</v>
      </c>
      <c r="Q150" s="25">
        <f>VLOOKUP($A150,[1]!CurveTable,MATCH($Q$4,[1]!CurveType,0))</f>
        <v>7.4999999999999997E-3</v>
      </c>
      <c r="R150" s="31">
        <v>0</v>
      </c>
      <c r="S150" s="45">
        <f t="shared" ref="S150:S169" si="159">R150</f>
        <v>0</v>
      </c>
      <c r="T150" s="4"/>
      <c r="U150" s="159">
        <f t="shared" si="129"/>
        <v>5.22</v>
      </c>
      <c r="V150" s="160"/>
      <c r="W150" s="100">
        <f>VLOOKUP($A150,[1]!CurveTable,MATCH($W$4,[1]!CurveType,0))+$W$9</f>
        <v>0.17</v>
      </c>
      <c r="X150" s="100">
        <f>VLOOKUP($A150,[1]!CurveTable,MATCH($X$4,[1]!CurveType,0))+$X$9</f>
        <v>0.17500000000000002</v>
      </c>
      <c r="Y150" s="158">
        <f t="shared" ca="1" si="120"/>
        <v>0.17577057659077672</v>
      </c>
      <c r="Z150" s="4"/>
      <c r="AA150" s="159">
        <f t="shared" si="130"/>
        <v>5.1609999999999996</v>
      </c>
      <c r="AB150" s="160"/>
      <c r="AC150" s="100">
        <f>VLOOKUP($A150,[1]!CurveTable,MATCH($AC$4,[1]!CurveType,0))+$AC$9</f>
        <v>0.17</v>
      </c>
      <c r="AD150" s="100">
        <f>VLOOKUP($A150,[1]!CurveTable,MATCH($AD$4,[1]!CurveType,0))+$AD$9</f>
        <v>0.17500000000000002</v>
      </c>
      <c r="AE150" s="158">
        <f t="shared" ca="1" si="121"/>
        <v>0.17577057659077672</v>
      </c>
      <c r="AF150" s="4"/>
      <c r="AG150" s="52">
        <f ca="1">((Inputs!$F$20*(X150*AD150)*(A150-$C$3))+(Inputs!$F$19*W150*AC150*(DAY(EOMONTH(A150,0))/2)))/(AN150*Y150*AE150)</f>
        <v>0.74999999999999989</v>
      </c>
      <c r="AH150" s="4"/>
      <c r="AI150" s="18">
        <f>Inputs!$B$15</f>
        <v>0.06</v>
      </c>
      <c r="AJ150" s="46"/>
      <c r="AK150" s="18">
        <f t="shared" si="122"/>
        <v>0</v>
      </c>
      <c r="AL150" s="46"/>
      <c r="AM150" s="62">
        <f t="shared" si="123"/>
        <v>42369</v>
      </c>
      <c r="AN150" s="63">
        <f t="shared" ca="1" si="124"/>
        <v>5176</v>
      </c>
      <c r="AO150" s="63">
        <f t="shared" si="151"/>
        <v>1</v>
      </c>
      <c r="AP150" s="19"/>
      <c r="AQ150" s="74">
        <f ca="1">_xll.SPRDOPT(U150,AA150,AI150,AX150,X150,AD150,AG150,AN150,AO150,0)</f>
        <v>0.42117568574330355</v>
      </c>
      <c r="AR150" s="47">
        <f t="shared" ca="1" si="131"/>
        <v>0</v>
      </c>
      <c r="AS150" s="135">
        <f t="shared" ca="1" si="132"/>
        <v>0.42117568574330355</v>
      </c>
      <c r="AU150" s="5">
        <f t="shared" si="152"/>
        <v>29</v>
      </c>
      <c r="AV150" s="148">
        <f t="shared" si="125"/>
        <v>42415</v>
      </c>
      <c r="AW150" s="41">
        <f t="shared" ca="1" si="126"/>
        <v>5222</v>
      </c>
      <c r="AX150" s="100">
        <f>VLOOKUP($A150,[1]!CurveTable,MATCH(AX$4,[1]!CurveType,0))</f>
        <v>5.7812874011778301E-2</v>
      </c>
      <c r="AY150" s="149">
        <f ca="1">1/(1+CHOOSE(F$3,(AX151+(Inputs!$B$14/10000))/2,(AX150+(Inputs!$B$14/10000))/2))^(2*AW150/365.25)</f>
        <v>0.44271329021640665</v>
      </c>
      <c r="AZ150" s="41">
        <f t="shared" si="153"/>
        <v>0</v>
      </c>
      <c r="BA150" s="72">
        <f t="shared" si="154"/>
        <v>0</v>
      </c>
      <c r="BC150" s="65">
        <f t="shared" ca="1" si="133"/>
        <v>0</v>
      </c>
      <c r="BD150" s="65">
        <f t="shared" ca="1" si="134"/>
        <v>0</v>
      </c>
      <c r="BE150" s="65">
        <f t="shared" ca="1" si="135"/>
        <v>0</v>
      </c>
      <c r="BF150" s="65">
        <f t="shared" ca="1" si="136"/>
        <v>0</v>
      </c>
      <c r="BG150" s="65">
        <f t="shared" ca="1" si="137"/>
        <v>0</v>
      </c>
      <c r="BH150" s="65">
        <f t="shared" ca="1" si="138"/>
        <v>0</v>
      </c>
      <c r="BI150" s="65">
        <f t="shared" ca="1" si="139"/>
        <v>0</v>
      </c>
      <c r="BJ150" s="65">
        <f t="shared" ca="1" si="140"/>
        <v>0</v>
      </c>
      <c r="BK150" s="65">
        <f t="shared" ca="1" si="141"/>
        <v>0</v>
      </c>
      <c r="BL150" s="65">
        <f t="shared" ca="1" si="142"/>
        <v>0</v>
      </c>
      <c r="BM150" s="65">
        <f t="shared" ca="1" si="143"/>
        <v>0</v>
      </c>
      <c r="BN150" s="65">
        <f t="shared" ca="1" si="144"/>
        <v>0</v>
      </c>
      <c r="BO150" s="65">
        <f t="shared" ca="1" si="145"/>
        <v>0</v>
      </c>
      <c r="BP150" s="65">
        <f t="shared" ca="1" si="146"/>
        <v>0</v>
      </c>
      <c r="BQ150" s="65">
        <f t="shared" ca="1" si="147"/>
        <v>0</v>
      </c>
      <c r="BR150" s="65">
        <f t="shared" ca="1" si="148"/>
        <v>0</v>
      </c>
      <c r="BS150" s="65">
        <f t="shared" ca="1" si="149"/>
        <v>0</v>
      </c>
      <c r="BT150" s="65">
        <f t="shared" ca="1" si="150"/>
        <v>0</v>
      </c>
      <c r="BU150" s="65">
        <f t="shared" ca="1" si="127"/>
        <v>0</v>
      </c>
    </row>
    <row r="151" spans="1:73">
      <c r="A151" s="42">
        <f t="shared" si="128"/>
        <v>42430</v>
      </c>
      <c r="B151" s="30">
        <f>Inputs!$B$8</f>
        <v>50000</v>
      </c>
      <c r="C151" s="17">
        <f t="shared" si="118"/>
        <v>0</v>
      </c>
      <c r="D151" s="17">
        <f t="shared" ca="1" si="119"/>
        <v>0</v>
      </c>
      <c r="E151" s="25">
        <f>VLOOKUP($A151,[1]!CurveTable,MATCH($E$4,[1]!CurveType,0))</f>
        <v>4.9510000000000005</v>
      </c>
      <c r="F151" s="31">
        <f>E151-Inputs!$B$16</f>
        <v>5.0060000000000002</v>
      </c>
      <c r="G151" s="43">
        <f t="shared" si="155"/>
        <v>5.0060000000000002</v>
      </c>
      <c r="H151" s="25">
        <f>VLOOKUP($A151,[1]!CurveTable,MATCH($H$4,[1]!CurveType,0))</f>
        <v>0.115</v>
      </c>
      <c r="I151" s="31">
        <f>H151+Inputs!$B$22</f>
        <v>0.115</v>
      </c>
      <c r="J151" s="44">
        <f t="shared" si="156"/>
        <v>0.115</v>
      </c>
      <c r="K151" s="25">
        <f>VLOOKUP($A151,[1]!CurveTable,MATCH($K$4,[1]!CurveType,0))</f>
        <v>0</v>
      </c>
      <c r="L151" s="31">
        <v>0</v>
      </c>
      <c r="M151" s="45">
        <f t="shared" si="157"/>
        <v>0</v>
      </c>
      <c r="N151" s="25">
        <f>VLOOKUP($A151,[1]!CurveTable,MATCH($N$4,[1]!CurveType,0))</f>
        <v>0.02</v>
      </c>
      <c r="O151" s="31">
        <f>N151+Inputs!$E$22</f>
        <v>0.02</v>
      </c>
      <c r="P151" s="45">
        <f t="shared" si="158"/>
        <v>0.02</v>
      </c>
      <c r="Q151" s="25">
        <f>VLOOKUP($A151,[1]!CurveTable,MATCH($Q$4,[1]!CurveType,0))</f>
        <v>7.4999999999999997E-3</v>
      </c>
      <c r="R151" s="31">
        <v>0</v>
      </c>
      <c r="S151" s="45">
        <f t="shared" si="159"/>
        <v>0</v>
      </c>
      <c r="T151" s="4"/>
      <c r="U151" s="159">
        <f t="shared" si="129"/>
        <v>5.1210000000000004</v>
      </c>
      <c r="V151" s="160"/>
      <c r="W151" s="100">
        <f>VLOOKUP($A151,[1]!CurveTable,MATCH($W$4,[1]!CurveType,0))+$W$9</f>
        <v>0.17</v>
      </c>
      <c r="X151" s="100">
        <f>VLOOKUP($A151,[1]!CurveTable,MATCH($X$4,[1]!CurveType,0))+$X$9</f>
        <v>0.17500000000000002</v>
      </c>
      <c r="Y151" s="158">
        <f t="shared" ca="1" si="120"/>
        <v>0.17574832458160128</v>
      </c>
      <c r="Z151" s="4"/>
      <c r="AA151" s="159">
        <f t="shared" si="130"/>
        <v>5.0259999999999998</v>
      </c>
      <c r="AB151" s="160"/>
      <c r="AC151" s="100">
        <f>VLOOKUP($A151,[1]!CurveTable,MATCH($AC$4,[1]!CurveType,0))+$AC$9</f>
        <v>0.17</v>
      </c>
      <c r="AD151" s="100">
        <f>VLOOKUP($A151,[1]!CurveTable,MATCH($AD$4,[1]!CurveType,0))+$AD$9</f>
        <v>0.17500000000000002</v>
      </c>
      <c r="AE151" s="158">
        <f t="shared" ca="1" si="121"/>
        <v>0.17574832458160128</v>
      </c>
      <c r="AF151" s="4"/>
      <c r="AG151" s="52">
        <f ca="1">((Inputs!$F$20*(X151*AD151)*(A151-$C$3))+(Inputs!$F$19*W151*AC151*(DAY(EOMONTH(A151,0))/2)))/(AN151*Y151*AE151)</f>
        <v>0.75</v>
      </c>
      <c r="AH151" s="4"/>
      <c r="AI151" s="18">
        <f>Inputs!$B$15</f>
        <v>0.06</v>
      </c>
      <c r="AJ151" s="46"/>
      <c r="AK151" s="18">
        <f t="shared" si="122"/>
        <v>3.5000000000000642E-2</v>
      </c>
      <c r="AL151" s="46"/>
      <c r="AM151" s="62">
        <f t="shared" si="123"/>
        <v>42400</v>
      </c>
      <c r="AN151" s="63">
        <f t="shared" ca="1" si="124"/>
        <v>5207</v>
      </c>
      <c r="AO151" s="63">
        <f t="shared" si="151"/>
        <v>1</v>
      </c>
      <c r="AP151" s="19"/>
      <c r="AQ151" s="74">
        <f ca="1">_xll.SPRDOPT(U151,AA151,AI151,AX151,X151,AD151,AG151,AN151,AO151,0)</f>
        <v>0.41847765674651921</v>
      </c>
      <c r="AR151" s="47">
        <f t="shared" ca="1" si="131"/>
        <v>0</v>
      </c>
      <c r="AS151" s="135">
        <f t="shared" ca="1" si="132"/>
        <v>0.38347765674651857</v>
      </c>
      <c r="AU151" s="5">
        <f t="shared" si="152"/>
        <v>31</v>
      </c>
      <c r="AV151" s="148">
        <f t="shared" si="125"/>
        <v>42444</v>
      </c>
      <c r="AW151" s="41">
        <f t="shared" ca="1" si="126"/>
        <v>5251</v>
      </c>
      <c r="AX151" s="100">
        <f>VLOOKUP($A151,[1]!CurveTable,MATCH(AX$4,[1]!CurveType,0))</f>
        <v>5.7867331105730703E-2</v>
      </c>
      <c r="AY151" s="149">
        <f ca="1">1/(1+CHOOSE(F$3,(AX152+(Inputs!$B$14/10000))/2,(AX151+(Inputs!$B$14/10000))/2))^(2*AW151/365.25)</f>
        <v>0.4403792773130274</v>
      </c>
      <c r="AZ151" s="41">
        <f t="shared" si="153"/>
        <v>0</v>
      </c>
      <c r="BA151" s="72">
        <f t="shared" si="154"/>
        <v>0</v>
      </c>
      <c r="BC151" s="65">
        <f t="shared" ca="1" si="133"/>
        <v>0</v>
      </c>
      <c r="BD151" s="65">
        <f t="shared" ca="1" si="134"/>
        <v>0</v>
      </c>
      <c r="BE151" s="65">
        <f t="shared" ca="1" si="135"/>
        <v>0</v>
      </c>
      <c r="BF151" s="65">
        <f t="shared" ca="1" si="136"/>
        <v>0</v>
      </c>
      <c r="BG151" s="65">
        <f t="shared" ca="1" si="137"/>
        <v>0</v>
      </c>
      <c r="BH151" s="65">
        <f t="shared" ca="1" si="138"/>
        <v>0</v>
      </c>
      <c r="BI151" s="65">
        <f t="shared" ca="1" si="139"/>
        <v>0</v>
      </c>
      <c r="BJ151" s="65">
        <f t="shared" ca="1" si="140"/>
        <v>0</v>
      </c>
      <c r="BK151" s="65">
        <f t="shared" ca="1" si="141"/>
        <v>0</v>
      </c>
      <c r="BL151" s="65">
        <f t="shared" ca="1" si="142"/>
        <v>0</v>
      </c>
      <c r="BM151" s="65">
        <f t="shared" ca="1" si="143"/>
        <v>0</v>
      </c>
      <c r="BN151" s="65">
        <f t="shared" ca="1" si="144"/>
        <v>0</v>
      </c>
      <c r="BO151" s="65">
        <f t="shared" ca="1" si="145"/>
        <v>0</v>
      </c>
      <c r="BP151" s="65">
        <f t="shared" ca="1" si="146"/>
        <v>0</v>
      </c>
      <c r="BQ151" s="65">
        <f t="shared" ca="1" si="147"/>
        <v>0</v>
      </c>
      <c r="BR151" s="65">
        <f t="shared" ca="1" si="148"/>
        <v>0</v>
      </c>
      <c r="BS151" s="65">
        <f t="shared" ca="1" si="149"/>
        <v>0</v>
      </c>
      <c r="BT151" s="65">
        <f t="shared" ca="1" si="150"/>
        <v>0</v>
      </c>
      <c r="BU151" s="65">
        <f t="shared" ca="1" si="127"/>
        <v>0</v>
      </c>
    </row>
    <row r="152" spans="1:73">
      <c r="A152" s="42">
        <f t="shared" si="128"/>
        <v>42461</v>
      </c>
      <c r="B152" s="30">
        <f>Inputs!$B$8</f>
        <v>50000</v>
      </c>
      <c r="C152" s="17">
        <f t="shared" si="118"/>
        <v>0</v>
      </c>
      <c r="D152" s="17">
        <f t="shared" ca="1" si="119"/>
        <v>0</v>
      </c>
      <c r="E152" s="25">
        <f>VLOOKUP($A152,[1]!CurveTable,MATCH($E$4,[1]!CurveType,0))</f>
        <v>4.7970000000000006</v>
      </c>
      <c r="F152" s="31">
        <f>E152-Inputs!$B$16</f>
        <v>4.8520000000000003</v>
      </c>
      <c r="G152" s="43">
        <f t="shared" si="155"/>
        <v>4.8520000000000003</v>
      </c>
      <c r="H152" s="25">
        <f>VLOOKUP($A152,[1]!CurveTable,MATCH($H$4,[1]!CurveType,0))</f>
        <v>0.55000000000000004</v>
      </c>
      <c r="I152" s="31">
        <f>H152+Inputs!$B$22</f>
        <v>0.55000000000000004</v>
      </c>
      <c r="J152" s="44">
        <f t="shared" si="156"/>
        <v>0.55000000000000004</v>
      </c>
      <c r="K152" s="25">
        <f>VLOOKUP($A152,[1]!CurveTable,MATCH($K$4,[1]!CurveType,0))</f>
        <v>0</v>
      </c>
      <c r="L152" s="31">
        <v>0</v>
      </c>
      <c r="M152" s="45">
        <f t="shared" si="157"/>
        <v>0</v>
      </c>
      <c r="N152" s="25">
        <f>VLOOKUP($A152,[1]!CurveTable,MATCH($N$4,[1]!CurveType,0))</f>
        <v>0.02</v>
      </c>
      <c r="O152" s="31">
        <f>N152+Inputs!$E$22</f>
        <v>0.02</v>
      </c>
      <c r="P152" s="45">
        <f t="shared" si="158"/>
        <v>0.02</v>
      </c>
      <c r="Q152" s="25">
        <f>VLOOKUP($A152,[1]!CurveTable,MATCH($Q$4,[1]!CurveType,0))</f>
        <v>0.01</v>
      </c>
      <c r="R152" s="31">
        <v>0</v>
      </c>
      <c r="S152" s="45">
        <f t="shared" si="159"/>
        <v>0</v>
      </c>
      <c r="T152" s="4"/>
      <c r="U152" s="159">
        <f t="shared" si="129"/>
        <v>5.4020000000000001</v>
      </c>
      <c r="V152" s="160"/>
      <c r="W152" s="100">
        <f>VLOOKUP($A152,[1]!CurveTable,MATCH($W$4,[1]!CurveType,0))+$W$9</f>
        <v>0.17</v>
      </c>
      <c r="X152" s="100">
        <f>VLOOKUP($A152,[1]!CurveTable,MATCH($X$4,[1]!CurveType,0))+$X$9</f>
        <v>0.17500000000000002</v>
      </c>
      <c r="Y152" s="158">
        <f t="shared" ca="1" si="120"/>
        <v>0.17576961621165726</v>
      </c>
      <c r="Z152" s="4"/>
      <c r="AA152" s="159">
        <f t="shared" si="130"/>
        <v>4.8719999999999999</v>
      </c>
      <c r="AB152" s="160"/>
      <c r="AC152" s="100">
        <f>VLOOKUP($A152,[1]!CurveTable,MATCH($AC$4,[1]!CurveType,0))+$AC$9</f>
        <v>0.17</v>
      </c>
      <c r="AD152" s="100">
        <f>VLOOKUP($A152,[1]!CurveTable,MATCH($AD$4,[1]!CurveType,0))+$AD$9</f>
        <v>0.17500000000000002</v>
      </c>
      <c r="AE152" s="158">
        <f t="shared" ca="1" si="121"/>
        <v>0.17576961621165726</v>
      </c>
      <c r="AF152" s="4"/>
      <c r="AG152" s="52">
        <f ca="1">((Inputs!$F$20*(X152*AD152)*(A152-$C$3))+(Inputs!$F$19*W152*AC152*(DAY(EOMONTH(A152,0))/2)))/(AN152*Y152*AE152)</f>
        <v>0.74999999999999978</v>
      </c>
      <c r="AH152" s="4"/>
      <c r="AI152" s="18">
        <f>Inputs!$B$15</f>
        <v>0.06</v>
      </c>
      <c r="AJ152" s="46"/>
      <c r="AK152" s="18">
        <f t="shared" si="122"/>
        <v>0.47000000000000025</v>
      </c>
      <c r="AL152" s="46"/>
      <c r="AM152" s="62">
        <f t="shared" si="123"/>
        <v>42429</v>
      </c>
      <c r="AN152" s="63">
        <f t="shared" ca="1" si="124"/>
        <v>5236</v>
      </c>
      <c r="AO152" s="63">
        <f t="shared" si="151"/>
        <v>1</v>
      </c>
      <c r="AP152" s="19"/>
      <c r="AQ152" s="74">
        <f ca="1">_xll.SPRDOPT(U152,AA152,AI152,AX152,X152,AD152,AG152,AN152,AO152,0)</f>
        <v>0.52490628261909156</v>
      </c>
      <c r="AR152" s="47">
        <f t="shared" ca="1" si="131"/>
        <v>0</v>
      </c>
      <c r="AS152" s="135">
        <f t="shared" ca="1" si="132"/>
        <v>5.4906282619091307E-2</v>
      </c>
      <c r="AU152" s="5">
        <f t="shared" si="152"/>
        <v>30</v>
      </c>
      <c r="AV152" s="148">
        <f t="shared" si="125"/>
        <v>42475</v>
      </c>
      <c r="AW152" s="41">
        <f t="shared" ca="1" si="126"/>
        <v>5282</v>
      </c>
      <c r="AX152" s="100">
        <f>VLOOKUP($A152,[1]!CurveTable,MATCH(AX$4,[1]!CurveType,0))</f>
        <v>5.7925543862426702E-2</v>
      </c>
      <c r="AY152" s="149">
        <f ca="1">1/(1+CHOOSE(F$3,(AX153+(Inputs!$B$14/10000))/2,(AX152+(Inputs!$B$14/10000))/2))^(2*AW152/365.25)</f>
        <v>0.43789384366280104</v>
      </c>
      <c r="AZ152" s="41">
        <f t="shared" si="153"/>
        <v>0</v>
      </c>
      <c r="BA152" s="72">
        <f t="shared" si="154"/>
        <v>0</v>
      </c>
      <c r="BC152" s="65">
        <f t="shared" ca="1" si="133"/>
        <v>0</v>
      </c>
      <c r="BD152" s="65">
        <f t="shared" ca="1" si="134"/>
        <v>0</v>
      </c>
      <c r="BE152" s="65">
        <f t="shared" ca="1" si="135"/>
        <v>0</v>
      </c>
      <c r="BF152" s="65">
        <f t="shared" ca="1" si="136"/>
        <v>0</v>
      </c>
      <c r="BG152" s="65">
        <f t="shared" ca="1" si="137"/>
        <v>0</v>
      </c>
      <c r="BH152" s="65">
        <f t="shared" ca="1" si="138"/>
        <v>0</v>
      </c>
      <c r="BI152" s="65">
        <f t="shared" ca="1" si="139"/>
        <v>0</v>
      </c>
      <c r="BJ152" s="65">
        <f t="shared" ca="1" si="140"/>
        <v>0</v>
      </c>
      <c r="BK152" s="65">
        <f t="shared" ca="1" si="141"/>
        <v>0</v>
      </c>
      <c r="BL152" s="65">
        <f t="shared" ca="1" si="142"/>
        <v>0</v>
      </c>
      <c r="BM152" s="65">
        <f t="shared" ca="1" si="143"/>
        <v>0</v>
      </c>
      <c r="BN152" s="65">
        <f t="shared" ca="1" si="144"/>
        <v>0</v>
      </c>
      <c r="BO152" s="65">
        <f t="shared" ca="1" si="145"/>
        <v>0</v>
      </c>
      <c r="BP152" s="65">
        <f t="shared" ca="1" si="146"/>
        <v>0</v>
      </c>
      <c r="BQ152" s="65">
        <f t="shared" ca="1" si="147"/>
        <v>0</v>
      </c>
      <c r="BR152" s="65">
        <f t="shared" ca="1" si="148"/>
        <v>0</v>
      </c>
      <c r="BS152" s="65">
        <f t="shared" ca="1" si="149"/>
        <v>0</v>
      </c>
      <c r="BT152" s="65">
        <f t="shared" ca="1" si="150"/>
        <v>0</v>
      </c>
      <c r="BU152" s="65">
        <f t="shared" ca="1" si="127"/>
        <v>0</v>
      </c>
    </row>
    <row r="153" spans="1:73">
      <c r="A153" s="42">
        <f t="shared" si="128"/>
        <v>42491</v>
      </c>
      <c r="B153" s="30">
        <f>Inputs!$B$8</f>
        <v>50000</v>
      </c>
      <c r="C153" s="17">
        <f t="shared" si="118"/>
        <v>0</v>
      </c>
      <c r="D153" s="17">
        <f t="shared" ca="1" si="119"/>
        <v>0</v>
      </c>
      <c r="E153" s="25">
        <f>VLOOKUP($A153,[1]!CurveTable,MATCH($E$4,[1]!CurveType,0))</f>
        <v>4.8020000000000005</v>
      </c>
      <c r="F153" s="31">
        <f>E153-Inputs!$B$16</f>
        <v>4.8570000000000002</v>
      </c>
      <c r="G153" s="43">
        <f t="shared" si="155"/>
        <v>4.8570000000000002</v>
      </c>
      <c r="H153" s="25">
        <f>VLOOKUP($A153,[1]!CurveTable,MATCH($H$4,[1]!CurveType,0))</f>
        <v>0.7</v>
      </c>
      <c r="I153" s="31">
        <f>H153+Inputs!$B$22</f>
        <v>0.7</v>
      </c>
      <c r="J153" s="44">
        <f t="shared" si="156"/>
        <v>0.7</v>
      </c>
      <c r="K153" s="25">
        <f>VLOOKUP($A153,[1]!CurveTable,MATCH($K$4,[1]!CurveType,0))</f>
        <v>0</v>
      </c>
      <c r="L153" s="31">
        <v>0</v>
      </c>
      <c r="M153" s="45">
        <f t="shared" si="157"/>
        <v>0</v>
      </c>
      <c r="N153" s="25">
        <f>VLOOKUP($A153,[1]!CurveTable,MATCH($N$4,[1]!CurveType,0))</f>
        <v>2.2499999999999999E-2</v>
      </c>
      <c r="O153" s="31">
        <f>N153+Inputs!$E$22</f>
        <v>2.2499999999999999E-2</v>
      </c>
      <c r="P153" s="45">
        <f t="shared" si="158"/>
        <v>2.2499999999999999E-2</v>
      </c>
      <c r="Q153" s="25">
        <f>VLOOKUP($A153,[1]!CurveTable,MATCH($Q$4,[1]!CurveType,0))</f>
        <v>0.01</v>
      </c>
      <c r="R153" s="31">
        <v>0</v>
      </c>
      <c r="S153" s="45">
        <f t="shared" si="159"/>
        <v>0</v>
      </c>
      <c r="T153" s="4"/>
      <c r="U153" s="159">
        <f t="shared" si="129"/>
        <v>5.5570000000000004</v>
      </c>
      <c r="V153" s="160"/>
      <c r="W153" s="100">
        <f>VLOOKUP($A153,[1]!CurveTable,MATCH($W$4,[1]!CurveType,0))+$W$9</f>
        <v>0.34</v>
      </c>
      <c r="X153" s="100">
        <f>VLOOKUP($A153,[1]!CurveTable,MATCH($X$4,[1]!CurveType,0))+$X$9</f>
        <v>0.34500000000000003</v>
      </c>
      <c r="Y153" s="158">
        <f t="shared" ca="1" si="120"/>
        <v>0.34650503533160609</v>
      </c>
      <c r="Z153" s="4"/>
      <c r="AA153" s="159">
        <f t="shared" si="130"/>
        <v>4.8795000000000002</v>
      </c>
      <c r="AB153" s="160"/>
      <c r="AC153" s="100">
        <f>VLOOKUP($A153,[1]!CurveTable,MATCH($AC$4,[1]!CurveType,0))+$AC$9</f>
        <v>0.17</v>
      </c>
      <c r="AD153" s="100">
        <f>VLOOKUP($A153,[1]!CurveTable,MATCH($AD$4,[1]!CurveType,0))+$AD$9</f>
        <v>0.17500000000000002</v>
      </c>
      <c r="AE153" s="158">
        <f t="shared" ca="1" si="121"/>
        <v>0.17575636000554817</v>
      </c>
      <c r="AF153" s="4"/>
      <c r="AG153" s="52">
        <f ca="1">((Inputs!$F$20*(X153*AD153)*(A153-$C$3))+(Inputs!$F$19*W153*AC153*(DAY(EOMONTH(A153,0))/2)))/(AN153*Y153*AE153)</f>
        <v>0.74999978375553611</v>
      </c>
      <c r="AH153" s="4"/>
      <c r="AI153" s="18">
        <f>Inputs!$B$15</f>
        <v>0.06</v>
      </c>
      <c r="AJ153" s="46"/>
      <c r="AK153" s="18">
        <f t="shared" si="122"/>
        <v>0.61750000000000016</v>
      </c>
      <c r="AL153" s="46"/>
      <c r="AM153" s="62">
        <f t="shared" si="123"/>
        <v>42460</v>
      </c>
      <c r="AN153" s="63">
        <f t="shared" ca="1" si="124"/>
        <v>5267</v>
      </c>
      <c r="AO153" s="63">
        <f t="shared" si="151"/>
        <v>1</v>
      </c>
      <c r="AP153" s="19"/>
      <c r="AQ153" s="74">
        <f ca="1">_xll.SPRDOPT(U153,AA153,AI153,AX153,X153,AD153,AG153,AN153,AO153,0)</f>
        <v>0.95088802291667729</v>
      </c>
      <c r="AR153" s="47">
        <f t="shared" ca="1" si="131"/>
        <v>0</v>
      </c>
      <c r="AS153" s="135">
        <f t="shared" ca="1" si="132"/>
        <v>0.33338802291667713</v>
      </c>
      <c r="AU153" s="5">
        <f t="shared" si="152"/>
        <v>31</v>
      </c>
      <c r="AV153" s="148">
        <f t="shared" si="125"/>
        <v>42505</v>
      </c>
      <c r="AW153" s="41">
        <f t="shared" ca="1" si="126"/>
        <v>5312</v>
      </c>
      <c r="AX153" s="100">
        <f>VLOOKUP($A153,[1]!CurveTable,MATCH(AX$4,[1]!CurveType,0))</f>
        <v>5.7981878789334501E-2</v>
      </c>
      <c r="AY153" s="149">
        <f ca="1">1/(1+CHOOSE(F$3,(AX154+(Inputs!$B$14/10000))/2,(AX153+(Inputs!$B$14/10000))/2))^(2*AW153/365.25)</f>
        <v>0.43549796961172443</v>
      </c>
      <c r="AZ153" s="41">
        <f t="shared" si="153"/>
        <v>0</v>
      </c>
      <c r="BA153" s="72">
        <f t="shared" si="154"/>
        <v>0</v>
      </c>
      <c r="BC153" s="65">
        <f t="shared" ca="1" si="133"/>
        <v>0</v>
      </c>
      <c r="BD153" s="65">
        <f t="shared" ca="1" si="134"/>
        <v>0</v>
      </c>
      <c r="BE153" s="65">
        <f t="shared" ca="1" si="135"/>
        <v>0</v>
      </c>
      <c r="BF153" s="65">
        <f t="shared" ca="1" si="136"/>
        <v>0</v>
      </c>
      <c r="BG153" s="65">
        <f t="shared" ca="1" si="137"/>
        <v>0</v>
      </c>
      <c r="BH153" s="65">
        <f t="shared" ca="1" si="138"/>
        <v>0</v>
      </c>
      <c r="BI153" s="65">
        <f t="shared" ca="1" si="139"/>
        <v>0</v>
      </c>
      <c r="BJ153" s="65">
        <f t="shared" ca="1" si="140"/>
        <v>0</v>
      </c>
      <c r="BK153" s="65">
        <f t="shared" ca="1" si="141"/>
        <v>0</v>
      </c>
      <c r="BL153" s="65">
        <f t="shared" ca="1" si="142"/>
        <v>0</v>
      </c>
      <c r="BM153" s="65">
        <f t="shared" ca="1" si="143"/>
        <v>0</v>
      </c>
      <c r="BN153" s="65">
        <f t="shared" ca="1" si="144"/>
        <v>0</v>
      </c>
      <c r="BO153" s="65">
        <f t="shared" ca="1" si="145"/>
        <v>0</v>
      </c>
      <c r="BP153" s="65">
        <f t="shared" ca="1" si="146"/>
        <v>0</v>
      </c>
      <c r="BQ153" s="65">
        <f t="shared" ca="1" si="147"/>
        <v>0</v>
      </c>
      <c r="BR153" s="65">
        <f t="shared" ca="1" si="148"/>
        <v>0</v>
      </c>
      <c r="BS153" s="65">
        <f t="shared" ca="1" si="149"/>
        <v>0</v>
      </c>
      <c r="BT153" s="65">
        <f t="shared" ca="1" si="150"/>
        <v>0</v>
      </c>
      <c r="BU153" s="65">
        <f t="shared" ca="1" si="127"/>
        <v>0</v>
      </c>
    </row>
    <row r="154" spans="1:73">
      <c r="A154" s="42">
        <f t="shared" si="128"/>
        <v>42522</v>
      </c>
      <c r="B154" s="30">
        <f>Inputs!$B$8</f>
        <v>50000</v>
      </c>
      <c r="C154" s="17">
        <f t="shared" si="118"/>
        <v>0</v>
      </c>
      <c r="D154" s="17">
        <f t="shared" ca="1" si="119"/>
        <v>0</v>
      </c>
      <c r="E154" s="25">
        <f>VLOOKUP($A154,[1]!CurveTable,MATCH($E$4,[1]!CurveType,0))</f>
        <v>4.84</v>
      </c>
      <c r="F154" s="31">
        <f>E154-Inputs!$B$16</f>
        <v>4.8949999999999996</v>
      </c>
      <c r="G154" s="43">
        <f t="shared" si="155"/>
        <v>4.8949999999999996</v>
      </c>
      <c r="H154" s="25">
        <f>VLOOKUP($A154,[1]!CurveTable,MATCH($H$4,[1]!CurveType,0))</f>
        <v>0.8</v>
      </c>
      <c r="I154" s="31">
        <f>H154+Inputs!$B$22</f>
        <v>0.8</v>
      </c>
      <c r="J154" s="44">
        <f t="shared" si="156"/>
        <v>0.8</v>
      </c>
      <c r="K154" s="25">
        <f>VLOOKUP($A154,[1]!CurveTable,MATCH($K$4,[1]!CurveType,0))</f>
        <v>0</v>
      </c>
      <c r="L154" s="31">
        <v>0</v>
      </c>
      <c r="M154" s="45">
        <f t="shared" si="157"/>
        <v>0</v>
      </c>
      <c r="N154" s="25">
        <f>VLOOKUP($A154,[1]!CurveTable,MATCH($N$4,[1]!CurveType,0))</f>
        <v>0.02</v>
      </c>
      <c r="O154" s="31">
        <f>N154+Inputs!$E$22</f>
        <v>0.02</v>
      </c>
      <c r="P154" s="45">
        <f t="shared" si="158"/>
        <v>0.02</v>
      </c>
      <c r="Q154" s="25">
        <f>VLOOKUP($A154,[1]!CurveTable,MATCH($Q$4,[1]!CurveType,0))</f>
        <v>0.01</v>
      </c>
      <c r="R154" s="31">
        <v>0</v>
      </c>
      <c r="S154" s="45">
        <f t="shared" si="159"/>
        <v>0</v>
      </c>
      <c r="T154" s="4"/>
      <c r="U154" s="159">
        <f t="shared" si="129"/>
        <v>5.6949999999999994</v>
      </c>
      <c r="V154" s="160"/>
      <c r="W154" s="100">
        <f>VLOOKUP($A154,[1]!CurveTable,MATCH($W$4,[1]!CurveType,0))+$W$9</f>
        <v>0.34</v>
      </c>
      <c r="X154" s="100">
        <f>VLOOKUP($A154,[1]!CurveTable,MATCH($X$4,[1]!CurveType,0))+$X$9</f>
        <v>0.34500000000000003</v>
      </c>
      <c r="Y154" s="158">
        <f t="shared" ca="1" si="120"/>
        <v>0.34651320844189076</v>
      </c>
      <c r="Z154" s="4"/>
      <c r="AA154" s="159">
        <f t="shared" si="130"/>
        <v>4.9149999999999991</v>
      </c>
      <c r="AB154" s="160"/>
      <c r="AC154" s="100">
        <f>VLOOKUP($A154,[1]!CurveTable,MATCH($AC$4,[1]!CurveType,0))+$AC$9</f>
        <v>0.17</v>
      </c>
      <c r="AD154" s="100">
        <f>VLOOKUP($A154,[1]!CurveTable,MATCH($AD$4,[1]!CurveType,0))+$AD$9</f>
        <v>0.17500000000000002</v>
      </c>
      <c r="AE154" s="158">
        <f t="shared" ca="1" si="121"/>
        <v>0.17576077252874669</v>
      </c>
      <c r="AF154" s="4"/>
      <c r="AG154" s="52">
        <f ca="1">((Inputs!$F$20*(X154*AD154)*(A154-$C$3))+(Inputs!$F$19*W154*AC154*(DAY(EOMONTH(A154,0))/2)))/(AN154*Y154*AE154)</f>
        <v>0.74999979190448518</v>
      </c>
      <c r="AH154" s="4"/>
      <c r="AI154" s="18">
        <f>Inputs!$B$15</f>
        <v>0.06</v>
      </c>
      <c r="AJ154" s="46"/>
      <c r="AK154" s="18">
        <f t="shared" si="122"/>
        <v>0.7200000000000002</v>
      </c>
      <c r="AL154" s="46"/>
      <c r="AM154" s="62">
        <f t="shared" si="123"/>
        <v>42490</v>
      </c>
      <c r="AN154" s="63">
        <f t="shared" ca="1" si="124"/>
        <v>5297</v>
      </c>
      <c r="AO154" s="63">
        <f t="shared" si="151"/>
        <v>1</v>
      </c>
      <c r="AP154" s="19"/>
      <c r="AQ154" s="74">
        <f ca="1">_xll.SPRDOPT(U154,AA154,AI154,AX154,X154,AD154,AG154,AN154,AO154,0)</f>
        <v>0.9851611886844065</v>
      </c>
      <c r="AR154" s="47">
        <f t="shared" ca="1" si="131"/>
        <v>0</v>
      </c>
      <c r="AS154" s="135">
        <f t="shared" ca="1" si="132"/>
        <v>0.2651611886844063</v>
      </c>
      <c r="AU154" s="5">
        <f t="shared" si="152"/>
        <v>30</v>
      </c>
      <c r="AV154" s="148">
        <f t="shared" si="125"/>
        <v>42536</v>
      </c>
      <c r="AW154" s="41">
        <f t="shared" ca="1" si="126"/>
        <v>5343</v>
      </c>
      <c r="AX154" s="100">
        <f>VLOOKUP($A154,[1]!CurveTable,MATCH(AX$4,[1]!CurveType,0))</f>
        <v>5.8040091548247699E-2</v>
      </c>
      <c r="AY154" s="149">
        <f ca="1">1/(1+CHOOSE(F$3,(AX155+(Inputs!$B$14/10000))/2,(AX154+(Inputs!$B$14/10000))/2))^(2*AW154/365.25)</f>
        <v>0.43303192220159975</v>
      </c>
      <c r="AZ154" s="41">
        <f t="shared" si="153"/>
        <v>0</v>
      </c>
      <c r="BA154" s="72">
        <f t="shared" si="154"/>
        <v>0</v>
      </c>
      <c r="BC154" s="65">
        <f t="shared" ca="1" si="133"/>
        <v>0</v>
      </c>
      <c r="BD154" s="65">
        <f t="shared" ca="1" si="134"/>
        <v>0</v>
      </c>
      <c r="BE154" s="65">
        <f t="shared" ca="1" si="135"/>
        <v>0</v>
      </c>
      <c r="BF154" s="65">
        <f t="shared" ca="1" si="136"/>
        <v>0</v>
      </c>
      <c r="BG154" s="65">
        <f t="shared" ca="1" si="137"/>
        <v>0</v>
      </c>
      <c r="BH154" s="65">
        <f t="shared" ca="1" si="138"/>
        <v>0</v>
      </c>
      <c r="BI154" s="65">
        <f t="shared" ca="1" si="139"/>
        <v>0</v>
      </c>
      <c r="BJ154" s="65">
        <f t="shared" ca="1" si="140"/>
        <v>0</v>
      </c>
      <c r="BK154" s="65">
        <f t="shared" ca="1" si="141"/>
        <v>0</v>
      </c>
      <c r="BL154" s="65">
        <f t="shared" ca="1" si="142"/>
        <v>0</v>
      </c>
      <c r="BM154" s="65">
        <f t="shared" ca="1" si="143"/>
        <v>0</v>
      </c>
      <c r="BN154" s="65">
        <f t="shared" ca="1" si="144"/>
        <v>0</v>
      </c>
      <c r="BO154" s="65">
        <f t="shared" ca="1" si="145"/>
        <v>0</v>
      </c>
      <c r="BP154" s="65">
        <f t="shared" ca="1" si="146"/>
        <v>0</v>
      </c>
      <c r="BQ154" s="65">
        <f t="shared" ca="1" si="147"/>
        <v>0</v>
      </c>
      <c r="BR154" s="65">
        <f t="shared" ca="1" si="148"/>
        <v>0</v>
      </c>
      <c r="BS154" s="65">
        <f t="shared" ca="1" si="149"/>
        <v>0</v>
      </c>
      <c r="BT154" s="65">
        <f t="shared" ca="1" si="150"/>
        <v>0</v>
      </c>
      <c r="BU154" s="65">
        <f t="shared" ca="1" si="127"/>
        <v>0</v>
      </c>
    </row>
    <row r="155" spans="1:73">
      <c r="A155" s="42">
        <f t="shared" si="128"/>
        <v>42552</v>
      </c>
      <c r="B155" s="30">
        <f>Inputs!$B$8</f>
        <v>50000</v>
      </c>
      <c r="C155" s="17">
        <f t="shared" si="118"/>
        <v>0</v>
      </c>
      <c r="D155" s="17">
        <f t="shared" ca="1" si="119"/>
        <v>0</v>
      </c>
      <c r="E155" s="25">
        <f>VLOOKUP($A155,[1]!CurveTable,MATCH($E$4,[1]!CurveType,0))</f>
        <v>4.8849999999999998</v>
      </c>
      <c r="F155" s="31">
        <f>E155-Inputs!$B$16</f>
        <v>4.9399999999999995</v>
      </c>
      <c r="G155" s="43">
        <f t="shared" si="155"/>
        <v>4.9399999999999995</v>
      </c>
      <c r="H155" s="25">
        <f>VLOOKUP($A155,[1]!CurveTable,MATCH($H$4,[1]!CurveType,0))</f>
        <v>1</v>
      </c>
      <c r="I155" s="31">
        <f>H155+Inputs!$B$22</f>
        <v>1</v>
      </c>
      <c r="J155" s="44">
        <f t="shared" si="156"/>
        <v>1</v>
      </c>
      <c r="K155" s="25">
        <f>VLOOKUP($A155,[1]!CurveTable,MATCH($K$4,[1]!CurveType,0))</f>
        <v>0</v>
      </c>
      <c r="L155" s="31">
        <v>0</v>
      </c>
      <c r="M155" s="45">
        <f t="shared" si="157"/>
        <v>0</v>
      </c>
      <c r="N155" s="25">
        <f>VLOOKUP($A155,[1]!CurveTable,MATCH($N$4,[1]!CurveType,0))</f>
        <v>1.7500000000000002E-2</v>
      </c>
      <c r="O155" s="31">
        <f>N155+Inputs!$E$22</f>
        <v>1.7500000000000002E-2</v>
      </c>
      <c r="P155" s="45">
        <f t="shared" si="158"/>
        <v>1.7500000000000002E-2</v>
      </c>
      <c r="Q155" s="25">
        <f>VLOOKUP($A155,[1]!CurveTable,MATCH($Q$4,[1]!CurveType,0))</f>
        <v>0.01</v>
      </c>
      <c r="R155" s="31">
        <v>0</v>
      </c>
      <c r="S155" s="45">
        <f t="shared" si="159"/>
        <v>0</v>
      </c>
      <c r="T155" s="4"/>
      <c r="U155" s="159">
        <f t="shared" si="129"/>
        <v>5.9399999999999995</v>
      </c>
      <c r="V155" s="160"/>
      <c r="W155" s="100">
        <f>VLOOKUP($A155,[1]!CurveTable,MATCH($W$4,[1]!CurveType,0))+$W$9</f>
        <v>0.34</v>
      </c>
      <c r="X155" s="100">
        <f>VLOOKUP($A155,[1]!CurveTable,MATCH($X$4,[1]!CurveType,0))+$X$9</f>
        <v>0.34500000000000003</v>
      </c>
      <c r="Y155" s="158">
        <f t="shared" ca="1" si="120"/>
        <v>0.34648784125368187</v>
      </c>
      <c r="Z155" s="4"/>
      <c r="AA155" s="159">
        <f t="shared" si="130"/>
        <v>4.9574999999999996</v>
      </c>
      <c r="AB155" s="160"/>
      <c r="AC155" s="100">
        <f>VLOOKUP($A155,[1]!CurveTable,MATCH($AC$4,[1]!CurveType,0))+$AC$9</f>
        <v>0.17</v>
      </c>
      <c r="AD155" s="100">
        <f>VLOOKUP($A155,[1]!CurveTable,MATCH($AD$4,[1]!CurveType,0))+$AD$9</f>
        <v>0.17500000000000002</v>
      </c>
      <c r="AE155" s="158">
        <f t="shared" ca="1" si="121"/>
        <v>0.17574771889898944</v>
      </c>
      <c r="AF155" s="4"/>
      <c r="AG155" s="52">
        <f ca="1">((Inputs!$F$20*(X155*AD155)*(A155-$C$3))+(Inputs!$F$19*W155*AC155*(DAY(EOMONTH(A155,0))/2)))/(AN155*Y155*AE155)</f>
        <v>0.74999978620339136</v>
      </c>
      <c r="AH155" s="4"/>
      <c r="AI155" s="18">
        <f>Inputs!$B$15</f>
        <v>0.06</v>
      </c>
      <c r="AJ155" s="46"/>
      <c r="AK155" s="18">
        <f t="shared" si="122"/>
        <v>0.92249999999999988</v>
      </c>
      <c r="AL155" s="46"/>
      <c r="AM155" s="62">
        <f t="shared" si="123"/>
        <v>42521</v>
      </c>
      <c r="AN155" s="63">
        <f t="shared" ca="1" si="124"/>
        <v>5328</v>
      </c>
      <c r="AO155" s="63">
        <f t="shared" si="151"/>
        <v>1</v>
      </c>
      <c r="AP155" s="19"/>
      <c r="AQ155" s="74">
        <f ca="1">_xll.SPRDOPT(U155,AA155,AI155,AX155,X155,AD155,AG155,AN155,AO155,0)</f>
        <v>1.0519451350458595</v>
      </c>
      <c r="AR155" s="47">
        <f t="shared" ca="1" si="131"/>
        <v>0</v>
      </c>
      <c r="AS155" s="135">
        <f t="shared" ca="1" si="132"/>
        <v>0.12944513504585964</v>
      </c>
      <c r="AU155" s="5">
        <f t="shared" si="152"/>
        <v>31</v>
      </c>
      <c r="AV155" s="148">
        <f t="shared" si="125"/>
        <v>42566</v>
      </c>
      <c r="AW155" s="41">
        <f t="shared" ca="1" si="126"/>
        <v>5373</v>
      </c>
      <c r="AX155" s="100">
        <f>VLOOKUP($A155,[1]!CurveTable,MATCH(AX$4,[1]!CurveType,0))</f>
        <v>5.8096426477301802E-2</v>
      </c>
      <c r="AY155" s="149">
        <f ca="1">1/(1+CHOOSE(F$3,(AX156+(Inputs!$B$14/10000))/2,(AX155+(Inputs!$B$14/10000))/2))^(2*AW155/365.25)</f>
        <v>0.43065479336828227</v>
      </c>
      <c r="AZ155" s="41">
        <f t="shared" si="153"/>
        <v>0</v>
      </c>
      <c r="BA155" s="72">
        <f t="shared" si="154"/>
        <v>0</v>
      </c>
      <c r="BC155" s="65">
        <f t="shared" ca="1" si="133"/>
        <v>0</v>
      </c>
      <c r="BD155" s="65">
        <f t="shared" ca="1" si="134"/>
        <v>0</v>
      </c>
      <c r="BE155" s="65">
        <f t="shared" ca="1" si="135"/>
        <v>0</v>
      </c>
      <c r="BF155" s="65">
        <f t="shared" ca="1" si="136"/>
        <v>0</v>
      </c>
      <c r="BG155" s="65">
        <f t="shared" ca="1" si="137"/>
        <v>0</v>
      </c>
      <c r="BH155" s="65">
        <f t="shared" ca="1" si="138"/>
        <v>0</v>
      </c>
      <c r="BI155" s="65">
        <f t="shared" ca="1" si="139"/>
        <v>0</v>
      </c>
      <c r="BJ155" s="65">
        <f t="shared" ca="1" si="140"/>
        <v>0</v>
      </c>
      <c r="BK155" s="65">
        <f t="shared" ca="1" si="141"/>
        <v>0</v>
      </c>
      <c r="BL155" s="65">
        <f t="shared" ca="1" si="142"/>
        <v>0</v>
      </c>
      <c r="BM155" s="65">
        <f t="shared" ca="1" si="143"/>
        <v>0</v>
      </c>
      <c r="BN155" s="65">
        <f t="shared" ca="1" si="144"/>
        <v>0</v>
      </c>
      <c r="BO155" s="65">
        <f t="shared" ca="1" si="145"/>
        <v>0</v>
      </c>
      <c r="BP155" s="65">
        <f t="shared" ca="1" si="146"/>
        <v>0</v>
      </c>
      <c r="BQ155" s="65">
        <f t="shared" ca="1" si="147"/>
        <v>0</v>
      </c>
      <c r="BR155" s="65">
        <f t="shared" ca="1" si="148"/>
        <v>0</v>
      </c>
      <c r="BS155" s="65">
        <f t="shared" ca="1" si="149"/>
        <v>0</v>
      </c>
      <c r="BT155" s="65">
        <f t="shared" ca="1" si="150"/>
        <v>0</v>
      </c>
      <c r="BU155" s="65">
        <f t="shared" ca="1" si="127"/>
        <v>0</v>
      </c>
    </row>
    <row r="156" spans="1:73">
      <c r="A156" s="42">
        <f t="shared" si="128"/>
        <v>42583</v>
      </c>
      <c r="B156" s="30">
        <f>Inputs!$B$8</f>
        <v>50000</v>
      </c>
      <c r="C156" s="17">
        <f t="shared" si="118"/>
        <v>0</v>
      </c>
      <c r="D156" s="17">
        <f t="shared" ca="1" si="119"/>
        <v>0</v>
      </c>
      <c r="E156" s="25">
        <f>VLOOKUP($A156,[1]!CurveTable,MATCH($E$4,[1]!CurveType,0))</f>
        <v>4.923</v>
      </c>
      <c r="F156" s="31">
        <f>E156-Inputs!$B$16</f>
        <v>4.9779999999999998</v>
      </c>
      <c r="G156" s="43">
        <f t="shared" si="155"/>
        <v>4.9779999999999998</v>
      </c>
      <c r="H156" s="25">
        <f>VLOOKUP($A156,[1]!CurveTable,MATCH($H$4,[1]!CurveType,0))</f>
        <v>1</v>
      </c>
      <c r="I156" s="31">
        <f>H156+Inputs!$B$22</f>
        <v>1</v>
      </c>
      <c r="J156" s="44">
        <f t="shared" si="156"/>
        <v>1</v>
      </c>
      <c r="K156" s="25">
        <f>VLOOKUP($A156,[1]!CurveTable,MATCH($K$4,[1]!CurveType,0))</f>
        <v>0</v>
      </c>
      <c r="L156" s="31">
        <v>0</v>
      </c>
      <c r="M156" s="45">
        <f t="shared" si="157"/>
        <v>0</v>
      </c>
      <c r="N156" s="25">
        <f>VLOOKUP($A156,[1]!CurveTable,MATCH($N$4,[1]!CurveType,0))</f>
        <v>1.7500000000000002E-2</v>
      </c>
      <c r="O156" s="31">
        <f>N156+Inputs!$E$22</f>
        <v>1.7500000000000002E-2</v>
      </c>
      <c r="P156" s="45">
        <f t="shared" si="158"/>
        <v>1.7500000000000002E-2</v>
      </c>
      <c r="Q156" s="25">
        <f>VLOOKUP($A156,[1]!CurveTable,MATCH($Q$4,[1]!CurveType,0))</f>
        <v>0.01</v>
      </c>
      <c r="R156" s="31">
        <v>0</v>
      </c>
      <c r="S156" s="45">
        <f t="shared" si="159"/>
        <v>0</v>
      </c>
      <c r="T156" s="4"/>
      <c r="U156" s="159">
        <f t="shared" si="129"/>
        <v>5.9779999999999998</v>
      </c>
      <c r="V156" s="160"/>
      <c r="W156" s="100">
        <f>VLOOKUP($A156,[1]!CurveTable,MATCH($W$4,[1]!CurveType,0))+$W$9</f>
        <v>0.34</v>
      </c>
      <c r="X156" s="100">
        <f>VLOOKUP($A156,[1]!CurveTable,MATCH($X$4,[1]!CurveType,0))+$X$9</f>
        <v>0.34500000000000003</v>
      </c>
      <c r="Y156" s="158">
        <f t="shared" ca="1" si="120"/>
        <v>0.34651158435013268</v>
      </c>
      <c r="Z156" s="4"/>
      <c r="AA156" s="159">
        <f t="shared" si="130"/>
        <v>4.9954999999999998</v>
      </c>
      <c r="AB156" s="160"/>
      <c r="AC156" s="100">
        <f>VLOOKUP($A156,[1]!CurveTable,MATCH($AC$4,[1]!CurveType,0))+$AC$9</f>
        <v>0.17</v>
      </c>
      <c r="AD156" s="100">
        <f>VLOOKUP($A156,[1]!CurveTable,MATCH($AD$4,[1]!CurveType,0))+$AD$9</f>
        <v>0.17500000000000002</v>
      </c>
      <c r="AE156" s="158">
        <f t="shared" ca="1" si="121"/>
        <v>0.17575980207482769</v>
      </c>
      <c r="AF156" s="4"/>
      <c r="AG156" s="52">
        <f ca="1">((Inputs!$F$20*(X156*AD156)*(A156-$C$3))+(Inputs!$F$19*W156*AC156*(DAY(EOMONTH(A156,0))/2)))/(AN156*Y156*AE156)</f>
        <v>0.74999978742626705</v>
      </c>
      <c r="AH156" s="4"/>
      <c r="AI156" s="18">
        <f>Inputs!$B$15</f>
        <v>0.06</v>
      </c>
      <c r="AJ156" s="46"/>
      <c r="AK156" s="18">
        <f t="shared" si="122"/>
        <v>0.92249999999999988</v>
      </c>
      <c r="AL156" s="46"/>
      <c r="AM156" s="62">
        <f t="shared" si="123"/>
        <v>42551</v>
      </c>
      <c r="AN156" s="63">
        <f t="shared" ca="1" si="124"/>
        <v>5358</v>
      </c>
      <c r="AO156" s="63">
        <f t="shared" si="151"/>
        <v>1</v>
      </c>
      <c r="AP156" s="19"/>
      <c r="AQ156" s="74">
        <f ca="1">_xll.SPRDOPT(U156,AA156,AI156,AX156,X156,AD156,AG156,AN156,AO156,0)</f>
        <v>1.0539015136775511</v>
      </c>
      <c r="AR156" s="47">
        <f t="shared" ca="1" si="131"/>
        <v>0</v>
      </c>
      <c r="AS156" s="135">
        <f t="shared" ca="1" si="132"/>
        <v>0.13140151367755126</v>
      </c>
      <c r="AU156" s="5">
        <f t="shared" si="152"/>
        <v>31</v>
      </c>
      <c r="AV156" s="148">
        <f t="shared" si="125"/>
        <v>42597</v>
      </c>
      <c r="AW156" s="41">
        <f t="shared" ca="1" si="126"/>
        <v>5404</v>
      </c>
      <c r="AX156" s="100">
        <f>VLOOKUP($A156,[1]!CurveTable,MATCH(AX$4,[1]!CurveType,0))</f>
        <v>5.8154639238432899E-2</v>
      </c>
      <c r="AY156" s="149">
        <f ca="1">1/(1+CHOOSE(F$3,(AX157+(Inputs!$B$14/10000))/2,(AX156+(Inputs!$B$14/10000))/2))^(2*AW156/365.25)</f>
        <v>0.42820809937937032</v>
      </c>
      <c r="AZ156" s="41">
        <f t="shared" si="153"/>
        <v>0</v>
      </c>
      <c r="BA156" s="72">
        <f t="shared" si="154"/>
        <v>0</v>
      </c>
      <c r="BC156" s="65">
        <f t="shared" ca="1" si="133"/>
        <v>0</v>
      </c>
      <c r="BD156" s="65">
        <f t="shared" ca="1" si="134"/>
        <v>0</v>
      </c>
      <c r="BE156" s="65">
        <f t="shared" ca="1" si="135"/>
        <v>0</v>
      </c>
      <c r="BF156" s="65">
        <f t="shared" ca="1" si="136"/>
        <v>0</v>
      </c>
      <c r="BG156" s="65">
        <f t="shared" ca="1" si="137"/>
        <v>0</v>
      </c>
      <c r="BH156" s="65">
        <f t="shared" ca="1" si="138"/>
        <v>0</v>
      </c>
      <c r="BI156" s="65">
        <f t="shared" ca="1" si="139"/>
        <v>0</v>
      </c>
      <c r="BJ156" s="65">
        <f t="shared" ca="1" si="140"/>
        <v>0</v>
      </c>
      <c r="BK156" s="65">
        <f t="shared" ca="1" si="141"/>
        <v>0</v>
      </c>
      <c r="BL156" s="65">
        <f t="shared" ca="1" si="142"/>
        <v>0</v>
      </c>
      <c r="BM156" s="65">
        <f t="shared" ca="1" si="143"/>
        <v>0</v>
      </c>
      <c r="BN156" s="65">
        <f t="shared" ca="1" si="144"/>
        <v>0</v>
      </c>
      <c r="BO156" s="65">
        <f t="shared" ca="1" si="145"/>
        <v>0</v>
      </c>
      <c r="BP156" s="65">
        <f t="shared" ca="1" si="146"/>
        <v>0</v>
      </c>
      <c r="BQ156" s="65">
        <f t="shared" ca="1" si="147"/>
        <v>0</v>
      </c>
      <c r="BR156" s="65">
        <f t="shared" ca="1" si="148"/>
        <v>0</v>
      </c>
      <c r="BS156" s="65">
        <f t="shared" ca="1" si="149"/>
        <v>0</v>
      </c>
      <c r="BT156" s="65">
        <f t="shared" ca="1" si="150"/>
        <v>0</v>
      </c>
      <c r="BU156" s="65">
        <f t="shared" ca="1" si="127"/>
        <v>0</v>
      </c>
    </row>
    <row r="157" spans="1:73">
      <c r="A157" s="42">
        <f t="shared" si="128"/>
        <v>42614</v>
      </c>
      <c r="B157" s="30">
        <f>Inputs!$B$8</f>
        <v>50000</v>
      </c>
      <c r="C157" s="17">
        <f t="shared" si="118"/>
        <v>0</v>
      </c>
      <c r="D157" s="17">
        <f t="shared" ca="1" si="119"/>
        <v>0</v>
      </c>
      <c r="E157" s="25">
        <f>VLOOKUP($A157,[1]!CurveTable,MATCH($E$4,[1]!CurveType,0))</f>
        <v>4.9169999999999998</v>
      </c>
      <c r="F157" s="31">
        <f>E157-Inputs!$B$16</f>
        <v>4.9719999999999995</v>
      </c>
      <c r="G157" s="43">
        <f t="shared" si="155"/>
        <v>4.9719999999999995</v>
      </c>
      <c r="H157" s="25">
        <f>VLOOKUP($A157,[1]!CurveTable,MATCH($H$4,[1]!CurveType,0))</f>
        <v>0.6</v>
      </c>
      <c r="I157" s="31">
        <f>H157+Inputs!$B$22</f>
        <v>0.6</v>
      </c>
      <c r="J157" s="44">
        <f t="shared" si="156"/>
        <v>0.6</v>
      </c>
      <c r="K157" s="25">
        <f>VLOOKUP($A157,[1]!CurveTable,MATCH($K$4,[1]!CurveType,0))</f>
        <v>0</v>
      </c>
      <c r="L157" s="31">
        <v>0</v>
      </c>
      <c r="M157" s="45">
        <f t="shared" si="157"/>
        <v>0</v>
      </c>
      <c r="N157" s="25">
        <f>VLOOKUP($A157,[1]!CurveTable,MATCH($N$4,[1]!CurveType,0))</f>
        <v>1.7500000000000002E-2</v>
      </c>
      <c r="O157" s="31">
        <f>N157+Inputs!$E$22</f>
        <v>1.7500000000000002E-2</v>
      </c>
      <c r="P157" s="45">
        <f t="shared" si="158"/>
        <v>1.7500000000000002E-2</v>
      </c>
      <c r="Q157" s="25">
        <f>VLOOKUP($A157,[1]!CurveTable,MATCH($Q$4,[1]!CurveType,0))</f>
        <v>0.01</v>
      </c>
      <c r="R157" s="31">
        <v>0</v>
      </c>
      <c r="S157" s="45">
        <f t="shared" si="159"/>
        <v>0</v>
      </c>
      <c r="T157" s="4"/>
      <c r="U157" s="159">
        <f t="shared" si="129"/>
        <v>5.5719999999999992</v>
      </c>
      <c r="V157" s="160"/>
      <c r="W157" s="100">
        <f>VLOOKUP($A157,[1]!CurveTable,MATCH($W$4,[1]!CurveType,0))+$W$9</f>
        <v>0.34</v>
      </c>
      <c r="X157" s="100">
        <f>VLOOKUP($A157,[1]!CurveTable,MATCH($X$4,[1]!CurveType,0))+$X$9</f>
        <v>0.34500000000000003</v>
      </c>
      <c r="Y157" s="158">
        <f t="shared" ca="1" si="120"/>
        <v>0.34648743067785281</v>
      </c>
      <c r="Z157" s="4"/>
      <c r="AA157" s="159">
        <f t="shared" si="130"/>
        <v>4.9894999999999996</v>
      </c>
      <c r="AB157" s="160"/>
      <c r="AC157" s="100">
        <f>VLOOKUP($A157,[1]!CurveTable,MATCH($AC$4,[1]!CurveType,0))+$AC$9</f>
        <v>0.17</v>
      </c>
      <c r="AD157" s="100">
        <f>VLOOKUP($A157,[1]!CurveTable,MATCH($AD$4,[1]!CurveType,0))+$AD$9</f>
        <v>0.17500000000000002</v>
      </c>
      <c r="AE157" s="158">
        <f t="shared" ca="1" si="121"/>
        <v>0.17574781239309215</v>
      </c>
      <c r="AF157" s="4"/>
      <c r="AG157" s="52">
        <f ca="1">((Inputs!$F$20*(X157*AD157)*(A157-$C$3))+(Inputs!$F$19*W157*AC157*(DAY(EOMONTH(A157,0))/2)))/(AN157*Y157*AE157)</f>
        <v>0.74999979541741923</v>
      </c>
      <c r="AH157" s="4"/>
      <c r="AI157" s="18">
        <f>Inputs!$B$15</f>
        <v>0.06</v>
      </c>
      <c r="AJ157" s="46"/>
      <c r="AK157" s="18">
        <f t="shared" si="122"/>
        <v>0.52249999999999952</v>
      </c>
      <c r="AL157" s="46"/>
      <c r="AM157" s="62">
        <f t="shared" si="123"/>
        <v>42582</v>
      </c>
      <c r="AN157" s="63">
        <f t="shared" ca="1" si="124"/>
        <v>5389</v>
      </c>
      <c r="AO157" s="63">
        <f t="shared" si="151"/>
        <v>1</v>
      </c>
      <c r="AP157" s="19"/>
      <c r="AQ157" s="74">
        <f ca="1">_xll.SPRDOPT(U157,AA157,AI157,AX157,X157,AD157,AG157,AN157,AO157,0)</f>
        <v>0.92552460668078973</v>
      </c>
      <c r="AR157" s="47">
        <f t="shared" ca="1" si="131"/>
        <v>0</v>
      </c>
      <c r="AS157" s="135">
        <f t="shared" ca="1" si="132"/>
        <v>0.40302460668079021</v>
      </c>
      <c r="AU157" s="5">
        <f t="shared" si="152"/>
        <v>30</v>
      </c>
      <c r="AV157" s="148">
        <f t="shared" si="125"/>
        <v>42628</v>
      </c>
      <c r="AW157" s="41">
        <f t="shared" ca="1" si="126"/>
        <v>5435</v>
      </c>
      <c r="AX157" s="100">
        <f>VLOOKUP($A157,[1]!CurveTable,MATCH(AX$4,[1]!CurveType,0))</f>
        <v>5.8212852000690998E-2</v>
      </c>
      <c r="AY157" s="149">
        <f ca="1">1/(1+CHOOSE(F$3,(AX158+(Inputs!$B$14/10000))/2,(AX157+(Inputs!$B$14/10000))/2))^(2*AW157/365.25)</f>
        <v>0.42577122758108449</v>
      </c>
      <c r="AZ157" s="41">
        <f t="shared" si="153"/>
        <v>0</v>
      </c>
      <c r="BA157" s="72">
        <f t="shared" si="154"/>
        <v>0</v>
      </c>
      <c r="BC157" s="65">
        <f t="shared" ca="1" si="133"/>
        <v>0</v>
      </c>
      <c r="BD157" s="65">
        <f t="shared" ca="1" si="134"/>
        <v>0</v>
      </c>
      <c r="BE157" s="65">
        <f t="shared" ca="1" si="135"/>
        <v>0</v>
      </c>
      <c r="BF157" s="65">
        <f t="shared" ca="1" si="136"/>
        <v>0</v>
      </c>
      <c r="BG157" s="65">
        <f t="shared" ca="1" si="137"/>
        <v>0</v>
      </c>
      <c r="BH157" s="65">
        <f t="shared" ca="1" si="138"/>
        <v>0</v>
      </c>
      <c r="BI157" s="65">
        <f t="shared" ca="1" si="139"/>
        <v>0</v>
      </c>
      <c r="BJ157" s="65">
        <f t="shared" ca="1" si="140"/>
        <v>0</v>
      </c>
      <c r="BK157" s="65">
        <f t="shared" ca="1" si="141"/>
        <v>0</v>
      </c>
      <c r="BL157" s="65">
        <f t="shared" ca="1" si="142"/>
        <v>0</v>
      </c>
      <c r="BM157" s="65">
        <f t="shared" ca="1" si="143"/>
        <v>0</v>
      </c>
      <c r="BN157" s="65">
        <f t="shared" ca="1" si="144"/>
        <v>0</v>
      </c>
      <c r="BO157" s="65">
        <f t="shared" ca="1" si="145"/>
        <v>0</v>
      </c>
      <c r="BP157" s="65">
        <f t="shared" ca="1" si="146"/>
        <v>0</v>
      </c>
      <c r="BQ157" s="65">
        <f t="shared" ca="1" si="147"/>
        <v>0</v>
      </c>
      <c r="BR157" s="65">
        <f t="shared" ca="1" si="148"/>
        <v>0</v>
      </c>
      <c r="BS157" s="65">
        <f t="shared" ca="1" si="149"/>
        <v>0</v>
      </c>
      <c r="BT157" s="65">
        <f t="shared" ca="1" si="150"/>
        <v>0</v>
      </c>
      <c r="BU157" s="65">
        <f t="shared" ca="1" si="127"/>
        <v>0</v>
      </c>
    </row>
    <row r="158" spans="1:73">
      <c r="A158" s="42">
        <f t="shared" si="128"/>
        <v>42644</v>
      </c>
      <c r="B158" s="30">
        <f>Inputs!$B$8</f>
        <v>50000</v>
      </c>
      <c r="C158" s="17">
        <f t="shared" si="118"/>
        <v>0</v>
      </c>
      <c r="D158" s="17">
        <f t="shared" ca="1" si="119"/>
        <v>0</v>
      </c>
      <c r="E158" s="25">
        <f>VLOOKUP($A158,[1]!CurveTable,MATCH($E$4,[1]!CurveType,0))</f>
        <v>4.9169999999999998</v>
      </c>
      <c r="F158" s="31">
        <f>E158-Inputs!$B$16</f>
        <v>4.9719999999999995</v>
      </c>
      <c r="G158" s="43">
        <f t="shared" si="155"/>
        <v>4.9719999999999995</v>
      </c>
      <c r="H158" s="25">
        <f>VLOOKUP($A158,[1]!CurveTable,MATCH($H$4,[1]!CurveType,0))</f>
        <v>0.3</v>
      </c>
      <c r="I158" s="31">
        <f>H158+Inputs!$B$22</f>
        <v>0.3</v>
      </c>
      <c r="J158" s="44">
        <f t="shared" si="156"/>
        <v>0.3</v>
      </c>
      <c r="K158" s="25">
        <f>VLOOKUP($A158,[1]!CurveTable,MATCH($K$4,[1]!CurveType,0))</f>
        <v>0</v>
      </c>
      <c r="L158" s="31">
        <v>0</v>
      </c>
      <c r="M158" s="45">
        <f t="shared" si="157"/>
        <v>0</v>
      </c>
      <c r="N158" s="25">
        <f>VLOOKUP($A158,[1]!CurveTable,MATCH($N$4,[1]!CurveType,0))</f>
        <v>1.6E-2</v>
      </c>
      <c r="O158" s="31">
        <f>N158+Inputs!$E$22</f>
        <v>1.6E-2</v>
      </c>
      <c r="P158" s="45">
        <f t="shared" si="158"/>
        <v>1.6E-2</v>
      </c>
      <c r="Q158" s="25">
        <f>VLOOKUP($A158,[1]!CurveTable,MATCH($Q$4,[1]!CurveType,0))</f>
        <v>0.01</v>
      </c>
      <c r="R158" s="31">
        <v>0</v>
      </c>
      <c r="S158" s="45">
        <f t="shared" si="159"/>
        <v>0</v>
      </c>
      <c r="T158" s="4"/>
      <c r="U158" s="159">
        <f t="shared" si="129"/>
        <v>5.2719999999999994</v>
      </c>
      <c r="V158" s="160"/>
      <c r="W158" s="100">
        <f>VLOOKUP($A158,[1]!CurveTable,MATCH($W$4,[1]!CurveType,0))+$W$9</f>
        <v>0.17</v>
      </c>
      <c r="X158" s="100">
        <f>VLOOKUP($A158,[1]!CurveTable,MATCH($X$4,[1]!CurveType,0))+$X$9</f>
        <v>0.17500000000000002</v>
      </c>
      <c r="Y158" s="158">
        <f t="shared" ca="1" si="120"/>
        <v>0.17573505353397886</v>
      </c>
      <c r="Z158" s="4"/>
      <c r="AA158" s="159">
        <f t="shared" si="130"/>
        <v>4.9879999999999995</v>
      </c>
      <c r="AB158" s="160"/>
      <c r="AC158" s="100">
        <f>VLOOKUP($A158,[1]!CurveTable,MATCH($AC$4,[1]!CurveType,0))+$AC$9</f>
        <v>0.17</v>
      </c>
      <c r="AD158" s="100">
        <f>VLOOKUP($A158,[1]!CurveTable,MATCH($AD$4,[1]!CurveType,0))+$AD$9</f>
        <v>0.17500000000000002</v>
      </c>
      <c r="AE158" s="158">
        <f t="shared" ca="1" si="121"/>
        <v>0.17573505353397886</v>
      </c>
      <c r="AF158" s="4"/>
      <c r="AG158" s="52">
        <f ca="1">((Inputs!$F$20*(X158*AD158)*(A158-$C$3))+(Inputs!$F$19*W158*AC158*(DAY(EOMONTH(A158,0))/2)))/(AN158*Y158*AE158)</f>
        <v>0.74999999999999978</v>
      </c>
      <c r="AH158" s="4"/>
      <c r="AI158" s="18">
        <f>Inputs!$B$15</f>
        <v>0.06</v>
      </c>
      <c r="AJ158" s="46"/>
      <c r="AK158" s="18">
        <f t="shared" si="122"/>
        <v>0.22399999999999981</v>
      </c>
      <c r="AL158" s="46"/>
      <c r="AM158" s="62">
        <f t="shared" si="123"/>
        <v>42613</v>
      </c>
      <c r="AN158" s="63">
        <f t="shared" ca="1" si="124"/>
        <v>5420</v>
      </c>
      <c r="AO158" s="63">
        <f t="shared" si="151"/>
        <v>1</v>
      </c>
      <c r="AP158" s="19"/>
      <c r="AQ158" s="74">
        <f ca="1">_xll.SPRDOPT(U158,AA158,AI158,AX158,X158,AD158,AG158,AN158,AO158,0)</f>
        <v>0.45592678005653003</v>
      </c>
      <c r="AR158" s="47">
        <f t="shared" ca="1" si="131"/>
        <v>0</v>
      </c>
      <c r="AS158" s="135">
        <f t="shared" ca="1" si="132"/>
        <v>0.23192678005653022</v>
      </c>
      <c r="AU158" s="5">
        <f t="shared" si="152"/>
        <v>31</v>
      </c>
      <c r="AV158" s="148">
        <f t="shared" si="125"/>
        <v>42658</v>
      </c>
      <c r="AW158" s="41">
        <f t="shared" ca="1" si="126"/>
        <v>5465</v>
      </c>
      <c r="AX158" s="100">
        <f>VLOOKUP($A158,[1]!CurveTable,MATCH(AX$4,[1]!CurveType,0))</f>
        <v>5.8269186932981699E-2</v>
      </c>
      <c r="AY158" s="149">
        <f ca="1">1/(1+CHOOSE(F$3,(AX159+(Inputs!$B$14/10000))/2,(AX158+(Inputs!$B$14/10000))/2))^(2*AW158/365.25)</f>
        <v>0.42342230794455443</v>
      </c>
      <c r="AZ158" s="41">
        <f t="shared" si="153"/>
        <v>0</v>
      </c>
      <c r="BA158" s="72">
        <f t="shared" si="154"/>
        <v>0</v>
      </c>
      <c r="BC158" s="65">
        <f t="shared" ca="1" si="133"/>
        <v>0</v>
      </c>
      <c r="BD158" s="65">
        <f t="shared" ca="1" si="134"/>
        <v>0</v>
      </c>
      <c r="BE158" s="65">
        <f t="shared" ca="1" si="135"/>
        <v>0</v>
      </c>
      <c r="BF158" s="65">
        <f t="shared" ca="1" si="136"/>
        <v>0</v>
      </c>
      <c r="BG158" s="65">
        <f t="shared" ca="1" si="137"/>
        <v>0</v>
      </c>
      <c r="BH158" s="65">
        <f t="shared" ca="1" si="138"/>
        <v>0</v>
      </c>
      <c r="BI158" s="65">
        <f t="shared" ca="1" si="139"/>
        <v>0</v>
      </c>
      <c r="BJ158" s="65">
        <f t="shared" ca="1" si="140"/>
        <v>0</v>
      </c>
      <c r="BK158" s="65">
        <f t="shared" ca="1" si="141"/>
        <v>0</v>
      </c>
      <c r="BL158" s="65">
        <f t="shared" ca="1" si="142"/>
        <v>0</v>
      </c>
      <c r="BM158" s="65">
        <f t="shared" ca="1" si="143"/>
        <v>0</v>
      </c>
      <c r="BN158" s="65">
        <f t="shared" ca="1" si="144"/>
        <v>0</v>
      </c>
      <c r="BO158" s="65">
        <f t="shared" ca="1" si="145"/>
        <v>0</v>
      </c>
      <c r="BP158" s="65">
        <f t="shared" ca="1" si="146"/>
        <v>0</v>
      </c>
      <c r="BQ158" s="65">
        <f t="shared" ca="1" si="147"/>
        <v>0</v>
      </c>
      <c r="BR158" s="65">
        <f t="shared" ca="1" si="148"/>
        <v>0</v>
      </c>
      <c r="BS158" s="65">
        <f t="shared" ca="1" si="149"/>
        <v>0</v>
      </c>
      <c r="BT158" s="65">
        <f t="shared" ca="1" si="150"/>
        <v>0</v>
      </c>
      <c r="BU158" s="65">
        <f t="shared" ca="1" si="127"/>
        <v>0</v>
      </c>
    </row>
    <row r="159" spans="1:73">
      <c r="A159" s="42">
        <f t="shared" si="128"/>
        <v>42675</v>
      </c>
      <c r="B159" s="30">
        <f>Inputs!$B$8</f>
        <v>50000</v>
      </c>
      <c r="C159" s="17">
        <f t="shared" si="118"/>
        <v>0</v>
      </c>
      <c r="D159" s="17">
        <f t="shared" ca="1" si="119"/>
        <v>0</v>
      </c>
      <c r="E159" s="25">
        <f>VLOOKUP($A159,[1]!CurveTable,MATCH($E$4,[1]!CurveType,0))</f>
        <v>5.0650000000000004</v>
      </c>
      <c r="F159" s="31">
        <f>E159-Inputs!$B$16</f>
        <v>5.12</v>
      </c>
      <c r="G159" s="43">
        <f t="shared" si="155"/>
        <v>5.12</v>
      </c>
      <c r="H159" s="25">
        <f>VLOOKUP($A159,[1]!CurveTable,MATCH($H$4,[1]!CurveType,0))</f>
        <v>0.23</v>
      </c>
      <c r="I159" s="31">
        <f>H159+Inputs!$B$22</f>
        <v>0.23</v>
      </c>
      <c r="J159" s="44">
        <f t="shared" si="156"/>
        <v>0.23</v>
      </c>
      <c r="K159" s="25">
        <f>VLOOKUP($A159,[1]!CurveTable,MATCH($K$4,[1]!CurveType,0))</f>
        <v>0</v>
      </c>
      <c r="L159" s="31">
        <v>0</v>
      </c>
      <c r="M159" s="45">
        <f t="shared" si="157"/>
        <v>0</v>
      </c>
      <c r="N159" s="25">
        <f>VLOOKUP($A159,[1]!CurveTable,MATCH($N$4,[1]!CurveType,0))</f>
        <v>1.7000000000000001E-2</v>
      </c>
      <c r="O159" s="31">
        <f>N159+Inputs!$E$22</f>
        <v>1.7000000000000001E-2</v>
      </c>
      <c r="P159" s="45">
        <f t="shared" si="158"/>
        <v>1.7000000000000001E-2</v>
      </c>
      <c r="Q159" s="25">
        <f>VLOOKUP($A159,[1]!CurveTable,MATCH($Q$4,[1]!CurveType,0))</f>
        <v>7.4999999999999997E-3</v>
      </c>
      <c r="R159" s="31">
        <v>0</v>
      </c>
      <c r="S159" s="45">
        <f t="shared" si="159"/>
        <v>0</v>
      </c>
      <c r="T159" s="4"/>
      <c r="U159" s="159">
        <f t="shared" si="129"/>
        <v>5.3500000000000005</v>
      </c>
      <c r="V159" s="160"/>
      <c r="W159" s="100">
        <f>VLOOKUP($A159,[1]!CurveTable,MATCH($W$4,[1]!CurveType,0))+$W$9</f>
        <v>0.17</v>
      </c>
      <c r="X159" s="100">
        <f>VLOOKUP($A159,[1]!CurveTable,MATCH($X$4,[1]!CurveType,0))+$X$9</f>
        <v>0.17500000000000002</v>
      </c>
      <c r="Y159" s="158">
        <f t="shared" ca="1" si="120"/>
        <v>0.1757394599916739</v>
      </c>
      <c r="Z159" s="4"/>
      <c r="AA159" s="159">
        <f t="shared" si="130"/>
        <v>5.1370000000000005</v>
      </c>
      <c r="AB159" s="160"/>
      <c r="AC159" s="100">
        <f>VLOOKUP($A159,[1]!CurveTable,MATCH($AC$4,[1]!CurveType,0))+$AC$9</f>
        <v>0.17</v>
      </c>
      <c r="AD159" s="100">
        <f>VLOOKUP($A159,[1]!CurveTable,MATCH($AD$4,[1]!CurveType,0))+$AD$9</f>
        <v>0.17500000000000002</v>
      </c>
      <c r="AE159" s="158">
        <f t="shared" ca="1" si="121"/>
        <v>0.1757394599916739</v>
      </c>
      <c r="AF159" s="4"/>
      <c r="AG159" s="52">
        <f ca="1">((Inputs!$F$20*(X159*AD159)*(A159-$C$3))+(Inputs!$F$19*W159*AC159*(DAY(EOMONTH(A159,0))/2)))/(AN159*Y159*AE159)</f>
        <v>0.74999999999999967</v>
      </c>
      <c r="AH159" s="4"/>
      <c r="AI159" s="18">
        <f>Inputs!$B$15</f>
        <v>0.06</v>
      </c>
      <c r="AJ159" s="46"/>
      <c r="AK159" s="18">
        <f t="shared" si="122"/>
        <v>0.15300000000000008</v>
      </c>
      <c r="AL159" s="46"/>
      <c r="AM159" s="62">
        <f t="shared" si="123"/>
        <v>42643</v>
      </c>
      <c r="AN159" s="63">
        <f t="shared" ca="1" si="124"/>
        <v>5450</v>
      </c>
      <c r="AO159" s="63">
        <f t="shared" si="151"/>
        <v>1</v>
      </c>
      <c r="AP159" s="19"/>
      <c r="AQ159" s="74">
        <f ca="1">_xll.SPRDOPT(U159,AA159,AI159,AX159,X159,AD159,AG159,AN159,AO159,0)</f>
        <v>0.44766497958123952</v>
      </c>
      <c r="AR159" s="47">
        <f t="shared" ca="1" si="131"/>
        <v>0</v>
      </c>
      <c r="AS159" s="135">
        <f t="shared" ca="1" si="132"/>
        <v>0.29466497958123944</v>
      </c>
      <c r="AU159" s="5">
        <f t="shared" si="152"/>
        <v>30</v>
      </c>
      <c r="AV159" s="148">
        <f t="shared" si="125"/>
        <v>42689</v>
      </c>
      <c r="AW159" s="41">
        <f t="shared" ca="1" si="126"/>
        <v>5496</v>
      </c>
      <c r="AX159" s="100">
        <f>VLOOKUP($A159,[1]!CurveTable,MATCH(AX$4,[1]!CurveType,0))</f>
        <v>5.8327399697457198E-2</v>
      </c>
      <c r="AY159" s="149">
        <f ca="1">1/(1+CHOOSE(F$3,(AX160+(Inputs!$B$14/10000))/2,(AX159+(Inputs!$B$14/10000))/2))^(2*AW159/365.25)</f>
        <v>0.42100473667580307</v>
      </c>
      <c r="AZ159" s="41">
        <f t="shared" si="153"/>
        <v>0</v>
      </c>
      <c r="BA159" s="72">
        <f t="shared" si="154"/>
        <v>0</v>
      </c>
      <c r="BC159" s="65">
        <f t="shared" ca="1" si="133"/>
        <v>0</v>
      </c>
      <c r="BD159" s="65">
        <f t="shared" ca="1" si="134"/>
        <v>0</v>
      </c>
      <c r="BE159" s="65">
        <f t="shared" ca="1" si="135"/>
        <v>0</v>
      </c>
      <c r="BF159" s="65">
        <f t="shared" ca="1" si="136"/>
        <v>0</v>
      </c>
      <c r="BG159" s="65">
        <f t="shared" ca="1" si="137"/>
        <v>0</v>
      </c>
      <c r="BH159" s="65">
        <f t="shared" ca="1" si="138"/>
        <v>0</v>
      </c>
      <c r="BI159" s="65">
        <f t="shared" ca="1" si="139"/>
        <v>0</v>
      </c>
      <c r="BJ159" s="65">
        <f t="shared" ca="1" si="140"/>
        <v>0</v>
      </c>
      <c r="BK159" s="65">
        <f t="shared" ca="1" si="141"/>
        <v>0</v>
      </c>
      <c r="BL159" s="65">
        <f t="shared" ca="1" si="142"/>
        <v>0</v>
      </c>
      <c r="BM159" s="65">
        <f t="shared" ca="1" si="143"/>
        <v>0</v>
      </c>
      <c r="BN159" s="65">
        <f t="shared" ca="1" si="144"/>
        <v>0</v>
      </c>
      <c r="BO159" s="65">
        <f t="shared" ca="1" si="145"/>
        <v>0</v>
      </c>
      <c r="BP159" s="65">
        <f t="shared" ca="1" si="146"/>
        <v>0</v>
      </c>
      <c r="BQ159" s="65">
        <f t="shared" ca="1" si="147"/>
        <v>0</v>
      </c>
      <c r="BR159" s="65">
        <f t="shared" ca="1" si="148"/>
        <v>0</v>
      </c>
      <c r="BS159" s="65">
        <f t="shared" ca="1" si="149"/>
        <v>0</v>
      </c>
      <c r="BT159" s="65">
        <f t="shared" ca="1" si="150"/>
        <v>0</v>
      </c>
      <c r="BU159" s="65">
        <f t="shared" ca="1" si="127"/>
        <v>0</v>
      </c>
    </row>
    <row r="160" spans="1:73">
      <c r="A160" s="42">
        <f t="shared" si="128"/>
        <v>42705</v>
      </c>
      <c r="B160" s="30">
        <f>Inputs!$B$8</f>
        <v>50000</v>
      </c>
      <c r="C160" s="17">
        <f t="shared" si="118"/>
        <v>0</v>
      </c>
      <c r="D160" s="17">
        <f t="shared" ca="1" si="119"/>
        <v>0</v>
      </c>
      <c r="E160" s="25">
        <f>VLOOKUP($A160,[1]!CurveTable,MATCH($E$4,[1]!CurveType,0))</f>
        <v>5.2170000000000005</v>
      </c>
      <c r="F160" s="31">
        <f>E160-Inputs!$B$16</f>
        <v>5.2720000000000002</v>
      </c>
      <c r="G160" s="43">
        <f t="shared" si="155"/>
        <v>5.2720000000000002</v>
      </c>
      <c r="H160" s="25">
        <f>VLOOKUP($A160,[1]!CurveTable,MATCH($H$4,[1]!CurveType,0))</f>
        <v>0.26</v>
      </c>
      <c r="I160" s="31">
        <f>H160+Inputs!$B$22</f>
        <v>0.26</v>
      </c>
      <c r="J160" s="44">
        <f t="shared" si="156"/>
        <v>0.26</v>
      </c>
      <c r="K160" s="25">
        <f>VLOOKUP($A160,[1]!CurveTable,MATCH($K$4,[1]!CurveType,0))</f>
        <v>0</v>
      </c>
      <c r="L160" s="31">
        <v>0</v>
      </c>
      <c r="M160" s="45">
        <f t="shared" si="157"/>
        <v>0</v>
      </c>
      <c r="N160" s="25">
        <f>VLOOKUP($A160,[1]!CurveTable,MATCH($N$4,[1]!CurveType,0))</f>
        <v>1.7000000000000001E-2</v>
      </c>
      <c r="O160" s="31">
        <f>N160+Inputs!$E$22</f>
        <v>1.7000000000000001E-2</v>
      </c>
      <c r="P160" s="45">
        <f t="shared" si="158"/>
        <v>1.7000000000000001E-2</v>
      </c>
      <c r="Q160" s="25">
        <f>VLOOKUP($A160,[1]!CurveTable,MATCH($Q$4,[1]!CurveType,0))</f>
        <v>7.4999999999999997E-3</v>
      </c>
      <c r="R160" s="31">
        <v>0</v>
      </c>
      <c r="S160" s="45">
        <f t="shared" si="159"/>
        <v>0</v>
      </c>
      <c r="T160" s="4"/>
      <c r="U160" s="159">
        <f t="shared" si="129"/>
        <v>5.532</v>
      </c>
      <c r="V160" s="160"/>
      <c r="W160" s="100">
        <f>VLOOKUP($A160,[1]!CurveTable,MATCH($W$4,[1]!CurveType,0))+$W$9</f>
        <v>0.17</v>
      </c>
      <c r="X160" s="100">
        <f>VLOOKUP($A160,[1]!CurveTable,MATCH($X$4,[1]!CurveType,0))+$X$9</f>
        <v>0.17500000000000002</v>
      </c>
      <c r="Y160" s="158">
        <f t="shared" ca="1" si="120"/>
        <v>0.17572688978072981</v>
      </c>
      <c r="Z160" s="4"/>
      <c r="AA160" s="159">
        <f t="shared" si="130"/>
        <v>5.2890000000000006</v>
      </c>
      <c r="AB160" s="160"/>
      <c r="AC160" s="100">
        <f>VLOOKUP($A160,[1]!CurveTable,MATCH($AC$4,[1]!CurveType,0))+$AC$9</f>
        <v>0.17</v>
      </c>
      <c r="AD160" s="100">
        <f>VLOOKUP($A160,[1]!CurveTable,MATCH($AD$4,[1]!CurveType,0))+$AD$9</f>
        <v>0.17500000000000002</v>
      </c>
      <c r="AE160" s="158">
        <f t="shared" ca="1" si="121"/>
        <v>0.17572688978072981</v>
      </c>
      <c r="AF160" s="4"/>
      <c r="AG160" s="52">
        <f ca="1">((Inputs!$F$20*(X160*AD160)*(A160-$C$3))+(Inputs!$F$19*W160*AC160*(DAY(EOMONTH(A160,0))/2)))/(AN160*Y160*AE160)</f>
        <v>0.75</v>
      </c>
      <c r="AH160" s="4"/>
      <c r="AI160" s="18">
        <f>Inputs!$B$15</f>
        <v>0.06</v>
      </c>
      <c r="AJ160" s="46"/>
      <c r="AK160" s="18">
        <f t="shared" si="122"/>
        <v>0.18299999999999944</v>
      </c>
      <c r="AL160" s="46"/>
      <c r="AM160" s="62">
        <f t="shared" si="123"/>
        <v>42674</v>
      </c>
      <c r="AN160" s="63">
        <f t="shared" ca="1" si="124"/>
        <v>5481</v>
      </c>
      <c r="AO160" s="63">
        <f t="shared" si="151"/>
        <v>1</v>
      </c>
      <c r="AP160" s="19"/>
      <c r="AQ160" s="74">
        <f ca="1">_xll.SPRDOPT(U160,AA160,AI160,AX160,X160,AD160,AG160,AN160,AO160,0)</f>
        <v>0.46592852511540245</v>
      </c>
      <c r="AR160" s="47">
        <f t="shared" ca="1" si="131"/>
        <v>0</v>
      </c>
      <c r="AS160" s="135">
        <f t="shared" ca="1" si="132"/>
        <v>0.28292852511540301</v>
      </c>
      <c r="AU160" s="5">
        <f t="shared" si="152"/>
        <v>31</v>
      </c>
      <c r="AV160" s="148">
        <f t="shared" si="125"/>
        <v>42719</v>
      </c>
      <c r="AW160" s="41">
        <f t="shared" ca="1" si="126"/>
        <v>5526</v>
      </c>
      <c r="AX160" s="100">
        <f>VLOOKUP($A160,[1]!CurveTable,MATCH(AX$4,[1]!CurveType,0))</f>
        <v>5.83837346318936E-2</v>
      </c>
      <c r="AY160" s="149">
        <f ca="1">1/(1+CHOOSE(F$3,(AX161+(Inputs!$B$14/10000))/2,(AX160+(Inputs!$B$14/10000))/2))^(2*AW160/365.25)</f>
        <v>0.41867447714365658</v>
      </c>
      <c r="AZ160" s="41">
        <f t="shared" si="153"/>
        <v>0</v>
      </c>
      <c r="BA160" s="72">
        <f t="shared" si="154"/>
        <v>0</v>
      </c>
      <c r="BC160" s="65">
        <f t="shared" ca="1" si="133"/>
        <v>0</v>
      </c>
      <c r="BD160" s="65">
        <f t="shared" ca="1" si="134"/>
        <v>0</v>
      </c>
      <c r="BE160" s="65">
        <f t="shared" ca="1" si="135"/>
        <v>0</v>
      </c>
      <c r="BF160" s="65">
        <f t="shared" ca="1" si="136"/>
        <v>0</v>
      </c>
      <c r="BG160" s="65">
        <f t="shared" ca="1" si="137"/>
        <v>0</v>
      </c>
      <c r="BH160" s="65">
        <f t="shared" ca="1" si="138"/>
        <v>0</v>
      </c>
      <c r="BI160" s="65">
        <f t="shared" ca="1" si="139"/>
        <v>0</v>
      </c>
      <c r="BJ160" s="65">
        <f t="shared" ca="1" si="140"/>
        <v>0</v>
      </c>
      <c r="BK160" s="65">
        <f t="shared" ca="1" si="141"/>
        <v>0</v>
      </c>
      <c r="BL160" s="65">
        <f t="shared" ca="1" si="142"/>
        <v>0</v>
      </c>
      <c r="BM160" s="65">
        <f t="shared" ca="1" si="143"/>
        <v>0</v>
      </c>
      <c r="BN160" s="65">
        <f t="shared" ca="1" si="144"/>
        <v>0</v>
      </c>
      <c r="BO160" s="65">
        <f t="shared" ca="1" si="145"/>
        <v>0</v>
      </c>
      <c r="BP160" s="65">
        <f t="shared" ca="1" si="146"/>
        <v>0</v>
      </c>
      <c r="BQ160" s="65">
        <f t="shared" ca="1" si="147"/>
        <v>0</v>
      </c>
      <c r="BR160" s="65">
        <f t="shared" ca="1" si="148"/>
        <v>0</v>
      </c>
      <c r="BS160" s="65">
        <f t="shared" ca="1" si="149"/>
        <v>0</v>
      </c>
      <c r="BT160" s="65">
        <f t="shared" ca="1" si="150"/>
        <v>0</v>
      </c>
      <c r="BU160" s="65">
        <f t="shared" ca="1" si="127"/>
        <v>0</v>
      </c>
    </row>
    <row r="161" spans="1:73">
      <c r="A161" s="42">
        <f t="shared" si="128"/>
        <v>42736</v>
      </c>
      <c r="B161" s="30">
        <f>Inputs!$B$8</f>
        <v>50000</v>
      </c>
      <c r="C161" s="17">
        <f t="shared" si="118"/>
        <v>0</v>
      </c>
      <c r="D161" s="17">
        <f t="shared" ca="1" si="119"/>
        <v>0</v>
      </c>
      <c r="E161" s="25">
        <f>VLOOKUP($A161,[1]!CurveTable,MATCH($E$4,[1]!CurveType,0))</f>
        <v>5.2945000000000002</v>
      </c>
      <c r="F161" s="31">
        <f>E161-Inputs!$B$16</f>
        <v>5.3494999999999999</v>
      </c>
      <c r="G161" s="43">
        <f t="shared" si="155"/>
        <v>5.3494999999999999</v>
      </c>
      <c r="H161" s="25">
        <f>VLOOKUP($A161,[1]!CurveTable,MATCH($H$4,[1]!CurveType,0))</f>
        <v>8.5000000000000006E-2</v>
      </c>
      <c r="I161" s="31">
        <f>H161+Inputs!$B$22</f>
        <v>8.5000000000000006E-2</v>
      </c>
      <c r="J161" s="44">
        <f t="shared" si="156"/>
        <v>8.5000000000000006E-2</v>
      </c>
      <c r="K161" s="25">
        <f>VLOOKUP($A161,[1]!CurveTable,MATCH($K$4,[1]!CurveType,0))</f>
        <v>0</v>
      </c>
      <c r="L161" s="31">
        <v>0</v>
      </c>
      <c r="M161" s="45">
        <f t="shared" si="157"/>
        <v>0</v>
      </c>
      <c r="N161" s="25">
        <f>VLOOKUP($A161,[1]!CurveTable,MATCH($N$4,[1]!CurveType,0))</f>
        <v>1.7000000000000001E-2</v>
      </c>
      <c r="O161" s="31">
        <f>N161+Inputs!$E$22</f>
        <v>1.7000000000000001E-2</v>
      </c>
      <c r="P161" s="45">
        <f t="shared" si="158"/>
        <v>1.7000000000000001E-2</v>
      </c>
      <c r="Q161" s="25">
        <f>VLOOKUP($A161,[1]!CurveTable,MATCH($Q$4,[1]!CurveType,0))</f>
        <v>7.4999999999999997E-3</v>
      </c>
      <c r="R161" s="31">
        <v>0</v>
      </c>
      <c r="S161" s="45">
        <f t="shared" si="159"/>
        <v>0</v>
      </c>
      <c r="T161" s="4"/>
      <c r="U161" s="159">
        <f t="shared" si="129"/>
        <v>5.4344999999999999</v>
      </c>
      <c r="V161" s="160"/>
      <c r="W161" s="100">
        <f>VLOOKUP($A161,[1]!CurveTable,MATCH($W$4,[1]!CurveType,0))+$W$9</f>
        <v>0.17</v>
      </c>
      <c r="X161" s="100">
        <f>VLOOKUP($A161,[1]!CurveTable,MATCH($X$4,[1]!CurveType,0))+$X$9</f>
        <v>0.17500000000000002</v>
      </c>
      <c r="Y161" s="158">
        <f t="shared" ca="1" si="120"/>
        <v>0.17573875228479927</v>
      </c>
      <c r="Z161" s="4"/>
      <c r="AA161" s="159">
        <f t="shared" si="130"/>
        <v>5.3665000000000003</v>
      </c>
      <c r="AB161" s="160"/>
      <c r="AC161" s="100">
        <f>VLOOKUP($A161,[1]!CurveTable,MATCH($AC$4,[1]!CurveType,0))+$AC$9</f>
        <v>0.17</v>
      </c>
      <c r="AD161" s="100">
        <f>VLOOKUP($A161,[1]!CurveTable,MATCH($AD$4,[1]!CurveType,0))+$AD$9</f>
        <v>0.17500000000000002</v>
      </c>
      <c r="AE161" s="158">
        <f t="shared" ca="1" si="121"/>
        <v>0.17573875228479927</v>
      </c>
      <c r="AF161" s="4"/>
      <c r="AG161" s="52">
        <f ca="1">((Inputs!$F$20*(X161*AD161)*(A161-$C$3))+(Inputs!$F$19*W161*AC161*(DAY(EOMONTH(A161,0))/2)))/(AN161*Y161*AE161)</f>
        <v>0.75</v>
      </c>
      <c r="AH161" s="4"/>
      <c r="AI161" s="18">
        <f>Inputs!$B$15</f>
        <v>0.06</v>
      </c>
      <c r="AJ161" s="46"/>
      <c r="AK161" s="18">
        <f t="shared" si="122"/>
        <v>7.9999999999996185E-3</v>
      </c>
      <c r="AL161" s="46"/>
      <c r="AM161" s="62">
        <f t="shared" si="123"/>
        <v>42704</v>
      </c>
      <c r="AN161" s="63">
        <f t="shared" ca="1" si="124"/>
        <v>5511</v>
      </c>
      <c r="AO161" s="63">
        <f t="shared" si="151"/>
        <v>1</v>
      </c>
      <c r="AP161" s="19"/>
      <c r="AQ161" s="74">
        <f ca="1">_xll.SPRDOPT(U161,AA161,AI161,AX161,X161,AD161,AG161,AN161,AO161,0)</f>
        <v>0.42640044324625953</v>
      </c>
      <c r="AR161" s="47">
        <f t="shared" ca="1" si="131"/>
        <v>0</v>
      </c>
      <c r="AS161" s="135">
        <f t="shared" ca="1" si="132"/>
        <v>0.41840044324625991</v>
      </c>
      <c r="AU161" s="5">
        <f t="shared" si="152"/>
        <v>31</v>
      </c>
      <c r="AV161" s="148">
        <f t="shared" si="125"/>
        <v>42750</v>
      </c>
      <c r="AW161" s="41">
        <f t="shared" ca="1" si="126"/>
        <v>5557</v>
      </c>
      <c r="AX161" s="100">
        <f>VLOOKUP($A161,[1]!CurveTable,MATCH(AX$4,[1]!CurveType,0))</f>
        <v>5.8441947398586901E-2</v>
      </c>
      <c r="AY161" s="149">
        <f ca="1">1/(1+CHOOSE(F$3,(AX162+(Inputs!$B$14/10000))/2,(AX161+(Inputs!$B$14/10000))/2))^(2*AW161/365.25)</f>
        <v>0.41627616912180149</v>
      </c>
      <c r="AZ161" s="41">
        <f t="shared" si="153"/>
        <v>0</v>
      </c>
      <c r="BA161" s="72">
        <f t="shared" si="154"/>
        <v>0</v>
      </c>
      <c r="BC161" s="65">
        <f t="shared" ca="1" si="133"/>
        <v>0</v>
      </c>
      <c r="BD161" s="65">
        <f t="shared" ca="1" si="134"/>
        <v>0</v>
      </c>
      <c r="BE161" s="65">
        <f t="shared" ca="1" si="135"/>
        <v>0</v>
      </c>
      <c r="BF161" s="65">
        <f t="shared" ca="1" si="136"/>
        <v>0</v>
      </c>
      <c r="BG161" s="65">
        <f t="shared" ca="1" si="137"/>
        <v>0</v>
      </c>
      <c r="BH161" s="65">
        <f t="shared" ca="1" si="138"/>
        <v>0</v>
      </c>
      <c r="BI161" s="65">
        <f t="shared" ca="1" si="139"/>
        <v>0</v>
      </c>
      <c r="BJ161" s="65">
        <f t="shared" ca="1" si="140"/>
        <v>0</v>
      </c>
      <c r="BK161" s="65">
        <f t="shared" ca="1" si="141"/>
        <v>0</v>
      </c>
      <c r="BL161" s="65">
        <f t="shared" ca="1" si="142"/>
        <v>0</v>
      </c>
      <c r="BM161" s="65">
        <f t="shared" ca="1" si="143"/>
        <v>0</v>
      </c>
      <c r="BN161" s="65">
        <f t="shared" ca="1" si="144"/>
        <v>0</v>
      </c>
      <c r="BO161" s="65">
        <f t="shared" ca="1" si="145"/>
        <v>0</v>
      </c>
      <c r="BP161" s="65">
        <f t="shared" ca="1" si="146"/>
        <v>0</v>
      </c>
      <c r="BQ161" s="65">
        <f t="shared" ca="1" si="147"/>
        <v>0</v>
      </c>
      <c r="BR161" s="65">
        <f t="shared" ca="1" si="148"/>
        <v>0</v>
      </c>
      <c r="BS161" s="65">
        <f t="shared" ca="1" si="149"/>
        <v>0</v>
      </c>
      <c r="BT161" s="65">
        <f t="shared" ca="1" si="150"/>
        <v>0</v>
      </c>
      <c r="BU161" s="65">
        <f t="shared" ca="1" si="127"/>
        <v>0</v>
      </c>
    </row>
    <row r="162" spans="1:73">
      <c r="A162" s="42">
        <f t="shared" si="128"/>
        <v>42767</v>
      </c>
      <c r="B162" s="30">
        <f>Inputs!$B$8</f>
        <v>50000</v>
      </c>
      <c r="C162" s="17">
        <f t="shared" si="118"/>
        <v>0</v>
      </c>
      <c r="D162" s="17">
        <f t="shared" ca="1" si="119"/>
        <v>0</v>
      </c>
      <c r="E162" s="25">
        <f>VLOOKUP($A162,[1]!CurveTable,MATCH($E$4,[1]!CurveType,0))</f>
        <v>5.2074999999999996</v>
      </c>
      <c r="F162" s="31">
        <f>E162-Inputs!$B$16</f>
        <v>5.2624999999999993</v>
      </c>
      <c r="G162" s="43">
        <f t="shared" si="155"/>
        <v>5.2624999999999993</v>
      </c>
      <c r="H162" s="25">
        <f>VLOOKUP($A162,[1]!CurveTable,MATCH($H$4,[1]!CurveType,0))</f>
        <v>7.4999999999999997E-2</v>
      </c>
      <c r="I162" s="31">
        <f>H162+Inputs!$B$22</f>
        <v>7.4999999999999997E-2</v>
      </c>
      <c r="J162" s="44">
        <f t="shared" si="156"/>
        <v>7.4999999999999997E-2</v>
      </c>
      <c r="K162" s="25">
        <f>VLOOKUP($A162,[1]!CurveTable,MATCH($K$4,[1]!CurveType,0))</f>
        <v>0</v>
      </c>
      <c r="L162" s="31">
        <v>0</v>
      </c>
      <c r="M162" s="45">
        <f t="shared" si="157"/>
        <v>0</v>
      </c>
      <c r="N162" s="25">
        <f>VLOOKUP($A162,[1]!CurveTable,MATCH($N$4,[1]!CurveType,0))</f>
        <v>1.7000000000000001E-2</v>
      </c>
      <c r="O162" s="31">
        <f>N162+Inputs!$E$22</f>
        <v>1.7000000000000001E-2</v>
      </c>
      <c r="P162" s="45">
        <f t="shared" si="158"/>
        <v>1.7000000000000001E-2</v>
      </c>
      <c r="Q162" s="25">
        <f>VLOOKUP($A162,[1]!CurveTable,MATCH($Q$4,[1]!CurveType,0))</f>
        <v>7.4999999999999997E-3</v>
      </c>
      <c r="R162" s="31">
        <v>0</v>
      </c>
      <c r="S162" s="45">
        <f t="shared" si="159"/>
        <v>0</v>
      </c>
      <c r="T162" s="4"/>
      <c r="U162" s="159">
        <f t="shared" si="129"/>
        <v>5.3374999999999995</v>
      </c>
      <c r="V162" s="160"/>
      <c r="W162" s="100">
        <f>VLOOKUP($A162,[1]!CurveTable,MATCH($W$4,[1]!CurveType,0))+$W$9</f>
        <v>0.17</v>
      </c>
      <c r="X162" s="100">
        <f>VLOOKUP($A162,[1]!CurveTable,MATCH($X$4,[1]!CurveType,0))+$X$9</f>
        <v>0.17500000000000002</v>
      </c>
      <c r="Y162" s="158">
        <f t="shared" ca="1" si="120"/>
        <v>0.17571237180048865</v>
      </c>
      <c r="Z162" s="4"/>
      <c r="AA162" s="159">
        <f t="shared" si="130"/>
        <v>5.2794999999999996</v>
      </c>
      <c r="AB162" s="160"/>
      <c r="AC162" s="100">
        <f>VLOOKUP($A162,[1]!CurveTable,MATCH($AC$4,[1]!CurveType,0))+$AC$9</f>
        <v>0.17</v>
      </c>
      <c r="AD162" s="100">
        <f>VLOOKUP($A162,[1]!CurveTable,MATCH($AD$4,[1]!CurveType,0))+$AD$9</f>
        <v>0.17500000000000002</v>
      </c>
      <c r="AE162" s="158">
        <f t="shared" ca="1" si="121"/>
        <v>0.17571237180048865</v>
      </c>
      <c r="AF162" s="4"/>
      <c r="AG162" s="52">
        <f ca="1">((Inputs!$F$20*(X162*AD162)*(A162-$C$3))+(Inputs!$F$19*W162*AC162*(DAY(EOMONTH(A162,0))/2)))/(AN162*Y162*AE162)</f>
        <v>0.74999999999999989</v>
      </c>
      <c r="AH162" s="4"/>
      <c r="AI162" s="18">
        <f>Inputs!$B$15</f>
        <v>0.06</v>
      </c>
      <c r="AJ162" s="46"/>
      <c r="AK162" s="18">
        <f t="shared" si="122"/>
        <v>0</v>
      </c>
      <c r="AL162" s="46"/>
      <c r="AM162" s="62">
        <f t="shared" si="123"/>
        <v>42735</v>
      </c>
      <c r="AN162" s="63">
        <f t="shared" ca="1" si="124"/>
        <v>5542</v>
      </c>
      <c r="AO162" s="63">
        <f t="shared" si="151"/>
        <v>1</v>
      </c>
      <c r="AP162" s="19"/>
      <c r="AQ162" s="74">
        <f ca="1">_xll.SPRDOPT(U162,AA162,AI162,AX162,X162,AD162,AG162,AN162,AO162,0)</f>
        <v>0.41580914065669516</v>
      </c>
      <c r="AR162" s="47">
        <f t="shared" ca="1" si="131"/>
        <v>0</v>
      </c>
      <c r="AS162" s="135">
        <f t="shared" ca="1" si="132"/>
        <v>0.41580914065669516</v>
      </c>
      <c r="AU162" s="5">
        <f t="shared" si="152"/>
        <v>28</v>
      </c>
      <c r="AV162" s="148">
        <f t="shared" si="125"/>
        <v>42781</v>
      </c>
      <c r="AW162" s="41">
        <f t="shared" ca="1" si="126"/>
        <v>5588</v>
      </c>
      <c r="AX162" s="100">
        <f>VLOOKUP($A162,[1]!CurveTable,MATCH(AX$4,[1]!CurveType,0))</f>
        <v>5.85001601664068E-2</v>
      </c>
      <c r="AY162" s="149">
        <f ca="1">1/(1+CHOOSE(F$3,(AX163+(Inputs!$B$14/10000))/2,(AX162+(Inputs!$B$14/10000))/2))^(2*AW162/365.25)</f>
        <v>0.41388763577417115</v>
      </c>
      <c r="AZ162" s="41">
        <f t="shared" si="153"/>
        <v>0</v>
      </c>
      <c r="BA162" s="72">
        <f t="shared" si="154"/>
        <v>0</v>
      </c>
      <c r="BC162" s="65">
        <f t="shared" ca="1" si="133"/>
        <v>0</v>
      </c>
      <c r="BD162" s="65">
        <f t="shared" ca="1" si="134"/>
        <v>0</v>
      </c>
      <c r="BE162" s="65">
        <f t="shared" ca="1" si="135"/>
        <v>0</v>
      </c>
      <c r="BF162" s="65">
        <f t="shared" ca="1" si="136"/>
        <v>0</v>
      </c>
      <c r="BG162" s="65">
        <f t="shared" ca="1" si="137"/>
        <v>0</v>
      </c>
      <c r="BH162" s="65">
        <f t="shared" ca="1" si="138"/>
        <v>0</v>
      </c>
      <c r="BI162" s="65">
        <f t="shared" ca="1" si="139"/>
        <v>0</v>
      </c>
      <c r="BJ162" s="65">
        <f t="shared" ca="1" si="140"/>
        <v>0</v>
      </c>
      <c r="BK162" s="65">
        <f t="shared" ca="1" si="141"/>
        <v>0</v>
      </c>
      <c r="BL162" s="65">
        <f t="shared" ca="1" si="142"/>
        <v>0</v>
      </c>
      <c r="BM162" s="65">
        <f t="shared" ca="1" si="143"/>
        <v>0</v>
      </c>
      <c r="BN162" s="65">
        <f t="shared" ca="1" si="144"/>
        <v>0</v>
      </c>
      <c r="BO162" s="65">
        <f t="shared" ca="1" si="145"/>
        <v>0</v>
      </c>
      <c r="BP162" s="65">
        <f t="shared" ca="1" si="146"/>
        <v>0</v>
      </c>
      <c r="BQ162" s="65">
        <f t="shared" ca="1" si="147"/>
        <v>0</v>
      </c>
      <c r="BR162" s="65">
        <f t="shared" ca="1" si="148"/>
        <v>0</v>
      </c>
      <c r="BS162" s="65">
        <f t="shared" ca="1" si="149"/>
        <v>0</v>
      </c>
      <c r="BT162" s="65">
        <f t="shared" ca="1" si="150"/>
        <v>0</v>
      </c>
      <c r="BU162" s="65">
        <f t="shared" ca="1" si="127"/>
        <v>0</v>
      </c>
    </row>
    <row r="163" spans="1:73">
      <c r="A163" s="42">
        <f t="shared" si="128"/>
        <v>42795</v>
      </c>
      <c r="B163" s="30">
        <f>Inputs!$B$8</f>
        <v>50000</v>
      </c>
      <c r="C163" s="17">
        <f t="shared" si="118"/>
        <v>0</v>
      </c>
      <c r="D163" s="17">
        <f t="shared" ca="1" si="119"/>
        <v>0</v>
      </c>
      <c r="E163" s="25">
        <f>VLOOKUP($A163,[1]!CurveTable,MATCH($E$4,[1]!CurveType,0))</f>
        <v>5.0685000000000002</v>
      </c>
      <c r="F163" s="31">
        <f>E163-Inputs!$B$16</f>
        <v>5.1234999999999999</v>
      </c>
      <c r="G163" s="43">
        <f t="shared" si="155"/>
        <v>5.1234999999999999</v>
      </c>
      <c r="H163" s="25">
        <f>VLOOKUP($A163,[1]!CurveTable,MATCH($H$4,[1]!CurveType,0))</f>
        <v>0.115</v>
      </c>
      <c r="I163" s="31">
        <f>H163+Inputs!$B$22</f>
        <v>0.115</v>
      </c>
      <c r="J163" s="44">
        <f t="shared" si="156"/>
        <v>0.115</v>
      </c>
      <c r="K163" s="25">
        <f>VLOOKUP($A163,[1]!CurveTable,MATCH($K$4,[1]!CurveType,0))</f>
        <v>0</v>
      </c>
      <c r="L163" s="31">
        <v>0</v>
      </c>
      <c r="M163" s="45">
        <f t="shared" si="157"/>
        <v>0</v>
      </c>
      <c r="N163" s="25">
        <f>VLOOKUP($A163,[1]!CurveTable,MATCH($N$4,[1]!CurveType,0))</f>
        <v>2.1000000000000001E-2</v>
      </c>
      <c r="O163" s="31">
        <f>N163+Inputs!$E$22</f>
        <v>2.1000000000000001E-2</v>
      </c>
      <c r="P163" s="45">
        <f t="shared" si="158"/>
        <v>2.1000000000000001E-2</v>
      </c>
      <c r="Q163" s="25">
        <f>VLOOKUP($A163,[1]!CurveTable,MATCH($Q$4,[1]!CurveType,0))</f>
        <v>7.4999999999999997E-3</v>
      </c>
      <c r="R163" s="31">
        <v>0</v>
      </c>
      <c r="S163" s="45">
        <f t="shared" si="159"/>
        <v>0</v>
      </c>
      <c r="T163" s="4"/>
      <c r="U163" s="159">
        <f t="shared" si="129"/>
        <v>5.2385000000000002</v>
      </c>
      <c r="V163" s="160"/>
      <c r="W163" s="100">
        <f>VLOOKUP($A163,[1]!CurveTable,MATCH($W$4,[1]!CurveType,0))+$W$9</f>
        <v>0.17</v>
      </c>
      <c r="X163" s="100">
        <f>VLOOKUP($A163,[1]!CurveTable,MATCH($X$4,[1]!CurveType,0))+$X$9</f>
        <v>0.17500000000000002</v>
      </c>
      <c r="Y163" s="158">
        <f t="shared" ca="1" si="120"/>
        <v>0.17568363815152949</v>
      </c>
      <c r="Z163" s="4"/>
      <c r="AA163" s="159">
        <f t="shared" si="130"/>
        <v>5.1444999999999999</v>
      </c>
      <c r="AB163" s="160"/>
      <c r="AC163" s="100">
        <f>VLOOKUP($A163,[1]!CurveTable,MATCH($AC$4,[1]!CurveType,0))+$AC$9</f>
        <v>0.17</v>
      </c>
      <c r="AD163" s="100">
        <f>VLOOKUP($A163,[1]!CurveTable,MATCH($AD$4,[1]!CurveType,0))+$AD$9</f>
        <v>0.17500000000000002</v>
      </c>
      <c r="AE163" s="158">
        <f t="shared" ca="1" si="121"/>
        <v>0.17568363815152949</v>
      </c>
      <c r="AF163" s="4"/>
      <c r="AG163" s="52">
        <f ca="1">((Inputs!$F$20*(X163*AD163)*(A163-$C$3))+(Inputs!$F$19*W163*AC163*(DAY(EOMONTH(A163,0))/2)))/(AN163*Y163*AE163)</f>
        <v>0.74999999999999989</v>
      </c>
      <c r="AH163" s="4"/>
      <c r="AI163" s="18">
        <f>Inputs!$B$15</f>
        <v>0.06</v>
      </c>
      <c r="AJ163" s="46"/>
      <c r="AK163" s="18">
        <f t="shared" si="122"/>
        <v>3.4000000000000308E-2</v>
      </c>
      <c r="AL163" s="46"/>
      <c r="AM163" s="62">
        <f t="shared" si="123"/>
        <v>42766</v>
      </c>
      <c r="AN163" s="63">
        <f t="shared" ca="1" si="124"/>
        <v>5573</v>
      </c>
      <c r="AO163" s="63">
        <f t="shared" si="151"/>
        <v>1</v>
      </c>
      <c r="AP163" s="19"/>
      <c r="AQ163" s="74">
        <f ca="1">_xll.SPRDOPT(U163,AA163,AI163,AX163,X163,AD163,AG163,AN163,AO163,0)</f>
        <v>0.41280745677696951</v>
      </c>
      <c r="AR163" s="47">
        <f t="shared" ca="1" si="131"/>
        <v>0</v>
      </c>
      <c r="AS163" s="135">
        <f t="shared" ca="1" si="132"/>
        <v>0.3788074567769692</v>
      </c>
      <c r="AU163" s="5">
        <f t="shared" si="152"/>
        <v>31</v>
      </c>
      <c r="AV163" s="148">
        <f t="shared" si="125"/>
        <v>42809</v>
      </c>
      <c r="AW163" s="41">
        <f t="shared" ca="1" si="126"/>
        <v>5616</v>
      </c>
      <c r="AX163" s="100">
        <f>VLOOKUP($A163,[1]!CurveTable,MATCH(AX$4,[1]!CurveType,0))</f>
        <v>5.8552739441534801E-2</v>
      </c>
      <c r="AY163" s="149">
        <f ca="1">1/(1+CHOOSE(F$3,(AX164+(Inputs!$B$14/10000))/2,(AX163+(Inputs!$B$14/10000))/2))^(2*AW163/365.25)</f>
        <v>0.41173864379107822</v>
      </c>
      <c r="AZ163" s="41">
        <f t="shared" si="153"/>
        <v>0</v>
      </c>
      <c r="BA163" s="72">
        <f t="shared" si="154"/>
        <v>0</v>
      </c>
      <c r="BC163" s="65">
        <f t="shared" ca="1" si="133"/>
        <v>0</v>
      </c>
      <c r="BD163" s="65">
        <f t="shared" ca="1" si="134"/>
        <v>0</v>
      </c>
      <c r="BE163" s="65">
        <f t="shared" ca="1" si="135"/>
        <v>0</v>
      </c>
      <c r="BF163" s="65">
        <f t="shared" ca="1" si="136"/>
        <v>0</v>
      </c>
      <c r="BG163" s="65">
        <f t="shared" ca="1" si="137"/>
        <v>0</v>
      </c>
      <c r="BH163" s="65">
        <f t="shared" ca="1" si="138"/>
        <v>0</v>
      </c>
      <c r="BI163" s="65">
        <f t="shared" ca="1" si="139"/>
        <v>0</v>
      </c>
      <c r="BJ163" s="65">
        <f t="shared" ca="1" si="140"/>
        <v>0</v>
      </c>
      <c r="BK163" s="65">
        <f t="shared" ca="1" si="141"/>
        <v>0</v>
      </c>
      <c r="BL163" s="65">
        <f t="shared" ca="1" si="142"/>
        <v>0</v>
      </c>
      <c r="BM163" s="65">
        <f t="shared" ca="1" si="143"/>
        <v>0</v>
      </c>
      <c r="BN163" s="65">
        <f t="shared" ca="1" si="144"/>
        <v>0</v>
      </c>
      <c r="BO163" s="65">
        <f t="shared" ca="1" si="145"/>
        <v>0</v>
      </c>
      <c r="BP163" s="65">
        <f t="shared" ca="1" si="146"/>
        <v>0</v>
      </c>
      <c r="BQ163" s="65">
        <f t="shared" ca="1" si="147"/>
        <v>0</v>
      </c>
      <c r="BR163" s="65">
        <f t="shared" ca="1" si="148"/>
        <v>0</v>
      </c>
      <c r="BS163" s="65">
        <f t="shared" ca="1" si="149"/>
        <v>0</v>
      </c>
      <c r="BT163" s="65">
        <f t="shared" ca="1" si="150"/>
        <v>0</v>
      </c>
      <c r="BU163" s="65">
        <f t="shared" ca="1" si="127"/>
        <v>0</v>
      </c>
    </row>
    <row r="164" spans="1:73">
      <c r="A164" s="42">
        <f t="shared" si="128"/>
        <v>42826</v>
      </c>
      <c r="B164" s="30">
        <f>Inputs!$B$8</f>
        <v>50000</v>
      </c>
      <c r="C164" s="17">
        <f t="shared" si="118"/>
        <v>0</v>
      </c>
      <c r="D164" s="17">
        <f t="shared" ca="1" si="119"/>
        <v>0</v>
      </c>
      <c r="E164" s="25">
        <f>VLOOKUP($A164,[1]!CurveTable,MATCH($E$4,[1]!CurveType,0))</f>
        <v>4.9145000000000003</v>
      </c>
      <c r="F164" s="31">
        <f>E164-Inputs!$B$16</f>
        <v>4.9695</v>
      </c>
      <c r="G164" s="43">
        <f t="shared" si="155"/>
        <v>4.9695</v>
      </c>
      <c r="H164" s="25">
        <f>VLOOKUP($A164,[1]!CurveTable,MATCH($H$4,[1]!CurveType,0))</f>
        <v>0.55000000000000004</v>
      </c>
      <c r="I164" s="31">
        <f>H164+Inputs!$B$22</f>
        <v>0.55000000000000004</v>
      </c>
      <c r="J164" s="44">
        <f t="shared" si="156"/>
        <v>0.55000000000000004</v>
      </c>
      <c r="K164" s="25">
        <f>VLOOKUP($A164,[1]!CurveTable,MATCH($K$4,[1]!CurveType,0))</f>
        <v>0</v>
      </c>
      <c r="L164" s="31">
        <v>0</v>
      </c>
      <c r="M164" s="45">
        <f t="shared" si="157"/>
        <v>0</v>
      </c>
      <c r="N164" s="25">
        <f>VLOOKUP($A164,[1]!CurveTable,MATCH($N$4,[1]!CurveType,0))</f>
        <v>2.1000000000000001E-2</v>
      </c>
      <c r="O164" s="31">
        <f>N164+Inputs!$E$22</f>
        <v>2.1000000000000001E-2</v>
      </c>
      <c r="P164" s="45">
        <f t="shared" si="158"/>
        <v>2.1000000000000001E-2</v>
      </c>
      <c r="Q164" s="25">
        <f>VLOOKUP($A164,[1]!CurveTable,MATCH($Q$4,[1]!CurveType,0))</f>
        <v>0.01</v>
      </c>
      <c r="R164" s="31">
        <v>0</v>
      </c>
      <c r="S164" s="45">
        <f t="shared" si="159"/>
        <v>0</v>
      </c>
      <c r="T164" s="4"/>
      <c r="U164" s="159">
        <f t="shared" si="129"/>
        <v>5.5194999999999999</v>
      </c>
      <c r="V164" s="160"/>
      <c r="W164" s="100">
        <f>VLOOKUP($A164,[1]!CurveTable,MATCH($W$4,[1]!CurveType,0))+$W$9</f>
        <v>0.17</v>
      </c>
      <c r="X164" s="100">
        <f>VLOOKUP($A164,[1]!CurveTable,MATCH($X$4,[1]!CurveType,0))+$X$9</f>
        <v>0.17500000000000002</v>
      </c>
      <c r="Y164" s="158">
        <f t="shared" ca="1" si="120"/>
        <v>0.17571956535625524</v>
      </c>
      <c r="Z164" s="4"/>
      <c r="AA164" s="159">
        <f t="shared" si="130"/>
        <v>4.9904999999999999</v>
      </c>
      <c r="AB164" s="160"/>
      <c r="AC164" s="100">
        <f>VLOOKUP($A164,[1]!CurveTable,MATCH($AC$4,[1]!CurveType,0))+$AC$9</f>
        <v>0.17</v>
      </c>
      <c r="AD164" s="100">
        <f>VLOOKUP($A164,[1]!CurveTable,MATCH($AD$4,[1]!CurveType,0))+$AD$9</f>
        <v>0.17500000000000002</v>
      </c>
      <c r="AE164" s="158">
        <f t="shared" ca="1" si="121"/>
        <v>0.17571956535625524</v>
      </c>
      <c r="AF164" s="4"/>
      <c r="AG164" s="52">
        <f ca="1">((Inputs!$F$20*(X164*AD164)*(A164-$C$3))+(Inputs!$F$19*W164*AC164*(DAY(EOMONTH(A164,0))/2)))/(AN164*Y164*AE164)</f>
        <v>0.74999999999999989</v>
      </c>
      <c r="AH164" s="4"/>
      <c r="AI164" s="18">
        <f>Inputs!$B$15</f>
        <v>0.06</v>
      </c>
      <c r="AJ164" s="46"/>
      <c r="AK164" s="18">
        <f t="shared" si="122"/>
        <v>0.46899999999999992</v>
      </c>
      <c r="AL164" s="46"/>
      <c r="AM164" s="62">
        <f t="shared" si="123"/>
        <v>42794</v>
      </c>
      <c r="AN164" s="63">
        <f t="shared" ca="1" si="124"/>
        <v>5601</v>
      </c>
      <c r="AO164" s="63">
        <f t="shared" si="151"/>
        <v>1</v>
      </c>
      <c r="AP164" s="19"/>
      <c r="AQ164" s="74">
        <f ca="1">_xll.SPRDOPT(U164,AA164,AI164,AX164,X164,AD164,AG164,AN164,AO164,0)</f>
        <v>0.51178041787270201</v>
      </c>
      <c r="AR164" s="47">
        <f t="shared" ca="1" si="131"/>
        <v>0</v>
      </c>
      <c r="AS164" s="135">
        <f t="shared" ca="1" si="132"/>
        <v>4.2780417872702092E-2</v>
      </c>
      <c r="AU164" s="5">
        <f t="shared" si="152"/>
        <v>30</v>
      </c>
      <c r="AV164" s="148">
        <f t="shared" si="125"/>
        <v>42840</v>
      </c>
      <c r="AW164" s="41">
        <f t="shared" ca="1" si="126"/>
        <v>5647</v>
      </c>
      <c r="AX164" s="100">
        <f>VLOOKUP($A164,[1]!CurveTable,MATCH(AX$4,[1]!CurveType,0))</f>
        <v>5.8610952211499298E-2</v>
      </c>
      <c r="AY164" s="149">
        <f ca="1">1/(1+CHOOSE(F$3,(AX165+(Inputs!$B$14/10000))/2,(AX164+(Inputs!$B$14/10000))/2))^(2*AW164/365.25)</f>
        <v>0.40936868520693931</v>
      </c>
      <c r="AZ164" s="41">
        <f t="shared" si="153"/>
        <v>0</v>
      </c>
      <c r="BA164" s="72">
        <f t="shared" si="154"/>
        <v>0</v>
      </c>
      <c r="BC164" s="65">
        <f t="shared" ca="1" si="133"/>
        <v>0</v>
      </c>
      <c r="BD164" s="65">
        <f t="shared" ca="1" si="134"/>
        <v>0</v>
      </c>
      <c r="BE164" s="65">
        <f t="shared" ca="1" si="135"/>
        <v>0</v>
      </c>
      <c r="BF164" s="65">
        <f t="shared" ca="1" si="136"/>
        <v>0</v>
      </c>
      <c r="BG164" s="65">
        <f t="shared" ca="1" si="137"/>
        <v>0</v>
      </c>
      <c r="BH164" s="65">
        <f t="shared" ca="1" si="138"/>
        <v>0</v>
      </c>
      <c r="BI164" s="65">
        <f t="shared" ca="1" si="139"/>
        <v>0</v>
      </c>
      <c r="BJ164" s="65">
        <f t="shared" ca="1" si="140"/>
        <v>0</v>
      </c>
      <c r="BK164" s="65">
        <f t="shared" ca="1" si="141"/>
        <v>0</v>
      </c>
      <c r="BL164" s="65">
        <f t="shared" ca="1" si="142"/>
        <v>0</v>
      </c>
      <c r="BM164" s="65">
        <f t="shared" ca="1" si="143"/>
        <v>0</v>
      </c>
      <c r="BN164" s="65">
        <f t="shared" ca="1" si="144"/>
        <v>0</v>
      </c>
      <c r="BO164" s="65">
        <f t="shared" ca="1" si="145"/>
        <v>0</v>
      </c>
      <c r="BP164" s="65">
        <f t="shared" ca="1" si="146"/>
        <v>0</v>
      </c>
      <c r="BQ164" s="65">
        <f t="shared" ca="1" si="147"/>
        <v>0</v>
      </c>
      <c r="BR164" s="65">
        <f t="shared" ca="1" si="148"/>
        <v>0</v>
      </c>
      <c r="BS164" s="65">
        <f t="shared" ca="1" si="149"/>
        <v>0</v>
      </c>
      <c r="BT164" s="65">
        <f t="shared" ca="1" si="150"/>
        <v>0</v>
      </c>
      <c r="BU164" s="65">
        <f t="shared" ca="1" si="127"/>
        <v>0</v>
      </c>
    </row>
    <row r="165" spans="1:73">
      <c r="A165" s="42">
        <f t="shared" si="128"/>
        <v>42856</v>
      </c>
      <c r="B165" s="30">
        <f>Inputs!$B$8</f>
        <v>50000</v>
      </c>
      <c r="C165" s="17">
        <f t="shared" si="118"/>
        <v>0</v>
      </c>
      <c r="D165" s="17">
        <f t="shared" ca="1" si="119"/>
        <v>0</v>
      </c>
      <c r="E165" s="25">
        <f>VLOOKUP($A165,[1]!CurveTable,MATCH($E$4,[1]!CurveType,0))</f>
        <v>4.9195000000000002</v>
      </c>
      <c r="F165" s="31">
        <f>E165-Inputs!$B$16</f>
        <v>4.9744999999999999</v>
      </c>
      <c r="G165" s="43">
        <f t="shared" si="155"/>
        <v>4.9744999999999999</v>
      </c>
      <c r="H165" s="25">
        <f>VLOOKUP($A165,[1]!CurveTable,MATCH($H$4,[1]!CurveType,0))</f>
        <v>0.7</v>
      </c>
      <c r="I165" s="31">
        <f>H165+Inputs!$B$22</f>
        <v>0.7</v>
      </c>
      <c r="J165" s="44">
        <f t="shared" si="156"/>
        <v>0.7</v>
      </c>
      <c r="K165" s="25">
        <f>VLOOKUP($A165,[1]!CurveTable,MATCH($K$4,[1]!CurveType,0))</f>
        <v>0</v>
      </c>
      <c r="L165" s="31">
        <v>0</v>
      </c>
      <c r="M165" s="45">
        <f t="shared" si="157"/>
        <v>0</v>
      </c>
      <c r="N165" s="25">
        <f>VLOOKUP($A165,[1]!CurveTable,MATCH($N$4,[1]!CurveType,0))</f>
        <v>2.35E-2</v>
      </c>
      <c r="O165" s="31">
        <f>N165+Inputs!$E$22</f>
        <v>2.35E-2</v>
      </c>
      <c r="P165" s="45">
        <f t="shared" si="158"/>
        <v>2.35E-2</v>
      </c>
      <c r="Q165" s="25">
        <f>VLOOKUP($A165,[1]!CurveTable,MATCH($Q$4,[1]!CurveType,0))</f>
        <v>0.01</v>
      </c>
      <c r="R165" s="31">
        <v>0</v>
      </c>
      <c r="S165" s="45">
        <f t="shared" si="159"/>
        <v>0</v>
      </c>
      <c r="T165" s="4"/>
      <c r="U165" s="159">
        <f t="shared" si="129"/>
        <v>5.6745000000000001</v>
      </c>
      <c r="V165" s="160"/>
      <c r="W165" s="100">
        <f>VLOOKUP($A165,[1]!CurveTable,MATCH($W$4,[1]!CurveType,0))+$W$9</f>
        <v>0.34</v>
      </c>
      <c r="X165" s="100">
        <f>VLOOKUP($A165,[1]!CurveTable,MATCH($X$4,[1]!CurveType,0))+$X$9</f>
        <v>0.34500000000000003</v>
      </c>
      <c r="Y165" s="158">
        <f t="shared" ca="1" si="120"/>
        <v>0.34640769479852063</v>
      </c>
      <c r="Z165" s="4"/>
      <c r="AA165" s="159">
        <f t="shared" si="130"/>
        <v>4.9980000000000002</v>
      </c>
      <c r="AB165" s="160"/>
      <c r="AC165" s="100">
        <f>VLOOKUP($A165,[1]!CurveTable,MATCH($AC$4,[1]!CurveType,0))+$AC$9</f>
        <v>0.17</v>
      </c>
      <c r="AD165" s="100">
        <f>VLOOKUP($A165,[1]!CurveTable,MATCH($AD$4,[1]!CurveType,0))+$AD$9</f>
        <v>0.17500000000000002</v>
      </c>
      <c r="AE165" s="158">
        <f t="shared" ca="1" si="121"/>
        <v>0.17570744031191712</v>
      </c>
      <c r="AF165" s="4"/>
      <c r="AG165" s="52">
        <f ca="1">((Inputs!$F$20*(X165*AD165)*(A165-$C$3))+(Inputs!$F$19*W165*AC165*(DAY(EOMONTH(A165,0))/2)))/(AN165*Y165*AE165)</f>
        <v>0.74999979762037805</v>
      </c>
      <c r="AH165" s="4"/>
      <c r="AI165" s="18">
        <f>Inputs!$B$15</f>
        <v>0.06</v>
      </c>
      <c r="AJ165" s="46"/>
      <c r="AK165" s="18">
        <f t="shared" si="122"/>
        <v>0.61649999999999983</v>
      </c>
      <c r="AL165" s="46"/>
      <c r="AM165" s="62">
        <f t="shared" si="123"/>
        <v>42825</v>
      </c>
      <c r="AN165" s="63">
        <f t="shared" ca="1" si="124"/>
        <v>5632</v>
      </c>
      <c r="AO165" s="63">
        <f t="shared" si="151"/>
        <v>1</v>
      </c>
      <c r="AP165" s="19"/>
      <c r="AQ165" s="74">
        <f ca="1">_xll.SPRDOPT(U165,AA165,AI165,AX165,X165,AD165,AG165,AN165,AO165,0)</f>
        <v>0.92878200322707338</v>
      </c>
      <c r="AR165" s="47">
        <f t="shared" ca="1" si="131"/>
        <v>0</v>
      </c>
      <c r="AS165" s="135">
        <f t="shared" ca="1" si="132"/>
        <v>0.31228200322707356</v>
      </c>
      <c r="AU165" s="5">
        <f t="shared" si="152"/>
        <v>31</v>
      </c>
      <c r="AV165" s="148">
        <f t="shared" si="125"/>
        <v>42870</v>
      </c>
      <c r="AW165" s="41">
        <f t="shared" ca="1" si="126"/>
        <v>5677</v>
      </c>
      <c r="AX165" s="100">
        <f>VLOOKUP($A165,[1]!CurveTable,MATCH(AX$4,[1]!CurveType,0))</f>
        <v>5.8667287151246604E-2</v>
      </c>
      <c r="AY165" s="149">
        <f ca="1">1/(1+CHOOSE(F$3,(AX166+(Inputs!$B$14/10000))/2,(AX165+(Inputs!$B$14/10000))/2))^(2*AW165/365.25)</f>
        <v>0.4070844547381619</v>
      </c>
      <c r="AZ165" s="41">
        <f t="shared" si="153"/>
        <v>0</v>
      </c>
      <c r="BA165" s="72">
        <f t="shared" si="154"/>
        <v>0</v>
      </c>
      <c r="BC165" s="65">
        <f t="shared" ca="1" si="133"/>
        <v>0</v>
      </c>
      <c r="BD165" s="65">
        <f t="shared" ca="1" si="134"/>
        <v>0</v>
      </c>
      <c r="BE165" s="65">
        <f t="shared" ca="1" si="135"/>
        <v>0</v>
      </c>
      <c r="BF165" s="65">
        <f t="shared" ca="1" si="136"/>
        <v>0</v>
      </c>
      <c r="BG165" s="65">
        <f t="shared" ca="1" si="137"/>
        <v>0</v>
      </c>
      <c r="BH165" s="65">
        <f t="shared" ca="1" si="138"/>
        <v>0</v>
      </c>
      <c r="BI165" s="65">
        <f t="shared" ca="1" si="139"/>
        <v>0</v>
      </c>
      <c r="BJ165" s="65">
        <f t="shared" ca="1" si="140"/>
        <v>0</v>
      </c>
      <c r="BK165" s="65">
        <f t="shared" ca="1" si="141"/>
        <v>0</v>
      </c>
      <c r="BL165" s="65">
        <f t="shared" ca="1" si="142"/>
        <v>0</v>
      </c>
      <c r="BM165" s="65">
        <f t="shared" ca="1" si="143"/>
        <v>0</v>
      </c>
      <c r="BN165" s="65">
        <f t="shared" ca="1" si="144"/>
        <v>0</v>
      </c>
      <c r="BO165" s="65">
        <f t="shared" ca="1" si="145"/>
        <v>0</v>
      </c>
      <c r="BP165" s="65">
        <f t="shared" ca="1" si="146"/>
        <v>0</v>
      </c>
      <c r="BQ165" s="65">
        <f t="shared" ca="1" si="147"/>
        <v>0</v>
      </c>
      <c r="BR165" s="65">
        <f t="shared" ca="1" si="148"/>
        <v>0</v>
      </c>
      <c r="BS165" s="65">
        <f t="shared" ca="1" si="149"/>
        <v>0</v>
      </c>
      <c r="BT165" s="65">
        <f t="shared" ca="1" si="150"/>
        <v>0</v>
      </c>
      <c r="BU165" s="65">
        <f t="shared" ca="1" si="127"/>
        <v>0</v>
      </c>
    </row>
    <row r="166" spans="1:73">
      <c r="A166" s="42">
        <f t="shared" si="128"/>
        <v>42887</v>
      </c>
      <c r="B166" s="30">
        <f>Inputs!$B$8</f>
        <v>50000</v>
      </c>
      <c r="C166" s="17">
        <f t="shared" si="118"/>
        <v>0</v>
      </c>
      <c r="D166" s="17">
        <f t="shared" ca="1" si="119"/>
        <v>0</v>
      </c>
      <c r="E166" s="25">
        <f>VLOOKUP($A166,[1]!CurveTable,MATCH($E$4,[1]!CurveType,0))</f>
        <v>4.9574999999999996</v>
      </c>
      <c r="F166" s="31">
        <f>E166-Inputs!$B$16</f>
        <v>5.0124999999999993</v>
      </c>
      <c r="G166" s="43">
        <f t="shared" si="155"/>
        <v>5.0124999999999993</v>
      </c>
      <c r="H166" s="25">
        <f>VLOOKUP($A166,[1]!CurveTable,MATCH($H$4,[1]!CurveType,0))</f>
        <v>0.8</v>
      </c>
      <c r="I166" s="31">
        <f>H166+Inputs!$B$22</f>
        <v>0.8</v>
      </c>
      <c r="J166" s="44">
        <f t="shared" si="156"/>
        <v>0.8</v>
      </c>
      <c r="K166" s="25">
        <f>VLOOKUP($A166,[1]!CurveTable,MATCH($K$4,[1]!CurveType,0))</f>
        <v>0</v>
      </c>
      <c r="L166" s="31">
        <v>0</v>
      </c>
      <c r="M166" s="45">
        <f t="shared" si="157"/>
        <v>0</v>
      </c>
      <c r="N166" s="25">
        <f>VLOOKUP($A166,[1]!CurveTable,MATCH($N$4,[1]!CurveType,0))</f>
        <v>2.1000000000000001E-2</v>
      </c>
      <c r="O166" s="31">
        <f>N166+Inputs!$E$22</f>
        <v>2.1000000000000001E-2</v>
      </c>
      <c r="P166" s="45">
        <f t="shared" si="158"/>
        <v>2.1000000000000001E-2</v>
      </c>
      <c r="Q166" s="25">
        <f>VLOOKUP($A166,[1]!CurveTable,MATCH($Q$4,[1]!CurveType,0))</f>
        <v>0.01</v>
      </c>
      <c r="R166" s="31">
        <v>0</v>
      </c>
      <c r="S166" s="45">
        <f t="shared" si="159"/>
        <v>0</v>
      </c>
      <c r="T166" s="4"/>
      <c r="U166" s="159">
        <f t="shared" si="129"/>
        <v>5.8124999999999991</v>
      </c>
      <c r="V166" s="160"/>
      <c r="W166" s="100">
        <f>VLOOKUP($A166,[1]!CurveTable,MATCH($W$4,[1]!CurveType,0))+$W$9</f>
        <v>0.34</v>
      </c>
      <c r="X166" s="100">
        <f>VLOOKUP($A166,[1]!CurveTable,MATCH($X$4,[1]!CurveType,0))+$X$9</f>
        <v>0.34500000000000003</v>
      </c>
      <c r="Y166" s="158">
        <f t="shared" ca="1" si="120"/>
        <v>0.34641585900247274</v>
      </c>
      <c r="Z166" s="4"/>
      <c r="AA166" s="159">
        <f t="shared" si="130"/>
        <v>5.0334999999999992</v>
      </c>
      <c r="AB166" s="160"/>
      <c r="AC166" s="100">
        <f>VLOOKUP($A166,[1]!CurveTable,MATCH($AC$4,[1]!CurveType,0))+$AC$9</f>
        <v>0.17</v>
      </c>
      <c r="AD166" s="100">
        <f>VLOOKUP($A166,[1]!CurveTable,MATCH($AD$4,[1]!CurveType,0))+$AD$9</f>
        <v>0.17500000000000002</v>
      </c>
      <c r="AE166" s="158">
        <f t="shared" ca="1" si="121"/>
        <v>0.17571182876495975</v>
      </c>
      <c r="AF166" s="4"/>
      <c r="AG166" s="52">
        <f ca="1">((Inputs!$F$20*(X166*AD166)*(A166-$C$3))+(Inputs!$F$19*W166*AC166*(DAY(EOMONTH(A166,0))/2)))/(AN166*Y166*AE166)</f>
        <v>0.74999980517681553</v>
      </c>
      <c r="AH166" s="4"/>
      <c r="AI166" s="18">
        <f>Inputs!$B$15</f>
        <v>0.06</v>
      </c>
      <c r="AJ166" s="46"/>
      <c r="AK166" s="18">
        <f t="shared" si="122"/>
        <v>0.71899999999999986</v>
      </c>
      <c r="AL166" s="46"/>
      <c r="AM166" s="62">
        <f t="shared" si="123"/>
        <v>42855</v>
      </c>
      <c r="AN166" s="63">
        <f t="shared" ca="1" si="124"/>
        <v>5662</v>
      </c>
      <c r="AO166" s="63">
        <f t="shared" si="151"/>
        <v>1</v>
      </c>
      <c r="AP166" s="19"/>
      <c r="AQ166" s="74">
        <f ca="1">_xll.SPRDOPT(U166,AA166,AI166,AX166,X166,AD166,AG166,AN166,AO166,0)</f>
        <v>0.96068816284103131</v>
      </c>
      <c r="AR166" s="47">
        <f t="shared" ca="1" si="131"/>
        <v>0</v>
      </c>
      <c r="AS166" s="135">
        <f t="shared" ca="1" si="132"/>
        <v>0.24168816284103145</v>
      </c>
      <c r="AU166" s="5">
        <f t="shared" si="152"/>
        <v>30</v>
      </c>
      <c r="AV166" s="148">
        <f t="shared" si="125"/>
        <v>42901</v>
      </c>
      <c r="AW166" s="41">
        <f t="shared" ca="1" si="126"/>
        <v>5708</v>
      </c>
      <c r="AX166" s="100">
        <f>VLOOKUP($A166,[1]!CurveTable,MATCH(AX$4,[1]!CurveType,0))</f>
        <v>5.8725499923427904E-2</v>
      </c>
      <c r="AY166" s="149">
        <f ca="1">1/(1+CHOOSE(F$3,(AX167+(Inputs!$B$14/10000))/2,(AX166+(Inputs!$B$14/10000))/2))^(2*AW166/365.25)</f>
        <v>0.40473365970291397</v>
      </c>
      <c r="AZ166" s="41">
        <f t="shared" si="153"/>
        <v>0</v>
      </c>
      <c r="BA166" s="72">
        <f t="shared" si="154"/>
        <v>0</v>
      </c>
      <c r="BC166" s="65">
        <f t="shared" ca="1" si="133"/>
        <v>0</v>
      </c>
      <c r="BD166" s="65">
        <f t="shared" ca="1" si="134"/>
        <v>0</v>
      </c>
      <c r="BE166" s="65">
        <f t="shared" ca="1" si="135"/>
        <v>0</v>
      </c>
      <c r="BF166" s="65">
        <f t="shared" ca="1" si="136"/>
        <v>0</v>
      </c>
      <c r="BG166" s="65">
        <f t="shared" ca="1" si="137"/>
        <v>0</v>
      </c>
      <c r="BH166" s="65">
        <f t="shared" ca="1" si="138"/>
        <v>0</v>
      </c>
      <c r="BI166" s="65">
        <f t="shared" ca="1" si="139"/>
        <v>0</v>
      </c>
      <c r="BJ166" s="65">
        <f t="shared" ca="1" si="140"/>
        <v>0</v>
      </c>
      <c r="BK166" s="65">
        <f t="shared" ca="1" si="141"/>
        <v>0</v>
      </c>
      <c r="BL166" s="65">
        <f t="shared" ca="1" si="142"/>
        <v>0</v>
      </c>
      <c r="BM166" s="65">
        <f t="shared" ca="1" si="143"/>
        <v>0</v>
      </c>
      <c r="BN166" s="65">
        <f t="shared" ca="1" si="144"/>
        <v>0</v>
      </c>
      <c r="BO166" s="65">
        <f t="shared" ca="1" si="145"/>
        <v>0</v>
      </c>
      <c r="BP166" s="65">
        <f t="shared" ca="1" si="146"/>
        <v>0</v>
      </c>
      <c r="BQ166" s="65">
        <f t="shared" ca="1" si="147"/>
        <v>0</v>
      </c>
      <c r="BR166" s="65">
        <f t="shared" ca="1" si="148"/>
        <v>0</v>
      </c>
      <c r="BS166" s="65">
        <f t="shared" ca="1" si="149"/>
        <v>0</v>
      </c>
      <c r="BT166" s="65">
        <f t="shared" ca="1" si="150"/>
        <v>0</v>
      </c>
      <c r="BU166" s="65">
        <f t="shared" ca="1" si="127"/>
        <v>0</v>
      </c>
    </row>
    <row r="167" spans="1:73">
      <c r="A167" s="42">
        <f t="shared" si="128"/>
        <v>42917</v>
      </c>
      <c r="B167" s="30">
        <f>Inputs!$B$8</f>
        <v>50000</v>
      </c>
      <c r="C167" s="17">
        <f t="shared" si="118"/>
        <v>0</v>
      </c>
      <c r="D167" s="17">
        <f t="shared" ca="1" si="119"/>
        <v>0</v>
      </c>
      <c r="E167" s="25">
        <f>VLOOKUP($A167,[1]!CurveTable,MATCH($E$4,[1]!CurveType,0))</f>
        <v>5.0025000000000004</v>
      </c>
      <c r="F167" s="31">
        <f>E167-Inputs!$B$16</f>
        <v>5.0575000000000001</v>
      </c>
      <c r="G167" s="43">
        <f t="shared" si="155"/>
        <v>5.0575000000000001</v>
      </c>
      <c r="H167" s="25">
        <f>VLOOKUP($A167,[1]!CurveTable,MATCH($H$4,[1]!CurveType,0))</f>
        <v>1</v>
      </c>
      <c r="I167" s="31">
        <f>H167+Inputs!$B$22</f>
        <v>1</v>
      </c>
      <c r="J167" s="44">
        <f t="shared" si="156"/>
        <v>1</v>
      </c>
      <c r="K167" s="25">
        <f>VLOOKUP($A167,[1]!CurveTable,MATCH($K$4,[1]!CurveType,0))</f>
        <v>0</v>
      </c>
      <c r="L167" s="31">
        <v>0</v>
      </c>
      <c r="M167" s="45">
        <f t="shared" si="157"/>
        <v>0</v>
      </c>
      <c r="N167" s="25">
        <f>VLOOKUP($A167,[1]!CurveTable,MATCH($N$4,[1]!CurveType,0))</f>
        <v>1.8500000000000003E-2</v>
      </c>
      <c r="O167" s="31">
        <f>N167+Inputs!$E$22</f>
        <v>1.8500000000000003E-2</v>
      </c>
      <c r="P167" s="45">
        <f t="shared" si="158"/>
        <v>1.8500000000000003E-2</v>
      </c>
      <c r="Q167" s="25">
        <f>VLOOKUP($A167,[1]!CurveTable,MATCH($Q$4,[1]!CurveType,0))</f>
        <v>0.01</v>
      </c>
      <c r="R167" s="31">
        <v>0</v>
      </c>
      <c r="S167" s="45">
        <f t="shared" si="159"/>
        <v>0</v>
      </c>
      <c r="T167" s="4"/>
      <c r="U167" s="159">
        <f t="shared" si="129"/>
        <v>6.0575000000000001</v>
      </c>
      <c r="V167" s="160"/>
      <c r="W167" s="100">
        <f>VLOOKUP($A167,[1]!CurveTable,MATCH($W$4,[1]!CurveType,0))+$W$9</f>
        <v>0.34</v>
      </c>
      <c r="X167" s="100">
        <f>VLOOKUP($A167,[1]!CurveTable,MATCH($X$4,[1]!CurveType,0))+$X$9</f>
        <v>0.34500000000000003</v>
      </c>
      <c r="Y167" s="158">
        <f t="shared" ca="1" si="120"/>
        <v>0.34639264179110263</v>
      </c>
      <c r="Z167" s="4"/>
      <c r="AA167" s="159">
        <f t="shared" si="130"/>
        <v>5.0760000000000005</v>
      </c>
      <c r="AB167" s="160"/>
      <c r="AC167" s="100">
        <f>VLOOKUP($A167,[1]!CurveTable,MATCH($AC$4,[1]!CurveType,0))+$AC$9</f>
        <v>0.17</v>
      </c>
      <c r="AD167" s="100">
        <f>VLOOKUP($A167,[1]!CurveTable,MATCH($AD$4,[1]!CurveType,0))+$AD$9</f>
        <v>0.17500000000000002</v>
      </c>
      <c r="AE167" s="158">
        <f t="shared" ca="1" si="121"/>
        <v>0.17569987524740388</v>
      </c>
      <c r="AF167" s="4"/>
      <c r="AG167" s="52">
        <f ca="1">((Inputs!$F$20*(X167*AD167)*(A167-$C$3))+(Inputs!$F$19*W167*AC167*(DAY(EOMONTH(A167,0))/2)))/(AN167*Y167*AE167)</f>
        <v>0.74999979976595965</v>
      </c>
      <c r="AH167" s="4"/>
      <c r="AI167" s="18">
        <f>Inputs!$B$15</f>
        <v>0.06</v>
      </c>
      <c r="AJ167" s="46"/>
      <c r="AK167" s="18">
        <f t="shared" si="122"/>
        <v>0.92149999999999954</v>
      </c>
      <c r="AL167" s="46"/>
      <c r="AM167" s="62">
        <f t="shared" si="123"/>
        <v>42886</v>
      </c>
      <c r="AN167" s="63">
        <f t="shared" ca="1" si="124"/>
        <v>5693</v>
      </c>
      <c r="AO167" s="63">
        <f t="shared" si="151"/>
        <v>1</v>
      </c>
      <c r="AP167" s="19"/>
      <c r="AQ167" s="74">
        <f ca="1">_xll.SPRDOPT(U167,AA167,AI167,AX167,X167,AD167,AG167,AN167,AO167,0)</f>
        <v>1.0230305427667363</v>
      </c>
      <c r="AR167" s="47">
        <f t="shared" ca="1" si="131"/>
        <v>0</v>
      </c>
      <c r="AS167" s="135">
        <f t="shared" ca="1" si="132"/>
        <v>0.10153054276673679</v>
      </c>
      <c r="AU167" s="5">
        <f t="shared" si="152"/>
        <v>31</v>
      </c>
      <c r="AV167" s="148">
        <f t="shared" si="125"/>
        <v>42931</v>
      </c>
      <c r="AW167" s="41">
        <f t="shared" ca="1" si="126"/>
        <v>5738</v>
      </c>
      <c r="AX167" s="100">
        <f>VLOOKUP($A167,[1]!CurveTable,MATCH(AX$4,[1]!CurveType,0))</f>
        <v>5.87818348653215E-2</v>
      </c>
      <c r="AY167" s="149">
        <f ca="1">1/(1+CHOOSE(F$3,(AX168+(Inputs!$B$14/10000))/2,(AX167+(Inputs!$B$14/10000))/2))^(2*AW167/365.25)</f>
        <v>0.40246795390173823</v>
      </c>
      <c r="AZ167" s="41">
        <f t="shared" si="153"/>
        <v>0</v>
      </c>
      <c r="BA167" s="72">
        <f t="shared" si="154"/>
        <v>0</v>
      </c>
      <c r="BC167" s="65">
        <f t="shared" ca="1" si="133"/>
        <v>0</v>
      </c>
      <c r="BD167" s="65">
        <f t="shared" ca="1" si="134"/>
        <v>0</v>
      </c>
      <c r="BE167" s="65">
        <f t="shared" ca="1" si="135"/>
        <v>0</v>
      </c>
      <c r="BF167" s="65">
        <f t="shared" ca="1" si="136"/>
        <v>0</v>
      </c>
      <c r="BG167" s="65">
        <f t="shared" ca="1" si="137"/>
        <v>0</v>
      </c>
      <c r="BH167" s="65">
        <f t="shared" ca="1" si="138"/>
        <v>0</v>
      </c>
      <c r="BI167" s="65">
        <f t="shared" ca="1" si="139"/>
        <v>0</v>
      </c>
      <c r="BJ167" s="65">
        <f t="shared" ca="1" si="140"/>
        <v>0</v>
      </c>
      <c r="BK167" s="65">
        <f t="shared" ca="1" si="141"/>
        <v>0</v>
      </c>
      <c r="BL167" s="65">
        <f t="shared" ca="1" si="142"/>
        <v>0</v>
      </c>
      <c r="BM167" s="65">
        <f t="shared" ca="1" si="143"/>
        <v>0</v>
      </c>
      <c r="BN167" s="65">
        <f t="shared" ca="1" si="144"/>
        <v>0</v>
      </c>
      <c r="BO167" s="65">
        <f t="shared" ca="1" si="145"/>
        <v>0</v>
      </c>
      <c r="BP167" s="65">
        <f t="shared" ca="1" si="146"/>
        <v>0</v>
      </c>
      <c r="BQ167" s="65">
        <f t="shared" ca="1" si="147"/>
        <v>0</v>
      </c>
      <c r="BR167" s="65">
        <f t="shared" ca="1" si="148"/>
        <v>0</v>
      </c>
      <c r="BS167" s="65">
        <f t="shared" ca="1" si="149"/>
        <v>0</v>
      </c>
      <c r="BT167" s="65">
        <f t="shared" ca="1" si="150"/>
        <v>0</v>
      </c>
      <c r="BU167" s="65">
        <f t="shared" ca="1" si="127"/>
        <v>0</v>
      </c>
    </row>
    <row r="168" spans="1:73">
      <c r="A168" s="42">
        <f t="shared" si="128"/>
        <v>42948</v>
      </c>
      <c r="B168" s="30">
        <f>Inputs!$B$8</f>
        <v>50000</v>
      </c>
      <c r="C168" s="17">
        <f t="shared" si="118"/>
        <v>0</v>
      </c>
      <c r="D168" s="17">
        <f t="shared" ca="1" si="119"/>
        <v>0</v>
      </c>
      <c r="E168" s="25">
        <f>VLOOKUP($A168,[1]!CurveTable,MATCH($E$4,[1]!CurveType,0))</f>
        <v>5.0405000000000006</v>
      </c>
      <c r="F168" s="31">
        <f>E168-Inputs!$B$16</f>
        <v>5.0955000000000004</v>
      </c>
      <c r="G168" s="43">
        <f t="shared" si="155"/>
        <v>5.0955000000000004</v>
      </c>
      <c r="H168" s="25">
        <f>VLOOKUP($A168,[1]!CurveTable,MATCH($H$4,[1]!CurveType,0))</f>
        <v>1</v>
      </c>
      <c r="I168" s="31">
        <f>H168+Inputs!$B$22</f>
        <v>1</v>
      </c>
      <c r="J168" s="44">
        <f t="shared" si="156"/>
        <v>1</v>
      </c>
      <c r="K168" s="25">
        <f>VLOOKUP($A168,[1]!CurveTable,MATCH($K$4,[1]!CurveType,0))</f>
        <v>0</v>
      </c>
      <c r="L168" s="31">
        <v>0</v>
      </c>
      <c r="M168" s="45">
        <f t="shared" si="157"/>
        <v>0</v>
      </c>
      <c r="N168" s="25">
        <f>VLOOKUP($A168,[1]!CurveTable,MATCH($N$4,[1]!CurveType,0))</f>
        <v>1.8500000000000003E-2</v>
      </c>
      <c r="O168" s="31">
        <f>N168+Inputs!$E$22</f>
        <v>1.8500000000000003E-2</v>
      </c>
      <c r="P168" s="45">
        <f t="shared" si="158"/>
        <v>1.8500000000000003E-2</v>
      </c>
      <c r="Q168" s="25">
        <f>VLOOKUP($A168,[1]!CurveTable,MATCH($Q$4,[1]!CurveType,0))</f>
        <v>0.01</v>
      </c>
      <c r="R168" s="31">
        <v>0</v>
      </c>
      <c r="S168" s="45">
        <f t="shared" si="159"/>
        <v>0</v>
      </c>
      <c r="T168" s="4"/>
      <c r="U168" s="159">
        <f t="shared" si="129"/>
        <v>6.0955000000000004</v>
      </c>
      <c r="V168" s="160"/>
      <c r="W168" s="100">
        <f>VLOOKUP($A168,[1]!CurveTable,MATCH($W$4,[1]!CurveType,0))+$W$9</f>
        <v>0.34</v>
      </c>
      <c r="X168" s="100">
        <f>VLOOKUP($A168,[1]!CurveTable,MATCH($X$4,[1]!CurveType,0))+$X$9</f>
        <v>0.34500000000000003</v>
      </c>
      <c r="Y168" s="158">
        <f t="shared" ca="1" si="120"/>
        <v>0.34641537583623649</v>
      </c>
      <c r="Z168" s="4"/>
      <c r="AA168" s="159">
        <f t="shared" si="130"/>
        <v>5.1140000000000008</v>
      </c>
      <c r="AB168" s="160"/>
      <c r="AC168" s="100">
        <f>VLOOKUP($A168,[1]!CurveTable,MATCH($AC$4,[1]!CurveType,0))+$AC$9</f>
        <v>0.17</v>
      </c>
      <c r="AD168" s="100">
        <f>VLOOKUP($A168,[1]!CurveTable,MATCH($AD$4,[1]!CurveType,0))+$AD$9</f>
        <v>0.17500000000000002</v>
      </c>
      <c r="AE168" s="158">
        <f t="shared" ca="1" si="121"/>
        <v>0.17571144170517805</v>
      </c>
      <c r="AF168" s="4"/>
      <c r="AG168" s="52">
        <f ca="1">((Inputs!$F$20*(X168*AD168)*(A168-$C$3))+(Inputs!$F$19*W168*AC168*(DAY(EOMONTH(A168,0))/2)))/(AN168*Y168*AE168)</f>
        <v>0.74999980083899598</v>
      </c>
      <c r="AH168" s="4"/>
      <c r="AI168" s="18">
        <f>Inputs!$B$15</f>
        <v>0.06</v>
      </c>
      <c r="AJ168" s="46"/>
      <c r="AK168" s="18">
        <f t="shared" si="122"/>
        <v>0.92149999999999954</v>
      </c>
      <c r="AL168" s="46"/>
      <c r="AM168" s="62">
        <f t="shared" si="123"/>
        <v>42916</v>
      </c>
      <c r="AN168" s="63">
        <f t="shared" ca="1" si="124"/>
        <v>5723</v>
      </c>
      <c r="AO168" s="63">
        <f t="shared" si="151"/>
        <v>1</v>
      </c>
      <c r="AP168" s="19"/>
      <c r="AQ168" s="74">
        <f ca="1">_xll.SPRDOPT(U168,AA168,AI168,AX168,X168,AD168,AG168,AN168,AO168,0)</f>
        <v>1.0246501657653673</v>
      </c>
      <c r="AR168" s="47">
        <f t="shared" ca="1" si="131"/>
        <v>0</v>
      </c>
      <c r="AS168" s="135">
        <f t="shared" ca="1" si="132"/>
        <v>0.10315016576536773</v>
      </c>
      <c r="AU168" s="5">
        <f t="shared" si="152"/>
        <v>31</v>
      </c>
      <c r="AV168" s="148">
        <f t="shared" si="125"/>
        <v>42962</v>
      </c>
      <c r="AW168" s="41">
        <f t="shared" ca="1" si="126"/>
        <v>5769</v>
      </c>
      <c r="AX168" s="100">
        <f>VLOOKUP($A168,[1]!CurveTable,MATCH(AX$4,[1]!CurveType,0))</f>
        <v>5.88400476397197E-2</v>
      </c>
      <c r="AY168" s="149">
        <f ca="1">1/(1+CHOOSE(F$3,(AX169+(Inputs!$B$14/10000))/2,(AX168+(Inputs!$B$14/10000))/2))^(2*AW168/365.25)</f>
        <v>0.40013627921375261</v>
      </c>
      <c r="AZ168" s="41">
        <f t="shared" si="153"/>
        <v>0</v>
      </c>
      <c r="BA168" s="72">
        <f t="shared" si="154"/>
        <v>0</v>
      </c>
      <c r="BC168" s="65">
        <f t="shared" ca="1" si="133"/>
        <v>0</v>
      </c>
      <c r="BD168" s="65">
        <f t="shared" ca="1" si="134"/>
        <v>0</v>
      </c>
      <c r="BE168" s="65">
        <f t="shared" ca="1" si="135"/>
        <v>0</v>
      </c>
      <c r="BF168" s="65">
        <f t="shared" ca="1" si="136"/>
        <v>0</v>
      </c>
      <c r="BG168" s="65">
        <f t="shared" ca="1" si="137"/>
        <v>0</v>
      </c>
      <c r="BH168" s="65">
        <f t="shared" ca="1" si="138"/>
        <v>0</v>
      </c>
      <c r="BI168" s="65">
        <f t="shared" ca="1" si="139"/>
        <v>0</v>
      </c>
      <c r="BJ168" s="65">
        <f t="shared" ca="1" si="140"/>
        <v>0</v>
      </c>
      <c r="BK168" s="65">
        <f t="shared" ca="1" si="141"/>
        <v>0</v>
      </c>
      <c r="BL168" s="65">
        <f t="shared" ca="1" si="142"/>
        <v>0</v>
      </c>
      <c r="BM168" s="65">
        <f t="shared" ca="1" si="143"/>
        <v>0</v>
      </c>
      <c r="BN168" s="65">
        <f t="shared" ca="1" si="144"/>
        <v>0</v>
      </c>
      <c r="BO168" s="65">
        <f t="shared" ca="1" si="145"/>
        <v>0</v>
      </c>
      <c r="BP168" s="65">
        <f t="shared" ca="1" si="146"/>
        <v>0</v>
      </c>
      <c r="BQ168" s="65">
        <f t="shared" ca="1" si="147"/>
        <v>0</v>
      </c>
      <c r="BR168" s="65">
        <f t="shared" ca="1" si="148"/>
        <v>0</v>
      </c>
      <c r="BS168" s="65">
        <f t="shared" ca="1" si="149"/>
        <v>0</v>
      </c>
      <c r="BT168" s="65">
        <f t="shared" ca="1" si="150"/>
        <v>0</v>
      </c>
      <c r="BU168" s="65">
        <f t="shared" ca="1" si="127"/>
        <v>0</v>
      </c>
    </row>
    <row r="169" spans="1:73">
      <c r="A169" s="42">
        <f t="shared" si="128"/>
        <v>42979</v>
      </c>
      <c r="B169" s="30">
        <f>Inputs!$B$8</f>
        <v>50000</v>
      </c>
      <c r="C169" s="17">
        <f t="shared" si="118"/>
        <v>0</v>
      </c>
      <c r="D169" s="17">
        <f t="shared" ca="1" si="119"/>
        <v>0</v>
      </c>
      <c r="E169" s="25">
        <f>VLOOKUP($A169,[1]!CurveTable,MATCH($E$4,[1]!CurveType,0))</f>
        <v>5.0345000000000004</v>
      </c>
      <c r="F169" s="31">
        <f>E169-Inputs!$B$16</f>
        <v>5.0895000000000001</v>
      </c>
      <c r="G169" s="43">
        <f t="shared" si="155"/>
        <v>5.0895000000000001</v>
      </c>
      <c r="H169" s="25">
        <f>VLOOKUP($A169,[1]!CurveTable,MATCH($H$4,[1]!CurveType,0))</f>
        <v>0.6</v>
      </c>
      <c r="I169" s="31">
        <f>H169+Inputs!$B$22</f>
        <v>0.6</v>
      </c>
      <c r="J169" s="44">
        <f t="shared" si="156"/>
        <v>0.6</v>
      </c>
      <c r="K169" s="25">
        <f>VLOOKUP($A169,[1]!CurveTable,MATCH($K$4,[1]!CurveType,0))</f>
        <v>0</v>
      </c>
      <c r="L169" s="31">
        <v>0</v>
      </c>
      <c r="M169" s="45">
        <f t="shared" si="157"/>
        <v>0</v>
      </c>
      <c r="N169" s="25">
        <f>VLOOKUP($A169,[1]!CurveTable,MATCH($N$4,[1]!CurveType,0))</f>
        <v>1.8500000000000003E-2</v>
      </c>
      <c r="O169" s="31">
        <f>N169+Inputs!$E$22</f>
        <v>1.8500000000000003E-2</v>
      </c>
      <c r="P169" s="45">
        <f t="shared" si="158"/>
        <v>1.8500000000000003E-2</v>
      </c>
      <c r="Q169" s="25">
        <f>VLOOKUP($A169,[1]!CurveTable,MATCH($Q$4,[1]!CurveType,0))</f>
        <v>0.01</v>
      </c>
      <c r="R169" s="31">
        <v>0</v>
      </c>
      <c r="S169" s="45">
        <f t="shared" si="159"/>
        <v>0</v>
      </c>
      <c r="T169" s="4"/>
      <c r="U169" s="159">
        <f t="shared" si="129"/>
        <v>5.6894999999999998</v>
      </c>
      <c r="V169" s="160"/>
      <c r="W169" s="100">
        <f>VLOOKUP($A169,[1]!CurveTable,MATCH($W$4,[1]!CurveType,0))+$W$9</f>
        <v>0.34</v>
      </c>
      <c r="X169" s="100">
        <f>VLOOKUP($A169,[1]!CurveTable,MATCH($X$4,[1]!CurveType,0))+$X$9</f>
        <v>0.34500000000000003</v>
      </c>
      <c r="Y169" s="158">
        <f t="shared" ca="1" si="120"/>
        <v>0.34639326653250863</v>
      </c>
      <c r="Z169" s="4"/>
      <c r="AA169" s="159">
        <f t="shared" si="130"/>
        <v>5.1080000000000005</v>
      </c>
      <c r="AB169" s="160"/>
      <c r="AC169" s="100">
        <f>VLOOKUP($A169,[1]!CurveTable,MATCH($AC$4,[1]!CurveType,0))+$AC$9</f>
        <v>0.17</v>
      </c>
      <c r="AD169" s="100">
        <f>VLOOKUP($A169,[1]!CurveTable,MATCH($AD$4,[1]!CurveType,0))+$AD$9</f>
        <v>0.17500000000000002</v>
      </c>
      <c r="AE169" s="158">
        <f t="shared" ca="1" si="121"/>
        <v>0.17570047010860596</v>
      </c>
      <c r="AF169" s="4"/>
      <c r="AG169" s="52">
        <f ca="1">((Inputs!$F$20*(X169*AD169)*(A169-$C$3))+(Inputs!$F$19*W169*AC169*(DAY(EOMONTH(A169,0))/2)))/(AN169*Y169*AE169)</f>
        <v>0.7499998082592515</v>
      </c>
      <c r="AH169" s="4"/>
      <c r="AI169" s="18">
        <f>Inputs!$B$15</f>
        <v>0.06</v>
      </c>
      <c r="AJ169" s="46"/>
      <c r="AK169" s="18">
        <f t="shared" si="122"/>
        <v>0.52149999999999919</v>
      </c>
      <c r="AL169" s="46"/>
      <c r="AM169" s="62">
        <f t="shared" si="123"/>
        <v>42947</v>
      </c>
      <c r="AN169" s="63">
        <f t="shared" ca="1" si="124"/>
        <v>5754</v>
      </c>
      <c r="AO169" s="63">
        <f t="shared" si="151"/>
        <v>1</v>
      </c>
      <c r="AP169" s="19"/>
      <c r="AQ169" s="74">
        <f ca="1">_xll.SPRDOPT(U169,AA169,AI169,AX169,X169,AD169,AG169,AN169,AO169,0)</f>
        <v>0.90400111294585717</v>
      </c>
      <c r="AR169" s="47">
        <f t="shared" ca="1" si="131"/>
        <v>0</v>
      </c>
      <c r="AS169" s="135">
        <f t="shared" ca="1" si="132"/>
        <v>0.38250111294585798</v>
      </c>
      <c r="AU169" s="5">
        <f t="shared" si="152"/>
        <v>30</v>
      </c>
      <c r="AV169" s="148">
        <f t="shared" si="125"/>
        <v>42993</v>
      </c>
      <c r="AW169" s="41">
        <f t="shared" ca="1" si="126"/>
        <v>5800</v>
      </c>
      <c r="AX169" s="100">
        <f>VLOOKUP($A169,[1]!CurveTable,MATCH(AX$4,[1]!CurveType,0))</f>
        <v>5.8898260415244201E-2</v>
      </c>
      <c r="AY169" s="149">
        <f ca="1">1/(1+CHOOSE(F$3,(AX170+(Inputs!$B$14/10000))/2,(AX169+(Inputs!$B$14/10000))/2))^(2*AW169/365.25)</f>
        <v>0.39781430433907894</v>
      </c>
      <c r="AZ169" s="41">
        <f t="shared" si="153"/>
        <v>0</v>
      </c>
      <c r="BA169" s="72">
        <f t="shared" si="154"/>
        <v>0</v>
      </c>
      <c r="BC169" s="65">
        <f t="shared" ca="1" si="133"/>
        <v>0</v>
      </c>
      <c r="BD169" s="65">
        <f t="shared" ca="1" si="134"/>
        <v>0</v>
      </c>
      <c r="BE169" s="65">
        <f t="shared" ca="1" si="135"/>
        <v>0</v>
      </c>
      <c r="BF169" s="65">
        <f t="shared" ca="1" si="136"/>
        <v>0</v>
      </c>
      <c r="BG169" s="65">
        <f t="shared" ca="1" si="137"/>
        <v>0</v>
      </c>
      <c r="BH169" s="65">
        <f t="shared" ca="1" si="138"/>
        <v>0</v>
      </c>
      <c r="BI169" s="65">
        <f t="shared" ca="1" si="139"/>
        <v>0</v>
      </c>
      <c r="BJ169" s="65">
        <f t="shared" ca="1" si="140"/>
        <v>0</v>
      </c>
      <c r="BK169" s="65">
        <f t="shared" ca="1" si="141"/>
        <v>0</v>
      </c>
      <c r="BL169" s="65">
        <f t="shared" ca="1" si="142"/>
        <v>0</v>
      </c>
      <c r="BM169" s="65">
        <f t="shared" ca="1" si="143"/>
        <v>0</v>
      </c>
      <c r="BN169" s="65">
        <f t="shared" ca="1" si="144"/>
        <v>0</v>
      </c>
      <c r="BO169" s="65">
        <f t="shared" ca="1" si="145"/>
        <v>0</v>
      </c>
      <c r="BP169" s="65">
        <f t="shared" ca="1" si="146"/>
        <v>0</v>
      </c>
      <c r="BQ169" s="65">
        <f t="shared" ca="1" si="147"/>
        <v>0</v>
      </c>
      <c r="BR169" s="65">
        <f t="shared" ca="1" si="148"/>
        <v>0</v>
      </c>
      <c r="BS169" s="65">
        <f t="shared" ca="1" si="149"/>
        <v>0</v>
      </c>
      <c r="BT169" s="65">
        <f t="shared" ca="1" si="150"/>
        <v>0</v>
      </c>
      <c r="BU169" s="65">
        <f t="shared" ca="1" si="127"/>
        <v>0</v>
      </c>
    </row>
    <row r="170" spans="1:73">
      <c r="A170" s="42">
        <f t="shared" si="128"/>
        <v>43009</v>
      </c>
      <c r="B170" s="30">
        <f>Inputs!$B$8</f>
        <v>50000</v>
      </c>
      <c r="C170" s="17">
        <f t="shared" si="118"/>
        <v>0</v>
      </c>
      <c r="D170" s="17">
        <f t="shared" ca="1" si="119"/>
        <v>0</v>
      </c>
      <c r="E170" s="25">
        <f>VLOOKUP($A170,[1]!CurveTable,MATCH($E$4,[1]!CurveType,0))</f>
        <v>5.0345000000000004</v>
      </c>
      <c r="F170" s="31">
        <f>E170-Inputs!$B$16</f>
        <v>5.0895000000000001</v>
      </c>
      <c r="G170" s="43">
        <f t="shared" ref="G170:G189" si="160">F170</f>
        <v>5.0895000000000001</v>
      </c>
      <c r="H170" s="25">
        <f>VLOOKUP($A170,[1]!CurveTable,MATCH($H$4,[1]!CurveType,0))</f>
        <v>0.3</v>
      </c>
      <c r="I170" s="31">
        <f>H170+Inputs!$B$22</f>
        <v>0.3</v>
      </c>
      <c r="J170" s="44">
        <f t="shared" ref="J170:J189" si="161">I170</f>
        <v>0.3</v>
      </c>
      <c r="K170" s="25">
        <f>VLOOKUP($A170,[1]!CurveTable,MATCH($K$4,[1]!CurveType,0))</f>
        <v>0</v>
      </c>
      <c r="L170" s="31">
        <v>0</v>
      </c>
      <c r="M170" s="45">
        <f t="shared" ref="M170:M189" si="162">L170</f>
        <v>0</v>
      </c>
      <c r="N170" s="25">
        <f>VLOOKUP($A170,[1]!CurveTable,MATCH($N$4,[1]!CurveType,0))</f>
        <v>1.7000000000000001E-2</v>
      </c>
      <c r="O170" s="31">
        <f>N170+Inputs!$E$22</f>
        <v>1.7000000000000001E-2</v>
      </c>
      <c r="P170" s="45">
        <f t="shared" ref="P170:P189" si="163">O170</f>
        <v>1.7000000000000001E-2</v>
      </c>
      <c r="Q170" s="25">
        <f>VLOOKUP($A170,[1]!CurveTable,MATCH($Q$4,[1]!CurveType,0))</f>
        <v>0.01</v>
      </c>
      <c r="R170" s="31">
        <v>0</v>
      </c>
      <c r="S170" s="45">
        <f t="shared" ref="S170:S189" si="164">R170</f>
        <v>0</v>
      </c>
      <c r="T170" s="4"/>
      <c r="U170" s="159">
        <f t="shared" si="129"/>
        <v>5.3895</v>
      </c>
      <c r="V170" s="160"/>
      <c r="W170" s="100">
        <f>VLOOKUP($A170,[1]!CurveTable,MATCH($W$4,[1]!CurveType,0))+$W$9</f>
        <v>0.17</v>
      </c>
      <c r="X170" s="100">
        <f>VLOOKUP($A170,[1]!CurveTable,MATCH($X$4,[1]!CurveType,0))+$X$9</f>
        <v>0.17500000000000002</v>
      </c>
      <c r="Y170" s="158">
        <f t="shared" ca="1" si="120"/>
        <v>0.17568876680954773</v>
      </c>
      <c r="Z170" s="4"/>
      <c r="AA170" s="159">
        <f t="shared" si="130"/>
        <v>5.1065000000000005</v>
      </c>
      <c r="AB170" s="160"/>
      <c r="AC170" s="100">
        <f>VLOOKUP($A170,[1]!CurveTable,MATCH($AC$4,[1]!CurveType,0))+$AC$9</f>
        <v>0.17</v>
      </c>
      <c r="AD170" s="100">
        <f>VLOOKUP($A170,[1]!CurveTable,MATCH($AD$4,[1]!CurveType,0))+$AD$9</f>
        <v>0.17500000000000002</v>
      </c>
      <c r="AE170" s="158">
        <f t="shared" ca="1" si="121"/>
        <v>0.17568876680954773</v>
      </c>
      <c r="AF170" s="4"/>
      <c r="AG170" s="52">
        <f ca="1">((Inputs!$F$20*(X170*AD170)*(A170-$C$3))+(Inputs!$F$19*W170*AC170*(DAY(EOMONTH(A170,0))/2)))/(AN170*Y170*AE170)</f>
        <v>0.75</v>
      </c>
      <c r="AH170" s="4"/>
      <c r="AI170" s="18">
        <f>Inputs!$B$15</f>
        <v>0.06</v>
      </c>
      <c r="AJ170" s="46"/>
      <c r="AK170" s="18">
        <f t="shared" si="122"/>
        <v>0.22299999999999948</v>
      </c>
      <c r="AL170" s="46"/>
      <c r="AM170" s="62">
        <f t="shared" si="123"/>
        <v>42978</v>
      </c>
      <c r="AN170" s="63">
        <f t="shared" ca="1" si="124"/>
        <v>5785</v>
      </c>
      <c r="AO170" s="63">
        <f t="shared" si="151"/>
        <v>1</v>
      </c>
      <c r="AP170" s="19"/>
      <c r="AQ170" s="74">
        <f ca="1">_xll.SPRDOPT(U170,AA170,AI170,AX170,X170,AD170,AG170,AN170,AO170,0)</f>
        <v>0.44655309409750382</v>
      </c>
      <c r="AR170" s="47">
        <f t="shared" ca="1" si="131"/>
        <v>0</v>
      </c>
      <c r="AS170" s="135">
        <f t="shared" ca="1" si="132"/>
        <v>0.22355309409750435</v>
      </c>
      <c r="AU170" s="5">
        <f t="shared" si="152"/>
        <v>31</v>
      </c>
      <c r="AV170" s="148">
        <f t="shared" si="125"/>
        <v>43023</v>
      </c>
      <c r="AW170" s="41">
        <f t="shared" ca="1" si="126"/>
        <v>5830</v>
      </c>
      <c r="AX170" s="100">
        <f>VLOOKUP($A170,[1]!CurveTable,MATCH(AX$4,[1]!CurveType,0))</f>
        <v>5.8954595360373403E-2</v>
      </c>
      <c r="AY170" s="149">
        <f ca="1">1/(1+CHOOSE(F$3,(AX171+(Inputs!$B$14/10000))/2,(AX170+(Inputs!$B$14/10000))/2))^(2*AW170/365.25)</f>
        <v>0.39557645628466565</v>
      </c>
      <c r="AZ170" s="41">
        <f t="shared" si="153"/>
        <v>0</v>
      </c>
      <c r="BA170" s="72">
        <f t="shared" si="154"/>
        <v>0</v>
      </c>
      <c r="BC170" s="65">
        <f t="shared" ca="1" si="133"/>
        <v>0</v>
      </c>
      <c r="BD170" s="65">
        <f t="shared" ca="1" si="134"/>
        <v>0</v>
      </c>
      <c r="BE170" s="65">
        <f t="shared" ca="1" si="135"/>
        <v>0</v>
      </c>
      <c r="BF170" s="65">
        <f t="shared" ca="1" si="136"/>
        <v>0</v>
      </c>
      <c r="BG170" s="65">
        <f t="shared" ca="1" si="137"/>
        <v>0</v>
      </c>
      <c r="BH170" s="65">
        <f t="shared" ca="1" si="138"/>
        <v>0</v>
      </c>
      <c r="BI170" s="65">
        <f t="shared" ca="1" si="139"/>
        <v>0</v>
      </c>
      <c r="BJ170" s="65">
        <f t="shared" ca="1" si="140"/>
        <v>0</v>
      </c>
      <c r="BK170" s="65">
        <f t="shared" ca="1" si="141"/>
        <v>0</v>
      </c>
      <c r="BL170" s="65">
        <f t="shared" ca="1" si="142"/>
        <v>0</v>
      </c>
      <c r="BM170" s="65">
        <f t="shared" ca="1" si="143"/>
        <v>0</v>
      </c>
      <c r="BN170" s="65">
        <f t="shared" ca="1" si="144"/>
        <v>0</v>
      </c>
      <c r="BO170" s="65">
        <f t="shared" ca="1" si="145"/>
        <v>0</v>
      </c>
      <c r="BP170" s="65">
        <f t="shared" ca="1" si="146"/>
        <v>0</v>
      </c>
      <c r="BQ170" s="65">
        <f t="shared" ca="1" si="147"/>
        <v>0</v>
      </c>
      <c r="BR170" s="65">
        <f t="shared" ca="1" si="148"/>
        <v>0</v>
      </c>
      <c r="BS170" s="65">
        <f t="shared" ca="1" si="149"/>
        <v>0</v>
      </c>
      <c r="BT170" s="65">
        <f t="shared" ca="1" si="150"/>
        <v>0</v>
      </c>
      <c r="BU170" s="65">
        <f t="shared" ca="1" si="127"/>
        <v>0</v>
      </c>
    </row>
    <row r="171" spans="1:73">
      <c r="A171" s="42">
        <f t="shared" si="128"/>
        <v>43040</v>
      </c>
      <c r="B171" s="30">
        <f>Inputs!$B$8</f>
        <v>50000</v>
      </c>
      <c r="C171" s="17">
        <f t="shared" si="118"/>
        <v>0</v>
      </c>
      <c r="D171" s="17">
        <f t="shared" ca="1" si="119"/>
        <v>0</v>
      </c>
      <c r="E171" s="25">
        <f>VLOOKUP($A171,[1]!CurveTable,MATCH($E$4,[1]!CurveType,0))</f>
        <v>5.1825000000000001</v>
      </c>
      <c r="F171" s="31">
        <f>E171-Inputs!$B$16</f>
        <v>5.2374999999999998</v>
      </c>
      <c r="G171" s="43">
        <f t="shared" si="160"/>
        <v>5.2374999999999998</v>
      </c>
      <c r="H171" s="25">
        <f>VLOOKUP($A171,[1]!CurveTable,MATCH($H$4,[1]!CurveType,0))</f>
        <v>0.23</v>
      </c>
      <c r="I171" s="31">
        <f>H171+Inputs!$B$22</f>
        <v>0.23</v>
      </c>
      <c r="J171" s="44">
        <f t="shared" si="161"/>
        <v>0.23</v>
      </c>
      <c r="K171" s="25">
        <f>VLOOKUP($A171,[1]!CurveTable,MATCH($K$4,[1]!CurveType,0))</f>
        <v>0</v>
      </c>
      <c r="L171" s="31">
        <v>0</v>
      </c>
      <c r="M171" s="45">
        <f t="shared" si="162"/>
        <v>0</v>
      </c>
      <c r="N171" s="25">
        <f>VLOOKUP($A171,[1]!CurveTable,MATCH($N$4,[1]!CurveType,0))</f>
        <v>1.8000000000000002E-2</v>
      </c>
      <c r="O171" s="31">
        <f>N171+Inputs!$E$22</f>
        <v>1.8000000000000002E-2</v>
      </c>
      <c r="P171" s="45">
        <f t="shared" si="163"/>
        <v>1.8000000000000002E-2</v>
      </c>
      <c r="Q171" s="25">
        <f>VLOOKUP($A171,[1]!CurveTable,MATCH($Q$4,[1]!CurveType,0))</f>
        <v>7.4999999999999997E-3</v>
      </c>
      <c r="R171" s="31">
        <v>0</v>
      </c>
      <c r="S171" s="45">
        <f t="shared" si="164"/>
        <v>0</v>
      </c>
      <c r="T171" s="4"/>
      <c r="U171" s="159">
        <f t="shared" si="129"/>
        <v>5.4675000000000002</v>
      </c>
      <c r="V171" s="160"/>
      <c r="W171" s="100">
        <f>VLOOKUP($A171,[1]!CurveTable,MATCH($W$4,[1]!CurveType,0))+$W$9</f>
        <v>0.17</v>
      </c>
      <c r="X171" s="100">
        <f>VLOOKUP($A171,[1]!CurveTable,MATCH($X$4,[1]!CurveType,0))+$X$9</f>
        <v>0.17500000000000002</v>
      </c>
      <c r="Y171" s="158">
        <f t="shared" ca="1" si="120"/>
        <v>0.17569313659308305</v>
      </c>
      <c r="Z171" s="4"/>
      <c r="AA171" s="159">
        <f t="shared" si="130"/>
        <v>5.2554999999999996</v>
      </c>
      <c r="AB171" s="160"/>
      <c r="AC171" s="100">
        <f>VLOOKUP($A171,[1]!CurveTable,MATCH($AC$4,[1]!CurveType,0))+$AC$9</f>
        <v>0.17</v>
      </c>
      <c r="AD171" s="100">
        <f>VLOOKUP($A171,[1]!CurveTable,MATCH($AD$4,[1]!CurveType,0))+$AD$9</f>
        <v>0.17500000000000002</v>
      </c>
      <c r="AE171" s="158">
        <f t="shared" ca="1" si="121"/>
        <v>0.17569313659308305</v>
      </c>
      <c r="AF171" s="4"/>
      <c r="AG171" s="52">
        <f ca="1">((Inputs!$F$20*(X171*AD171)*(A171-$C$3))+(Inputs!$F$19*W171*AC171*(DAY(EOMONTH(A171,0))/2)))/(AN171*Y171*AE171)</f>
        <v>0.75000000000000011</v>
      </c>
      <c r="AH171" s="4"/>
      <c r="AI171" s="18">
        <f>Inputs!$B$15</f>
        <v>0.06</v>
      </c>
      <c r="AJ171" s="46"/>
      <c r="AK171" s="18">
        <f t="shared" si="122"/>
        <v>0.15200000000000063</v>
      </c>
      <c r="AL171" s="46"/>
      <c r="AM171" s="62">
        <f t="shared" si="123"/>
        <v>43008</v>
      </c>
      <c r="AN171" s="63">
        <f t="shared" ca="1" si="124"/>
        <v>5815</v>
      </c>
      <c r="AO171" s="63">
        <f t="shared" si="151"/>
        <v>1</v>
      </c>
      <c r="AP171" s="19"/>
      <c r="AQ171" s="74">
        <f ca="1">_xll.SPRDOPT(U171,AA171,AI171,AX171,X171,AD171,AG171,AN171,AO171,0)</f>
        <v>0.43898435745191505</v>
      </c>
      <c r="AR171" s="47">
        <f t="shared" ca="1" si="131"/>
        <v>0</v>
      </c>
      <c r="AS171" s="135">
        <f t="shared" ca="1" si="132"/>
        <v>0.28698435745191442</v>
      </c>
      <c r="AU171" s="5">
        <f t="shared" si="152"/>
        <v>30</v>
      </c>
      <c r="AV171" s="148">
        <f t="shared" si="125"/>
        <v>43054</v>
      </c>
      <c r="AW171" s="41">
        <f t="shared" ca="1" si="126"/>
        <v>5861</v>
      </c>
      <c r="AX171" s="100">
        <f>VLOOKUP($A171,[1]!CurveTable,MATCH(AX$4,[1]!CurveType,0))</f>
        <v>5.90128081381147E-2</v>
      </c>
      <c r="AY171" s="149">
        <f ca="1">1/(1+CHOOSE(F$3,(AX172+(Inputs!$B$14/10000))/2,(AX171+(Inputs!$B$14/10000))/2))^(2*AW171/365.25)</f>
        <v>0.3932735334961891</v>
      </c>
      <c r="AZ171" s="41">
        <f t="shared" si="153"/>
        <v>0</v>
      </c>
      <c r="BA171" s="72">
        <f t="shared" si="154"/>
        <v>0</v>
      </c>
      <c r="BC171" s="65">
        <f t="shared" ca="1" si="133"/>
        <v>0</v>
      </c>
      <c r="BD171" s="65">
        <f t="shared" ca="1" si="134"/>
        <v>0</v>
      </c>
      <c r="BE171" s="65">
        <f t="shared" ca="1" si="135"/>
        <v>0</v>
      </c>
      <c r="BF171" s="65">
        <f t="shared" ca="1" si="136"/>
        <v>0</v>
      </c>
      <c r="BG171" s="65">
        <f t="shared" ca="1" si="137"/>
        <v>0</v>
      </c>
      <c r="BH171" s="65">
        <f t="shared" ca="1" si="138"/>
        <v>0</v>
      </c>
      <c r="BI171" s="65">
        <f t="shared" ca="1" si="139"/>
        <v>0</v>
      </c>
      <c r="BJ171" s="65">
        <f t="shared" ca="1" si="140"/>
        <v>0</v>
      </c>
      <c r="BK171" s="65">
        <f t="shared" ca="1" si="141"/>
        <v>0</v>
      </c>
      <c r="BL171" s="65">
        <f t="shared" ca="1" si="142"/>
        <v>0</v>
      </c>
      <c r="BM171" s="65">
        <f t="shared" ca="1" si="143"/>
        <v>0</v>
      </c>
      <c r="BN171" s="65">
        <f t="shared" ca="1" si="144"/>
        <v>0</v>
      </c>
      <c r="BO171" s="65">
        <f t="shared" ca="1" si="145"/>
        <v>0</v>
      </c>
      <c r="BP171" s="65">
        <f t="shared" ca="1" si="146"/>
        <v>0</v>
      </c>
      <c r="BQ171" s="65">
        <f t="shared" ca="1" si="147"/>
        <v>0</v>
      </c>
      <c r="BR171" s="65">
        <f t="shared" ca="1" si="148"/>
        <v>0</v>
      </c>
      <c r="BS171" s="65">
        <f t="shared" ca="1" si="149"/>
        <v>0</v>
      </c>
      <c r="BT171" s="65">
        <f t="shared" ca="1" si="150"/>
        <v>0</v>
      </c>
      <c r="BU171" s="65">
        <f t="shared" ca="1" si="127"/>
        <v>0</v>
      </c>
    </row>
    <row r="172" spans="1:73">
      <c r="A172" s="42">
        <f t="shared" si="128"/>
        <v>43070</v>
      </c>
      <c r="B172" s="30">
        <f>Inputs!$B$8</f>
        <v>50000</v>
      </c>
      <c r="C172" s="17">
        <f t="shared" si="118"/>
        <v>0</v>
      </c>
      <c r="D172" s="17">
        <f t="shared" ca="1" si="119"/>
        <v>0</v>
      </c>
      <c r="E172" s="25">
        <f>VLOOKUP($A172,[1]!CurveTable,MATCH($E$4,[1]!CurveType,0))</f>
        <v>5.3345000000000002</v>
      </c>
      <c r="F172" s="31">
        <f>E172-Inputs!$B$16</f>
        <v>5.3895</v>
      </c>
      <c r="G172" s="43">
        <f t="shared" si="160"/>
        <v>5.3895</v>
      </c>
      <c r="H172" s="25">
        <f>VLOOKUP($A172,[1]!CurveTable,MATCH($H$4,[1]!CurveType,0))</f>
        <v>0.26</v>
      </c>
      <c r="I172" s="31">
        <f>H172+Inputs!$B$22</f>
        <v>0.26</v>
      </c>
      <c r="J172" s="44">
        <f t="shared" si="161"/>
        <v>0.26</v>
      </c>
      <c r="K172" s="25">
        <f>VLOOKUP($A172,[1]!CurveTable,MATCH($K$4,[1]!CurveType,0))</f>
        <v>0</v>
      </c>
      <c r="L172" s="31">
        <v>0</v>
      </c>
      <c r="M172" s="45">
        <f t="shared" si="162"/>
        <v>0</v>
      </c>
      <c r="N172" s="25">
        <f>VLOOKUP($A172,[1]!CurveTable,MATCH($N$4,[1]!CurveType,0))</f>
        <v>1.8000000000000002E-2</v>
      </c>
      <c r="O172" s="31">
        <f>N172+Inputs!$E$22</f>
        <v>1.8000000000000002E-2</v>
      </c>
      <c r="P172" s="45">
        <f t="shared" si="163"/>
        <v>1.8000000000000002E-2</v>
      </c>
      <c r="Q172" s="25">
        <f>VLOOKUP($A172,[1]!CurveTable,MATCH($Q$4,[1]!CurveType,0))</f>
        <v>7.4999999999999997E-3</v>
      </c>
      <c r="R172" s="31">
        <v>0</v>
      </c>
      <c r="S172" s="45">
        <f t="shared" si="164"/>
        <v>0</v>
      </c>
      <c r="T172" s="4"/>
      <c r="U172" s="159">
        <f t="shared" si="129"/>
        <v>5.6494999999999997</v>
      </c>
      <c r="V172" s="160"/>
      <c r="W172" s="100">
        <f>VLOOKUP($A172,[1]!CurveTable,MATCH($W$4,[1]!CurveType,0))+$W$9</f>
        <v>0.17</v>
      </c>
      <c r="X172" s="100">
        <f>VLOOKUP($A172,[1]!CurveTable,MATCH($X$4,[1]!CurveType,0))+$X$9</f>
        <v>0.17500000000000002</v>
      </c>
      <c r="Y172" s="158">
        <f t="shared" ca="1" si="120"/>
        <v>0.17568159382383927</v>
      </c>
      <c r="Z172" s="4"/>
      <c r="AA172" s="159">
        <f t="shared" si="130"/>
        <v>5.4074999999999998</v>
      </c>
      <c r="AB172" s="160"/>
      <c r="AC172" s="100">
        <f>VLOOKUP($A172,[1]!CurveTable,MATCH($AC$4,[1]!CurveType,0))+$AC$9</f>
        <v>0.17</v>
      </c>
      <c r="AD172" s="100">
        <f>VLOOKUP($A172,[1]!CurveTable,MATCH($AD$4,[1]!CurveType,0))+$AD$9</f>
        <v>0.17500000000000002</v>
      </c>
      <c r="AE172" s="158">
        <f t="shared" ca="1" si="121"/>
        <v>0.17568159382383927</v>
      </c>
      <c r="AF172" s="4"/>
      <c r="AG172" s="52">
        <f ca="1">((Inputs!$F$20*(X172*AD172)*(A172-$C$3))+(Inputs!$F$19*W172*AC172*(DAY(EOMONTH(A172,0))/2)))/(AN172*Y172*AE172)</f>
        <v>0.74999999999999978</v>
      </c>
      <c r="AH172" s="4"/>
      <c r="AI172" s="18">
        <f>Inputs!$B$15</f>
        <v>0.06</v>
      </c>
      <c r="AJ172" s="46"/>
      <c r="AK172" s="18">
        <f t="shared" si="122"/>
        <v>0.182</v>
      </c>
      <c r="AL172" s="46"/>
      <c r="AM172" s="62">
        <f t="shared" si="123"/>
        <v>43039</v>
      </c>
      <c r="AN172" s="63">
        <f t="shared" ca="1" si="124"/>
        <v>5846</v>
      </c>
      <c r="AO172" s="63">
        <f t="shared" si="151"/>
        <v>1</v>
      </c>
      <c r="AP172" s="19"/>
      <c r="AQ172" s="74">
        <f ca="1">_xll.SPRDOPT(U172,AA172,AI172,AX172,X172,AD172,AG172,AN172,AO172,0)</f>
        <v>0.45621825675032907</v>
      </c>
      <c r="AR172" s="47">
        <f t="shared" ca="1" si="131"/>
        <v>0</v>
      </c>
      <c r="AS172" s="135">
        <f t="shared" ca="1" si="132"/>
        <v>0.27421825675032907</v>
      </c>
      <c r="AU172" s="5">
        <f t="shared" si="152"/>
        <v>31</v>
      </c>
      <c r="AV172" s="148">
        <f t="shared" si="125"/>
        <v>43084</v>
      </c>
      <c r="AW172" s="41">
        <f t="shared" ca="1" si="126"/>
        <v>5891</v>
      </c>
      <c r="AX172" s="100">
        <f>VLOOKUP($A172,[1]!CurveTable,MATCH(AX$4,[1]!CurveType,0))</f>
        <v>5.9069143085388902E-2</v>
      </c>
      <c r="AY172" s="149">
        <f ca="1">1/(1+CHOOSE(F$3,(AX173+(Inputs!$B$14/10000))/2,(AX172+(Inputs!$B$14/10000))/2))^(2*AW172/365.25)</f>
        <v>0.39105410026062587</v>
      </c>
      <c r="AZ172" s="41">
        <f t="shared" si="153"/>
        <v>0</v>
      </c>
      <c r="BA172" s="72">
        <f t="shared" si="154"/>
        <v>0</v>
      </c>
      <c r="BC172" s="65">
        <f t="shared" ca="1" si="133"/>
        <v>0</v>
      </c>
      <c r="BD172" s="65">
        <f t="shared" ca="1" si="134"/>
        <v>0</v>
      </c>
      <c r="BE172" s="65">
        <f t="shared" ca="1" si="135"/>
        <v>0</v>
      </c>
      <c r="BF172" s="65">
        <f t="shared" ca="1" si="136"/>
        <v>0</v>
      </c>
      <c r="BG172" s="65">
        <f t="shared" ca="1" si="137"/>
        <v>0</v>
      </c>
      <c r="BH172" s="65">
        <f t="shared" ca="1" si="138"/>
        <v>0</v>
      </c>
      <c r="BI172" s="65">
        <f t="shared" ca="1" si="139"/>
        <v>0</v>
      </c>
      <c r="BJ172" s="65">
        <f t="shared" ca="1" si="140"/>
        <v>0</v>
      </c>
      <c r="BK172" s="65">
        <f t="shared" ca="1" si="141"/>
        <v>0</v>
      </c>
      <c r="BL172" s="65">
        <f t="shared" ca="1" si="142"/>
        <v>0</v>
      </c>
      <c r="BM172" s="65">
        <f t="shared" ca="1" si="143"/>
        <v>0</v>
      </c>
      <c r="BN172" s="65">
        <f t="shared" ca="1" si="144"/>
        <v>0</v>
      </c>
      <c r="BO172" s="65">
        <f t="shared" ca="1" si="145"/>
        <v>0</v>
      </c>
      <c r="BP172" s="65">
        <f t="shared" ca="1" si="146"/>
        <v>0</v>
      </c>
      <c r="BQ172" s="65">
        <f t="shared" ca="1" si="147"/>
        <v>0</v>
      </c>
      <c r="BR172" s="65">
        <f t="shared" ca="1" si="148"/>
        <v>0</v>
      </c>
      <c r="BS172" s="65">
        <f t="shared" ca="1" si="149"/>
        <v>0</v>
      </c>
      <c r="BT172" s="65">
        <f t="shared" ca="1" si="150"/>
        <v>0</v>
      </c>
      <c r="BU172" s="65">
        <f t="shared" ca="1" si="127"/>
        <v>0</v>
      </c>
    </row>
    <row r="173" spans="1:73">
      <c r="A173" s="42">
        <f t="shared" si="128"/>
        <v>43101</v>
      </c>
      <c r="B173" s="30">
        <f>Inputs!$B$8</f>
        <v>50000</v>
      </c>
      <c r="C173" s="17">
        <f t="shared" si="118"/>
        <v>0</v>
      </c>
      <c r="D173" s="17">
        <f t="shared" ca="1" si="119"/>
        <v>0</v>
      </c>
      <c r="E173" s="25">
        <f>VLOOKUP($A173,[1]!CurveTable,MATCH($E$4,[1]!CurveType,0))</f>
        <v>5.4119999999999999</v>
      </c>
      <c r="F173" s="31">
        <f>E173-Inputs!$B$16</f>
        <v>5.4669999999999996</v>
      </c>
      <c r="G173" s="43">
        <f t="shared" si="160"/>
        <v>5.4669999999999996</v>
      </c>
      <c r="H173" s="25">
        <f>VLOOKUP($A173,[1]!CurveTable,MATCH($H$4,[1]!CurveType,0))</f>
        <v>8.5000000000000006E-2</v>
      </c>
      <c r="I173" s="31">
        <f>H173+Inputs!$B$22</f>
        <v>8.5000000000000006E-2</v>
      </c>
      <c r="J173" s="44">
        <f t="shared" si="161"/>
        <v>8.5000000000000006E-2</v>
      </c>
      <c r="K173" s="25">
        <f>VLOOKUP($A173,[1]!CurveTable,MATCH($K$4,[1]!CurveType,0))</f>
        <v>0</v>
      </c>
      <c r="L173" s="31">
        <v>0</v>
      </c>
      <c r="M173" s="45">
        <f t="shared" si="162"/>
        <v>0</v>
      </c>
      <c r="N173" s="25">
        <f>VLOOKUP($A173,[1]!CurveTable,MATCH($N$4,[1]!CurveType,0))</f>
        <v>1.8000000000000002E-2</v>
      </c>
      <c r="O173" s="31">
        <f>N173+Inputs!$E$22</f>
        <v>1.8000000000000002E-2</v>
      </c>
      <c r="P173" s="45">
        <f t="shared" si="163"/>
        <v>1.8000000000000002E-2</v>
      </c>
      <c r="Q173" s="25">
        <f>VLOOKUP($A173,[1]!CurveTable,MATCH($Q$4,[1]!CurveType,0))</f>
        <v>7.4999999999999997E-3</v>
      </c>
      <c r="R173" s="31">
        <v>0</v>
      </c>
      <c r="S173" s="45">
        <f t="shared" si="164"/>
        <v>0</v>
      </c>
      <c r="T173" s="4"/>
      <c r="U173" s="159">
        <f t="shared" si="129"/>
        <v>5.5519999999999996</v>
      </c>
      <c r="V173" s="160"/>
      <c r="W173" s="100">
        <f>VLOOKUP($A173,[1]!CurveTable,MATCH($W$4,[1]!CurveType,0))+$W$9</f>
        <v>0.17</v>
      </c>
      <c r="X173" s="100">
        <f>VLOOKUP($A173,[1]!CurveTable,MATCH($X$4,[1]!CurveType,0))+$X$9</f>
        <v>0.17500000000000002</v>
      </c>
      <c r="Y173" s="158">
        <f t="shared" ca="1" si="120"/>
        <v>0.17569295362953941</v>
      </c>
      <c r="Z173" s="4"/>
      <c r="AA173" s="159">
        <f t="shared" si="130"/>
        <v>5.4849999999999994</v>
      </c>
      <c r="AB173" s="160"/>
      <c r="AC173" s="100">
        <f>VLOOKUP($A173,[1]!CurveTable,MATCH($AC$4,[1]!CurveType,0))+$AC$9</f>
        <v>0.17</v>
      </c>
      <c r="AD173" s="100">
        <f>VLOOKUP($A173,[1]!CurveTable,MATCH($AD$4,[1]!CurveType,0))+$AD$9</f>
        <v>0.17500000000000002</v>
      </c>
      <c r="AE173" s="158">
        <f t="shared" ca="1" si="121"/>
        <v>0.17569295362953941</v>
      </c>
      <c r="AF173" s="4"/>
      <c r="AG173" s="52">
        <f ca="1">((Inputs!$F$20*(X173*AD173)*(A173-$C$3))+(Inputs!$F$19*W173*AC173*(DAY(EOMONTH(A173,0))/2)))/(AN173*Y173*AE173)</f>
        <v>0.74999999999999989</v>
      </c>
      <c r="AH173" s="4"/>
      <c r="AI173" s="18">
        <f>Inputs!$B$15</f>
        <v>0.06</v>
      </c>
      <c r="AJ173" s="46"/>
      <c r="AK173" s="18">
        <f t="shared" si="122"/>
        <v>7.0000000000001728E-3</v>
      </c>
      <c r="AL173" s="46"/>
      <c r="AM173" s="62">
        <f t="shared" si="123"/>
        <v>43069</v>
      </c>
      <c r="AN173" s="63">
        <f t="shared" ca="1" si="124"/>
        <v>5876</v>
      </c>
      <c r="AO173" s="63">
        <f t="shared" si="151"/>
        <v>1</v>
      </c>
      <c r="AP173" s="19"/>
      <c r="AQ173" s="74">
        <f ca="1">_xll.SPRDOPT(U173,AA173,AI173,AX173,X173,AD173,AG173,AN173,AO173,0)</f>
        <v>0.41919301055569708</v>
      </c>
      <c r="AR173" s="47">
        <f t="shared" ca="1" si="131"/>
        <v>0</v>
      </c>
      <c r="AS173" s="135">
        <f t="shared" ca="1" si="132"/>
        <v>0.4121930105556969</v>
      </c>
      <c r="AU173" s="5">
        <f t="shared" si="152"/>
        <v>31</v>
      </c>
      <c r="AV173" s="148">
        <f t="shared" si="125"/>
        <v>43115</v>
      </c>
      <c r="AW173" s="41">
        <f t="shared" ca="1" si="126"/>
        <v>5922</v>
      </c>
      <c r="AX173" s="100">
        <f>VLOOKUP($A173,[1]!CurveTable,MATCH(AX$4,[1]!CurveType,0))</f>
        <v>5.9127355865347099E-2</v>
      </c>
      <c r="AY173" s="149">
        <f ca="1">1/(1+CHOOSE(F$3,(AX174+(Inputs!$B$14/10000))/2,(AX173+(Inputs!$B$14/10000))/2))^(2*AW173/365.25)</f>
        <v>0.3887701822775243</v>
      </c>
      <c r="AZ173" s="41">
        <f t="shared" si="153"/>
        <v>0</v>
      </c>
      <c r="BA173" s="72">
        <f t="shared" si="154"/>
        <v>0</v>
      </c>
      <c r="BC173" s="65">
        <f t="shared" ca="1" si="133"/>
        <v>0</v>
      </c>
      <c r="BD173" s="65">
        <f t="shared" ca="1" si="134"/>
        <v>0</v>
      </c>
      <c r="BE173" s="65">
        <f t="shared" ca="1" si="135"/>
        <v>0</v>
      </c>
      <c r="BF173" s="65">
        <f t="shared" ca="1" si="136"/>
        <v>0</v>
      </c>
      <c r="BG173" s="65">
        <f t="shared" ca="1" si="137"/>
        <v>0</v>
      </c>
      <c r="BH173" s="65">
        <f t="shared" ca="1" si="138"/>
        <v>0</v>
      </c>
      <c r="BI173" s="65">
        <f t="shared" ca="1" si="139"/>
        <v>0</v>
      </c>
      <c r="BJ173" s="65">
        <f t="shared" ca="1" si="140"/>
        <v>0</v>
      </c>
      <c r="BK173" s="65">
        <f t="shared" ca="1" si="141"/>
        <v>0</v>
      </c>
      <c r="BL173" s="65">
        <f t="shared" ca="1" si="142"/>
        <v>0</v>
      </c>
      <c r="BM173" s="65">
        <f t="shared" ca="1" si="143"/>
        <v>0</v>
      </c>
      <c r="BN173" s="65">
        <f t="shared" ca="1" si="144"/>
        <v>0</v>
      </c>
      <c r="BO173" s="65">
        <f t="shared" ca="1" si="145"/>
        <v>0</v>
      </c>
      <c r="BP173" s="65">
        <f t="shared" ca="1" si="146"/>
        <v>0</v>
      </c>
      <c r="BQ173" s="65">
        <f t="shared" ca="1" si="147"/>
        <v>0</v>
      </c>
      <c r="BR173" s="65">
        <f t="shared" ca="1" si="148"/>
        <v>0</v>
      </c>
      <c r="BS173" s="65">
        <f t="shared" ca="1" si="149"/>
        <v>0</v>
      </c>
      <c r="BT173" s="65">
        <f t="shared" ca="1" si="150"/>
        <v>0</v>
      </c>
      <c r="BU173" s="65">
        <f t="shared" ca="1" si="127"/>
        <v>0</v>
      </c>
    </row>
    <row r="174" spans="1:73">
      <c r="A174" s="42">
        <f t="shared" si="128"/>
        <v>43132</v>
      </c>
      <c r="B174" s="30">
        <f>Inputs!$B$8</f>
        <v>50000</v>
      </c>
      <c r="C174" s="17">
        <f t="shared" si="118"/>
        <v>0</v>
      </c>
      <c r="D174" s="17">
        <f t="shared" ca="1" si="119"/>
        <v>0</v>
      </c>
      <c r="E174" s="25">
        <f>VLOOKUP($A174,[1]!CurveTable,MATCH($E$4,[1]!CurveType,0))</f>
        <v>5.3250000000000002</v>
      </c>
      <c r="F174" s="31">
        <f>E174-Inputs!$B$16</f>
        <v>5.38</v>
      </c>
      <c r="G174" s="43">
        <f t="shared" si="160"/>
        <v>5.38</v>
      </c>
      <c r="H174" s="25">
        <f>VLOOKUP($A174,[1]!CurveTable,MATCH($H$4,[1]!CurveType,0))</f>
        <v>7.4999999999999997E-2</v>
      </c>
      <c r="I174" s="31">
        <f>H174+Inputs!$B$22</f>
        <v>7.4999999999999997E-2</v>
      </c>
      <c r="J174" s="44">
        <f t="shared" si="161"/>
        <v>7.4999999999999997E-2</v>
      </c>
      <c r="K174" s="25">
        <f>VLOOKUP($A174,[1]!CurveTable,MATCH($K$4,[1]!CurveType,0))</f>
        <v>0</v>
      </c>
      <c r="L174" s="31">
        <v>0</v>
      </c>
      <c r="M174" s="45">
        <f t="shared" si="162"/>
        <v>0</v>
      </c>
      <c r="N174" s="25">
        <f>VLOOKUP($A174,[1]!CurveTable,MATCH($N$4,[1]!CurveType,0))</f>
        <v>1.8000000000000002E-2</v>
      </c>
      <c r="O174" s="31">
        <f>N174+Inputs!$E$22</f>
        <v>1.8000000000000002E-2</v>
      </c>
      <c r="P174" s="45">
        <f t="shared" si="163"/>
        <v>1.8000000000000002E-2</v>
      </c>
      <c r="Q174" s="25">
        <f>VLOOKUP($A174,[1]!CurveTable,MATCH($Q$4,[1]!CurveType,0))</f>
        <v>7.4999999999999997E-3</v>
      </c>
      <c r="R174" s="31">
        <v>0</v>
      </c>
      <c r="S174" s="45">
        <f t="shared" si="164"/>
        <v>0</v>
      </c>
      <c r="T174" s="4"/>
      <c r="U174" s="159">
        <f t="shared" si="129"/>
        <v>5.4550000000000001</v>
      </c>
      <c r="V174" s="160"/>
      <c r="W174" s="100">
        <f>VLOOKUP($A174,[1]!CurveTable,MATCH($W$4,[1]!CurveType,0))+$W$9</f>
        <v>0.17</v>
      </c>
      <c r="X174" s="100">
        <f>VLOOKUP($A174,[1]!CurveTable,MATCH($X$4,[1]!CurveType,0))+$X$9</f>
        <v>0.17500000000000002</v>
      </c>
      <c r="Y174" s="158">
        <f t="shared" ca="1" si="120"/>
        <v>0.17566843730325452</v>
      </c>
      <c r="Z174" s="4"/>
      <c r="AA174" s="159">
        <f t="shared" si="130"/>
        <v>5.3979999999999997</v>
      </c>
      <c r="AB174" s="160"/>
      <c r="AC174" s="100">
        <f>VLOOKUP($A174,[1]!CurveTable,MATCH($AC$4,[1]!CurveType,0))+$AC$9</f>
        <v>0.17</v>
      </c>
      <c r="AD174" s="100">
        <f>VLOOKUP($A174,[1]!CurveTable,MATCH($AD$4,[1]!CurveType,0))+$AD$9</f>
        <v>0.17500000000000002</v>
      </c>
      <c r="AE174" s="158">
        <f t="shared" ca="1" si="121"/>
        <v>0.17566843730325452</v>
      </c>
      <c r="AF174" s="4"/>
      <c r="AG174" s="52">
        <f ca="1">((Inputs!$F$20*(X174*AD174)*(A174-$C$3))+(Inputs!$F$19*W174*AC174*(DAY(EOMONTH(A174,0))/2)))/(AN174*Y174*AE174)</f>
        <v>0.75000000000000011</v>
      </c>
      <c r="AH174" s="4"/>
      <c r="AI174" s="18">
        <f>Inputs!$B$15</f>
        <v>0.06</v>
      </c>
      <c r="AJ174" s="46"/>
      <c r="AK174" s="18">
        <f t="shared" si="122"/>
        <v>0</v>
      </c>
      <c r="AL174" s="46"/>
      <c r="AM174" s="62">
        <f t="shared" si="123"/>
        <v>43100</v>
      </c>
      <c r="AN174" s="63">
        <f t="shared" ca="1" si="124"/>
        <v>5907</v>
      </c>
      <c r="AO174" s="63">
        <f t="shared" si="151"/>
        <v>1</v>
      </c>
      <c r="AP174" s="19"/>
      <c r="AQ174" s="74">
        <f ca="1">_xll.SPRDOPT(U174,AA174,AI174,AX174,X174,AD174,AG174,AN174,AO174,0)</f>
        <v>0.40891364103871791</v>
      </c>
      <c r="AR174" s="47">
        <f t="shared" ca="1" si="131"/>
        <v>0</v>
      </c>
      <c r="AS174" s="135">
        <f t="shared" ca="1" si="132"/>
        <v>0.40891364103871791</v>
      </c>
      <c r="AU174" s="5">
        <f t="shared" si="152"/>
        <v>28</v>
      </c>
      <c r="AV174" s="148">
        <f t="shared" si="125"/>
        <v>43146</v>
      </c>
      <c r="AW174" s="41">
        <f t="shared" ca="1" si="126"/>
        <v>5953</v>
      </c>
      <c r="AX174" s="100">
        <f>VLOOKUP($A174,[1]!CurveTable,MATCH(AX$4,[1]!CurveType,0))</f>
        <v>5.91855686464315E-2</v>
      </c>
      <c r="AY174" s="149">
        <f ca="1">1/(1+CHOOSE(F$3,(AX175+(Inputs!$B$14/10000))/2,(AX174+(Inputs!$B$14/10000))/2))^(2*AW174/365.25)</f>
        <v>0.3864959038470927</v>
      </c>
      <c r="AZ174" s="41">
        <f t="shared" si="153"/>
        <v>0</v>
      </c>
      <c r="BA174" s="72">
        <f t="shared" si="154"/>
        <v>0</v>
      </c>
      <c r="BC174" s="65">
        <f t="shared" ca="1" si="133"/>
        <v>0</v>
      </c>
      <c r="BD174" s="65">
        <f t="shared" ca="1" si="134"/>
        <v>0</v>
      </c>
      <c r="BE174" s="65">
        <f t="shared" ca="1" si="135"/>
        <v>0</v>
      </c>
      <c r="BF174" s="65">
        <f t="shared" ca="1" si="136"/>
        <v>0</v>
      </c>
      <c r="BG174" s="65">
        <f t="shared" ca="1" si="137"/>
        <v>0</v>
      </c>
      <c r="BH174" s="65">
        <f t="shared" ca="1" si="138"/>
        <v>0</v>
      </c>
      <c r="BI174" s="65">
        <f t="shared" ca="1" si="139"/>
        <v>0</v>
      </c>
      <c r="BJ174" s="65">
        <f t="shared" ca="1" si="140"/>
        <v>0</v>
      </c>
      <c r="BK174" s="65">
        <f t="shared" ca="1" si="141"/>
        <v>0</v>
      </c>
      <c r="BL174" s="65">
        <f t="shared" ca="1" si="142"/>
        <v>0</v>
      </c>
      <c r="BM174" s="65">
        <f t="shared" ca="1" si="143"/>
        <v>0</v>
      </c>
      <c r="BN174" s="65">
        <f t="shared" ca="1" si="144"/>
        <v>0</v>
      </c>
      <c r="BO174" s="65">
        <f t="shared" ca="1" si="145"/>
        <v>0</v>
      </c>
      <c r="BP174" s="65">
        <f t="shared" ca="1" si="146"/>
        <v>0</v>
      </c>
      <c r="BQ174" s="65">
        <f t="shared" ca="1" si="147"/>
        <v>0</v>
      </c>
      <c r="BR174" s="65">
        <f t="shared" ca="1" si="148"/>
        <v>0</v>
      </c>
      <c r="BS174" s="65">
        <f t="shared" ca="1" si="149"/>
        <v>0</v>
      </c>
      <c r="BT174" s="65">
        <f t="shared" ca="1" si="150"/>
        <v>0</v>
      </c>
      <c r="BU174" s="65">
        <f t="shared" ca="1" si="127"/>
        <v>0</v>
      </c>
    </row>
    <row r="175" spans="1:73">
      <c r="A175" s="42">
        <f t="shared" si="128"/>
        <v>43160</v>
      </c>
      <c r="B175" s="30">
        <f>Inputs!$B$8</f>
        <v>50000</v>
      </c>
      <c r="C175" s="17">
        <f t="shared" si="118"/>
        <v>0</v>
      </c>
      <c r="D175" s="17">
        <f t="shared" ca="1" si="119"/>
        <v>0</v>
      </c>
      <c r="E175" s="25">
        <f>VLOOKUP($A175,[1]!CurveTable,MATCH($E$4,[1]!CurveType,0))</f>
        <v>5.1859999999999999</v>
      </c>
      <c r="F175" s="31">
        <f>E175-Inputs!$B$16</f>
        <v>5.2409999999999997</v>
      </c>
      <c r="G175" s="43">
        <f t="shared" si="160"/>
        <v>5.2409999999999997</v>
      </c>
      <c r="H175" s="25">
        <f>VLOOKUP($A175,[1]!CurveTable,MATCH($H$4,[1]!CurveType,0))</f>
        <v>0.115</v>
      </c>
      <c r="I175" s="31">
        <f>H175+Inputs!$B$22</f>
        <v>0.115</v>
      </c>
      <c r="J175" s="44">
        <f t="shared" si="161"/>
        <v>0.115</v>
      </c>
      <c r="K175" s="25">
        <f>VLOOKUP($A175,[1]!CurveTable,MATCH($K$4,[1]!CurveType,0))</f>
        <v>0</v>
      </c>
      <c r="L175" s="31">
        <v>0</v>
      </c>
      <c r="M175" s="45">
        <f t="shared" si="162"/>
        <v>0</v>
      </c>
      <c r="N175" s="25">
        <f>VLOOKUP($A175,[1]!CurveTable,MATCH($N$4,[1]!CurveType,0))</f>
        <v>2.2000000000000002E-2</v>
      </c>
      <c r="O175" s="31">
        <f>N175+Inputs!$E$22</f>
        <v>2.2000000000000002E-2</v>
      </c>
      <c r="P175" s="45">
        <f t="shared" si="163"/>
        <v>2.2000000000000002E-2</v>
      </c>
      <c r="Q175" s="25">
        <f>VLOOKUP($A175,[1]!CurveTable,MATCH($Q$4,[1]!CurveType,0))</f>
        <v>7.4999999999999997E-3</v>
      </c>
      <c r="R175" s="31">
        <v>0</v>
      </c>
      <c r="S175" s="45">
        <f t="shared" si="164"/>
        <v>0</v>
      </c>
      <c r="T175" s="4"/>
      <c r="U175" s="159">
        <f t="shared" si="129"/>
        <v>5.3559999999999999</v>
      </c>
      <c r="V175" s="160"/>
      <c r="W175" s="100">
        <f>VLOOKUP($A175,[1]!CurveTable,MATCH($W$4,[1]!CurveType,0))+$W$9</f>
        <v>0.17</v>
      </c>
      <c r="X175" s="100">
        <f>VLOOKUP($A175,[1]!CurveTable,MATCH($X$4,[1]!CurveType,0))+$X$9</f>
        <v>0.17500000000000002</v>
      </c>
      <c r="Y175" s="158">
        <f t="shared" ca="1" si="120"/>
        <v>0.17564169268761839</v>
      </c>
      <c r="Z175" s="4"/>
      <c r="AA175" s="159">
        <f t="shared" si="130"/>
        <v>5.2629999999999999</v>
      </c>
      <c r="AB175" s="160"/>
      <c r="AC175" s="100">
        <f>VLOOKUP($A175,[1]!CurveTable,MATCH($AC$4,[1]!CurveType,0))+$AC$9</f>
        <v>0.17</v>
      </c>
      <c r="AD175" s="100">
        <f>VLOOKUP($A175,[1]!CurveTable,MATCH($AD$4,[1]!CurveType,0))+$AD$9</f>
        <v>0.17500000000000002</v>
      </c>
      <c r="AE175" s="158">
        <f t="shared" ca="1" si="121"/>
        <v>0.17564169268761839</v>
      </c>
      <c r="AF175" s="4"/>
      <c r="AG175" s="52">
        <f ca="1">((Inputs!$F$20*(X175*AD175)*(A175-$C$3))+(Inputs!$F$19*W175*AC175*(DAY(EOMONTH(A175,0))/2)))/(AN175*Y175*AE175)</f>
        <v>0.74999999999999989</v>
      </c>
      <c r="AH175" s="4"/>
      <c r="AI175" s="18">
        <f>Inputs!$B$15</f>
        <v>0.06</v>
      </c>
      <c r="AJ175" s="46"/>
      <c r="AK175" s="18">
        <f t="shared" si="122"/>
        <v>3.2999999999999974E-2</v>
      </c>
      <c r="AL175" s="46"/>
      <c r="AM175" s="62">
        <f t="shared" si="123"/>
        <v>43131</v>
      </c>
      <c r="AN175" s="63">
        <f t="shared" ca="1" si="124"/>
        <v>5938</v>
      </c>
      <c r="AO175" s="63">
        <f t="shared" si="151"/>
        <v>1</v>
      </c>
      <c r="AP175" s="19"/>
      <c r="AQ175" s="74">
        <f ca="1">_xll.SPRDOPT(U175,AA175,AI175,AX175,X175,AD175,AG175,AN175,AO175,0)</f>
        <v>0.40566215141642614</v>
      </c>
      <c r="AR175" s="47">
        <f t="shared" ca="1" si="131"/>
        <v>0</v>
      </c>
      <c r="AS175" s="135">
        <f t="shared" ca="1" si="132"/>
        <v>0.37266215141642617</v>
      </c>
      <c r="AU175" s="5">
        <f t="shared" si="152"/>
        <v>31</v>
      </c>
      <c r="AV175" s="148">
        <f t="shared" si="125"/>
        <v>43174</v>
      </c>
      <c r="AW175" s="41">
        <f t="shared" ca="1" si="126"/>
        <v>5981</v>
      </c>
      <c r="AX175" s="100">
        <f>VLOOKUP($A175,[1]!CurveTable,MATCH(AX$4,[1]!CurveType,0))</f>
        <v>5.9238147933540604E-2</v>
      </c>
      <c r="AY175" s="149">
        <f ca="1">1/(1+CHOOSE(F$3,(AX176+(Inputs!$B$14/10000))/2,(AX175+(Inputs!$B$14/10000))/2))^(2*AW175/365.25)</f>
        <v>0.38444999161536941</v>
      </c>
      <c r="AZ175" s="41">
        <f t="shared" si="153"/>
        <v>0</v>
      </c>
      <c r="BA175" s="72">
        <f t="shared" si="154"/>
        <v>0</v>
      </c>
      <c r="BC175" s="65">
        <f t="shared" ca="1" si="133"/>
        <v>0</v>
      </c>
      <c r="BD175" s="65">
        <f t="shared" ca="1" si="134"/>
        <v>0</v>
      </c>
      <c r="BE175" s="65">
        <f t="shared" ca="1" si="135"/>
        <v>0</v>
      </c>
      <c r="BF175" s="65">
        <f t="shared" ca="1" si="136"/>
        <v>0</v>
      </c>
      <c r="BG175" s="65">
        <f t="shared" ca="1" si="137"/>
        <v>0</v>
      </c>
      <c r="BH175" s="65">
        <f t="shared" ca="1" si="138"/>
        <v>0</v>
      </c>
      <c r="BI175" s="65">
        <f t="shared" ca="1" si="139"/>
        <v>0</v>
      </c>
      <c r="BJ175" s="65">
        <f t="shared" ca="1" si="140"/>
        <v>0</v>
      </c>
      <c r="BK175" s="65">
        <f t="shared" ca="1" si="141"/>
        <v>0</v>
      </c>
      <c r="BL175" s="65">
        <f t="shared" ca="1" si="142"/>
        <v>0</v>
      </c>
      <c r="BM175" s="65">
        <f t="shared" ca="1" si="143"/>
        <v>0</v>
      </c>
      <c r="BN175" s="65">
        <f t="shared" ca="1" si="144"/>
        <v>0</v>
      </c>
      <c r="BO175" s="65">
        <f t="shared" ca="1" si="145"/>
        <v>0</v>
      </c>
      <c r="BP175" s="65">
        <f t="shared" ca="1" si="146"/>
        <v>0</v>
      </c>
      <c r="BQ175" s="65">
        <f t="shared" ca="1" si="147"/>
        <v>0</v>
      </c>
      <c r="BR175" s="65">
        <f t="shared" ca="1" si="148"/>
        <v>0</v>
      </c>
      <c r="BS175" s="65">
        <f t="shared" ca="1" si="149"/>
        <v>0</v>
      </c>
      <c r="BT175" s="65">
        <f t="shared" ca="1" si="150"/>
        <v>0</v>
      </c>
      <c r="BU175" s="65">
        <f t="shared" ca="1" si="127"/>
        <v>0</v>
      </c>
    </row>
    <row r="176" spans="1:73">
      <c r="A176" s="42">
        <f t="shared" si="128"/>
        <v>43191</v>
      </c>
      <c r="B176" s="30">
        <f>Inputs!$B$8</f>
        <v>50000</v>
      </c>
      <c r="C176" s="17">
        <f t="shared" si="118"/>
        <v>0</v>
      </c>
      <c r="D176" s="17">
        <f t="shared" ca="1" si="119"/>
        <v>0</v>
      </c>
      <c r="E176" s="25">
        <f>VLOOKUP($A176,[1]!CurveTable,MATCH($E$4,[1]!CurveType,0))</f>
        <v>5.032</v>
      </c>
      <c r="F176" s="31">
        <f>E176-Inputs!$B$16</f>
        <v>5.0869999999999997</v>
      </c>
      <c r="G176" s="43">
        <f t="shared" si="160"/>
        <v>5.0869999999999997</v>
      </c>
      <c r="H176" s="25">
        <f>VLOOKUP($A176,[1]!CurveTable,MATCH($H$4,[1]!CurveType,0))</f>
        <v>0.55000000000000004</v>
      </c>
      <c r="I176" s="31">
        <f>H176+Inputs!$B$22</f>
        <v>0.55000000000000004</v>
      </c>
      <c r="J176" s="44">
        <f t="shared" si="161"/>
        <v>0.55000000000000004</v>
      </c>
      <c r="K176" s="25">
        <f>VLOOKUP($A176,[1]!CurveTable,MATCH($K$4,[1]!CurveType,0))</f>
        <v>0</v>
      </c>
      <c r="L176" s="31">
        <v>0</v>
      </c>
      <c r="M176" s="45">
        <f t="shared" si="162"/>
        <v>0</v>
      </c>
      <c r="N176" s="25">
        <f>VLOOKUP($A176,[1]!CurveTable,MATCH($N$4,[1]!CurveType,0))</f>
        <v>2.2000000000000002E-2</v>
      </c>
      <c r="O176" s="31">
        <f>N176+Inputs!$E$22</f>
        <v>2.2000000000000002E-2</v>
      </c>
      <c r="P176" s="45">
        <f t="shared" si="163"/>
        <v>2.2000000000000002E-2</v>
      </c>
      <c r="Q176" s="25">
        <f>VLOOKUP($A176,[1]!CurveTable,MATCH($Q$4,[1]!CurveType,0))</f>
        <v>0.01</v>
      </c>
      <c r="R176" s="31">
        <v>0</v>
      </c>
      <c r="S176" s="45">
        <f t="shared" si="164"/>
        <v>0</v>
      </c>
      <c r="T176" s="4"/>
      <c r="U176" s="159">
        <f t="shared" si="129"/>
        <v>5.6369999999999996</v>
      </c>
      <c r="V176" s="160"/>
      <c r="W176" s="100">
        <f>VLOOKUP($A176,[1]!CurveTable,MATCH($W$4,[1]!CurveType,0))+$W$9</f>
        <v>0.17</v>
      </c>
      <c r="X176" s="100">
        <f>VLOOKUP($A176,[1]!CurveTable,MATCH($X$4,[1]!CurveType,0))+$X$9</f>
        <v>0.17500000000000002</v>
      </c>
      <c r="Y176" s="158">
        <f t="shared" ca="1" si="120"/>
        <v>0.17567562697628233</v>
      </c>
      <c r="Z176" s="4"/>
      <c r="AA176" s="159">
        <f t="shared" si="130"/>
        <v>5.109</v>
      </c>
      <c r="AB176" s="160"/>
      <c r="AC176" s="100">
        <f>VLOOKUP($A176,[1]!CurveTable,MATCH($AC$4,[1]!CurveType,0))+$AC$9</f>
        <v>0.17</v>
      </c>
      <c r="AD176" s="100">
        <f>VLOOKUP($A176,[1]!CurveTable,MATCH($AD$4,[1]!CurveType,0))+$AD$9</f>
        <v>0.17500000000000002</v>
      </c>
      <c r="AE176" s="158">
        <f t="shared" ca="1" si="121"/>
        <v>0.17567562697628233</v>
      </c>
      <c r="AF176" s="4"/>
      <c r="AG176" s="52">
        <f ca="1">((Inputs!$F$20*(X176*AD176)*(A176-$C$3))+(Inputs!$F$19*W176*AC176*(DAY(EOMONTH(A176,0))/2)))/(AN176*Y176*AE176)</f>
        <v>0.75</v>
      </c>
      <c r="AH176" s="4"/>
      <c r="AI176" s="18">
        <f>Inputs!$B$15</f>
        <v>0.06</v>
      </c>
      <c r="AJ176" s="46"/>
      <c r="AK176" s="18">
        <f t="shared" si="122"/>
        <v>0.46799999999999958</v>
      </c>
      <c r="AL176" s="46"/>
      <c r="AM176" s="62">
        <f t="shared" si="123"/>
        <v>43159</v>
      </c>
      <c r="AN176" s="63">
        <f t="shared" ca="1" si="124"/>
        <v>5966</v>
      </c>
      <c r="AO176" s="63">
        <f t="shared" si="151"/>
        <v>1</v>
      </c>
      <c r="AP176" s="19"/>
      <c r="AQ176" s="74">
        <f ca="1">_xll.SPRDOPT(U176,AA176,AI176,AX176,X176,AD176,AG176,AN176,AO176,0)</f>
        <v>0.49758084364501504</v>
      </c>
      <c r="AR176" s="47">
        <f t="shared" ca="1" si="131"/>
        <v>0</v>
      </c>
      <c r="AS176" s="135">
        <f t="shared" ca="1" si="132"/>
        <v>2.9580843645015453E-2</v>
      </c>
      <c r="AU176" s="5">
        <f t="shared" si="152"/>
        <v>30</v>
      </c>
      <c r="AV176" s="148">
        <f t="shared" si="125"/>
        <v>43205</v>
      </c>
      <c r="AW176" s="41">
        <f t="shared" ca="1" si="126"/>
        <v>6012</v>
      </c>
      <c r="AX176" s="100">
        <f>VLOOKUP($A176,[1]!CurveTable,MATCH(AX$4,[1]!CurveType,0))</f>
        <v>5.9296360716769102E-2</v>
      </c>
      <c r="AY176" s="149">
        <f ca="1">1/(1+CHOOSE(F$3,(AX177+(Inputs!$B$14/10000))/2,(AX176+(Inputs!$B$14/10000))/2))^(2*AW176/365.25)</f>
        <v>0.38219402382970968</v>
      </c>
      <c r="AZ176" s="41">
        <f t="shared" si="153"/>
        <v>0</v>
      </c>
      <c r="BA176" s="72">
        <f t="shared" si="154"/>
        <v>0</v>
      </c>
      <c r="BC176" s="65">
        <f t="shared" ca="1" si="133"/>
        <v>0</v>
      </c>
      <c r="BD176" s="65">
        <f t="shared" ca="1" si="134"/>
        <v>0</v>
      </c>
      <c r="BE176" s="65">
        <f t="shared" ca="1" si="135"/>
        <v>0</v>
      </c>
      <c r="BF176" s="65">
        <f t="shared" ca="1" si="136"/>
        <v>0</v>
      </c>
      <c r="BG176" s="65">
        <f t="shared" ca="1" si="137"/>
        <v>0</v>
      </c>
      <c r="BH176" s="65">
        <f t="shared" ca="1" si="138"/>
        <v>0</v>
      </c>
      <c r="BI176" s="65">
        <f t="shared" ca="1" si="139"/>
        <v>0</v>
      </c>
      <c r="BJ176" s="65">
        <f t="shared" ca="1" si="140"/>
        <v>0</v>
      </c>
      <c r="BK176" s="65">
        <f t="shared" ca="1" si="141"/>
        <v>0</v>
      </c>
      <c r="BL176" s="65">
        <f t="shared" ca="1" si="142"/>
        <v>0</v>
      </c>
      <c r="BM176" s="65">
        <f t="shared" ca="1" si="143"/>
        <v>0</v>
      </c>
      <c r="BN176" s="65">
        <f t="shared" ca="1" si="144"/>
        <v>0</v>
      </c>
      <c r="BO176" s="65">
        <f t="shared" ca="1" si="145"/>
        <v>0</v>
      </c>
      <c r="BP176" s="65">
        <f t="shared" ca="1" si="146"/>
        <v>0</v>
      </c>
      <c r="BQ176" s="65">
        <f t="shared" ca="1" si="147"/>
        <v>0</v>
      </c>
      <c r="BR176" s="65">
        <f t="shared" ca="1" si="148"/>
        <v>0</v>
      </c>
      <c r="BS176" s="65">
        <f t="shared" ca="1" si="149"/>
        <v>0</v>
      </c>
      <c r="BT176" s="65">
        <f t="shared" ca="1" si="150"/>
        <v>0</v>
      </c>
      <c r="BU176" s="65">
        <f t="shared" ca="1" si="127"/>
        <v>0</v>
      </c>
    </row>
    <row r="177" spans="1:73">
      <c r="A177" s="42">
        <f t="shared" si="128"/>
        <v>43221</v>
      </c>
      <c r="B177" s="30">
        <f>Inputs!$B$8</f>
        <v>50000</v>
      </c>
      <c r="C177" s="17">
        <f t="shared" si="118"/>
        <v>0</v>
      </c>
      <c r="D177" s="17">
        <f t="shared" ca="1" si="119"/>
        <v>0</v>
      </c>
      <c r="E177" s="25">
        <f>VLOOKUP($A177,[1]!CurveTable,MATCH($E$4,[1]!CurveType,0))</f>
        <v>5.0369999999999999</v>
      </c>
      <c r="F177" s="31">
        <f>E177-Inputs!$B$16</f>
        <v>5.0919999999999996</v>
      </c>
      <c r="G177" s="43">
        <f t="shared" si="160"/>
        <v>5.0919999999999996</v>
      </c>
      <c r="H177" s="25">
        <f>VLOOKUP($A177,[1]!CurveTable,MATCH($H$4,[1]!CurveType,0))</f>
        <v>0.7</v>
      </c>
      <c r="I177" s="31">
        <f>H177+Inputs!$B$22</f>
        <v>0.7</v>
      </c>
      <c r="J177" s="44">
        <f t="shared" si="161"/>
        <v>0.7</v>
      </c>
      <c r="K177" s="25">
        <f>VLOOKUP($A177,[1]!CurveTable,MATCH($K$4,[1]!CurveType,0))</f>
        <v>0</v>
      </c>
      <c r="L177" s="31">
        <v>0</v>
      </c>
      <c r="M177" s="45">
        <f t="shared" si="162"/>
        <v>0</v>
      </c>
      <c r="N177" s="25">
        <f>VLOOKUP($A177,[1]!CurveTable,MATCH($N$4,[1]!CurveType,0))</f>
        <v>2.4500000000000001E-2</v>
      </c>
      <c r="O177" s="31">
        <f>N177+Inputs!$E$22</f>
        <v>2.4500000000000001E-2</v>
      </c>
      <c r="P177" s="45">
        <f t="shared" si="163"/>
        <v>2.4500000000000001E-2</v>
      </c>
      <c r="Q177" s="25">
        <f>VLOOKUP($A177,[1]!CurveTable,MATCH($Q$4,[1]!CurveType,0))</f>
        <v>0.01</v>
      </c>
      <c r="R177" s="31">
        <v>0</v>
      </c>
      <c r="S177" s="45">
        <f t="shared" si="164"/>
        <v>0</v>
      </c>
      <c r="T177" s="4"/>
      <c r="U177" s="159">
        <f t="shared" si="129"/>
        <v>5.7919999999999998</v>
      </c>
      <c r="V177" s="160"/>
      <c r="W177" s="100">
        <f>VLOOKUP($A177,[1]!CurveTable,MATCH($W$4,[1]!CurveType,0))+$W$9</f>
        <v>0.34</v>
      </c>
      <c r="X177" s="100">
        <f>VLOOKUP($A177,[1]!CurveTable,MATCH($X$4,[1]!CurveType,0))+$X$9</f>
        <v>0.34500000000000003</v>
      </c>
      <c r="Y177" s="158">
        <f t="shared" ca="1" si="120"/>
        <v>0.34632218072159809</v>
      </c>
      <c r="Z177" s="4"/>
      <c r="AA177" s="159">
        <f t="shared" si="130"/>
        <v>5.1164999999999994</v>
      </c>
      <c r="AB177" s="160"/>
      <c r="AC177" s="100">
        <f>VLOOKUP($A177,[1]!CurveTable,MATCH($AC$4,[1]!CurveType,0))+$AC$9</f>
        <v>0.17</v>
      </c>
      <c r="AD177" s="100">
        <f>VLOOKUP($A177,[1]!CurveTable,MATCH($AD$4,[1]!CurveType,0))+$AD$9</f>
        <v>0.17500000000000002</v>
      </c>
      <c r="AE177" s="158">
        <f t="shared" ca="1" si="121"/>
        <v>0.17566446425501375</v>
      </c>
      <c r="AF177" s="4"/>
      <c r="AG177" s="52">
        <f ca="1">((Inputs!$F$20*(X177*AD177)*(A177-$C$3))+(Inputs!$F$19*W177*AC177*(DAY(EOMONTH(A177,0))/2)))/(AN177*Y177*AE177)</f>
        <v>0.7499998098144256</v>
      </c>
      <c r="AH177" s="4"/>
      <c r="AI177" s="18">
        <f>Inputs!$B$15</f>
        <v>0.06</v>
      </c>
      <c r="AJ177" s="46"/>
      <c r="AK177" s="18">
        <f t="shared" si="122"/>
        <v>0.61550000000000038</v>
      </c>
      <c r="AL177" s="46"/>
      <c r="AM177" s="62">
        <f t="shared" si="123"/>
        <v>43190</v>
      </c>
      <c r="AN177" s="63">
        <f t="shared" ca="1" si="124"/>
        <v>5997</v>
      </c>
      <c r="AO177" s="63">
        <f t="shared" si="151"/>
        <v>1</v>
      </c>
      <c r="AP177" s="19"/>
      <c r="AQ177" s="74">
        <f ca="1">_xll.SPRDOPT(U177,AA177,AI177,AX177,X177,AD177,AG177,AN177,AO177,0)</f>
        <v>0.90431825616228123</v>
      </c>
      <c r="AR177" s="47">
        <f t="shared" ca="1" si="131"/>
        <v>0</v>
      </c>
      <c r="AS177" s="135">
        <f t="shared" ca="1" si="132"/>
        <v>0.28881825616228085</v>
      </c>
      <c r="AU177" s="5">
        <f t="shared" si="152"/>
        <v>31</v>
      </c>
      <c r="AV177" s="148">
        <f t="shared" si="125"/>
        <v>43235</v>
      </c>
      <c r="AW177" s="41">
        <f t="shared" ca="1" si="126"/>
        <v>6042</v>
      </c>
      <c r="AX177" s="100">
        <f>VLOOKUP($A177,[1]!CurveTable,MATCH(AX$4,[1]!CurveType,0))</f>
        <v>5.9352695669352404E-2</v>
      </c>
      <c r="AY177" s="149">
        <f ca="1">1/(1+CHOOSE(F$3,(AX178+(Inputs!$B$14/10000))/2,(AX177+(Inputs!$B$14/10000))/2))^(2*AW177/365.25)</f>
        <v>0.38001997148900563</v>
      </c>
      <c r="AZ177" s="41">
        <f t="shared" si="153"/>
        <v>0</v>
      </c>
      <c r="BA177" s="72">
        <f t="shared" si="154"/>
        <v>0</v>
      </c>
      <c r="BC177" s="65">
        <f t="shared" ca="1" si="133"/>
        <v>0</v>
      </c>
      <c r="BD177" s="65">
        <f t="shared" ca="1" si="134"/>
        <v>0</v>
      </c>
      <c r="BE177" s="65">
        <f t="shared" ca="1" si="135"/>
        <v>0</v>
      </c>
      <c r="BF177" s="65">
        <f t="shared" ca="1" si="136"/>
        <v>0</v>
      </c>
      <c r="BG177" s="65">
        <f t="shared" ca="1" si="137"/>
        <v>0</v>
      </c>
      <c r="BH177" s="65">
        <f t="shared" ca="1" si="138"/>
        <v>0</v>
      </c>
      <c r="BI177" s="65">
        <f t="shared" ca="1" si="139"/>
        <v>0</v>
      </c>
      <c r="BJ177" s="65">
        <f t="shared" ca="1" si="140"/>
        <v>0</v>
      </c>
      <c r="BK177" s="65">
        <f t="shared" ca="1" si="141"/>
        <v>0</v>
      </c>
      <c r="BL177" s="65">
        <f t="shared" ca="1" si="142"/>
        <v>0</v>
      </c>
      <c r="BM177" s="65">
        <f t="shared" ca="1" si="143"/>
        <v>0</v>
      </c>
      <c r="BN177" s="65">
        <f t="shared" ca="1" si="144"/>
        <v>0</v>
      </c>
      <c r="BO177" s="65">
        <f t="shared" ca="1" si="145"/>
        <v>0</v>
      </c>
      <c r="BP177" s="65">
        <f t="shared" ca="1" si="146"/>
        <v>0</v>
      </c>
      <c r="BQ177" s="65">
        <f t="shared" ca="1" si="147"/>
        <v>0</v>
      </c>
      <c r="BR177" s="65">
        <f t="shared" ca="1" si="148"/>
        <v>0</v>
      </c>
      <c r="BS177" s="65">
        <f t="shared" ca="1" si="149"/>
        <v>0</v>
      </c>
      <c r="BT177" s="65">
        <f t="shared" ca="1" si="150"/>
        <v>0</v>
      </c>
      <c r="BU177" s="65">
        <f t="shared" ca="1" si="127"/>
        <v>0</v>
      </c>
    </row>
    <row r="178" spans="1:73">
      <c r="A178" s="42">
        <f t="shared" si="128"/>
        <v>43252</v>
      </c>
      <c r="B178" s="30">
        <f>Inputs!$B$8</f>
        <v>50000</v>
      </c>
      <c r="C178" s="17">
        <f t="shared" si="118"/>
        <v>0</v>
      </c>
      <c r="D178" s="17">
        <f t="shared" ca="1" si="119"/>
        <v>0</v>
      </c>
      <c r="E178" s="25">
        <f>VLOOKUP($A178,[1]!CurveTable,MATCH($E$4,[1]!CurveType,0))</f>
        <v>5.0750000000000002</v>
      </c>
      <c r="F178" s="31">
        <f>E178-Inputs!$B$16</f>
        <v>5.13</v>
      </c>
      <c r="G178" s="43">
        <f t="shared" si="160"/>
        <v>5.13</v>
      </c>
      <c r="H178" s="25">
        <f>VLOOKUP($A178,[1]!CurveTable,MATCH($H$4,[1]!CurveType,0))</f>
        <v>0.8</v>
      </c>
      <c r="I178" s="31">
        <f>H178+Inputs!$B$22</f>
        <v>0.8</v>
      </c>
      <c r="J178" s="44">
        <f t="shared" si="161"/>
        <v>0.8</v>
      </c>
      <c r="K178" s="25">
        <f>VLOOKUP($A178,[1]!CurveTable,MATCH($K$4,[1]!CurveType,0))</f>
        <v>0</v>
      </c>
      <c r="L178" s="31">
        <v>0</v>
      </c>
      <c r="M178" s="45">
        <f t="shared" si="162"/>
        <v>0</v>
      </c>
      <c r="N178" s="25">
        <f>VLOOKUP($A178,[1]!CurveTable,MATCH($N$4,[1]!CurveType,0))</f>
        <v>2.2000000000000002E-2</v>
      </c>
      <c r="O178" s="31">
        <f>N178+Inputs!$E$22</f>
        <v>2.2000000000000002E-2</v>
      </c>
      <c r="P178" s="45">
        <f t="shared" si="163"/>
        <v>2.2000000000000002E-2</v>
      </c>
      <c r="Q178" s="25">
        <f>VLOOKUP($A178,[1]!CurveTable,MATCH($Q$4,[1]!CurveType,0))</f>
        <v>0.01</v>
      </c>
      <c r="R178" s="31">
        <v>0</v>
      </c>
      <c r="S178" s="45">
        <f t="shared" si="164"/>
        <v>0</v>
      </c>
      <c r="T178" s="4"/>
      <c r="U178" s="159">
        <f t="shared" si="129"/>
        <v>5.93</v>
      </c>
      <c r="V178" s="160"/>
      <c r="W178" s="100">
        <f>VLOOKUP($A178,[1]!CurveTable,MATCH($W$4,[1]!CurveType,0))+$W$9</f>
        <v>0.34</v>
      </c>
      <c r="X178" s="100">
        <f>VLOOKUP($A178,[1]!CurveTable,MATCH($X$4,[1]!CurveType,0))+$X$9</f>
        <v>0.34500000000000003</v>
      </c>
      <c r="Y178" s="158">
        <f t="shared" ca="1" si="120"/>
        <v>0.34633027809180339</v>
      </c>
      <c r="Z178" s="4"/>
      <c r="AA178" s="159">
        <f t="shared" si="130"/>
        <v>5.1520000000000001</v>
      </c>
      <c r="AB178" s="160"/>
      <c r="AC178" s="100">
        <f>VLOOKUP($A178,[1]!CurveTable,MATCH($AC$4,[1]!CurveType,0))+$AC$9</f>
        <v>0.17</v>
      </c>
      <c r="AD178" s="100">
        <f>VLOOKUP($A178,[1]!CurveTable,MATCH($AD$4,[1]!CurveType,0))+$AD$9</f>
        <v>0.17500000000000002</v>
      </c>
      <c r="AE178" s="158">
        <f t="shared" ca="1" si="121"/>
        <v>0.17566880189016057</v>
      </c>
      <c r="AF178" s="4"/>
      <c r="AG178" s="52">
        <f ca="1">((Inputs!$F$20*(X178*AD178)*(A178-$C$3))+(Inputs!$F$19*W178*AC178*(DAY(EOMONTH(A178,0))/2)))/(AN178*Y178*AE178)</f>
        <v>0.74999981685764316</v>
      </c>
      <c r="AH178" s="4"/>
      <c r="AI178" s="18">
        <f>Inputs!$B$15</f>
        <v>0.06</v>
      </c>
      <c r="AJ178" s="46"/>
      <c r="AK178" s="18">
        <f t="shared" si="122"/>
        <v>0.71799999999999953</v>
      </c>
      <c r="AL178" s="46"/>
      <c r="AM178" s="62">
        <f t="shared" si="123"/>
        <v>43220</v>
      </c>
      <c r="AN178" s="63">
        <f t="shared" ca="1" si="124"/>
        <v>6027</v>
      </c>
      <c r="AO178" s="63">
        <f t="shared" si="151"/>
        <v>1</v>
      </c>
      <c r="AP178" s="19"/>
      <c r="AQ178" s="74">
        <f ca="1">_xll.SPRDOPT(U178,AA178,AI178,AX178,X178,AD178,AG178,AN178,AO178,0)</f>
        <v>0.93396989470264313</v>
      </c>
      <c r="AR178" s="47">
        <f t="shared" ca="1" si="131"/>
        <v>0</v>
      </c>
      <c r="AS178" s="135">
        <f t="shared" ca="1" si="132"/>
        <v>0.21596989470264361</v>
      </c>
      <c r="AU178" s="5">
        <f t="shared" si="152"/>
        <v>30</v>
      </c>
      <c r="AV178" s="148">
        <f t="shared" si="125"/>
        <v>43266</v>
      </c>
      <c r="AW178" s="41">
        <f t="shared" ca="1" si="126"/>
        <v>6073</v>
      </c>
      <c r="AX178" s="100">
        <f>VLOOKUP($A178,[1]!CurveTable,MATCH(AX$4,[1]!CurveType,0))</f>
        <v>5.94109084547969E-2</v>
      </c>
      <c r="AY178" s="149">
        <f ca="1">1/(1+CHOOSE(F$3,(AX179+(Inputs!$B$14/10000))/2,(AX178+(Inputs!$B$14/10000))/2))^(2*AW178/365.25)</f>
        <v>0.37778288472162247</v>
      </c>
      <c r="AZ178" s="41">
        <f t="shared" si="153"/>
        <v>0</v>
      </c>
      <c r="BA178" s="72">
        <f t="shared" si="154"/>
        <v>0</v>
      </c>
      <c r="BC178" s="65">
        <f t="shared" ca="1" si="133"/>
        <v>0</v>
      </c>
      <c r="BD178" s="65">
        <f t="shared" ca="1" si="134"/>
        <v>0</v>
      </c>
      <c r="BE178" s="65">
        <f t="shared" ca="1" si="135"/>
        <v>0</v>
      </c>
      <c r="BF178" s="65">
        <f t="shared" ca="1" si="136"/>
        <v>0</v>
      </c>
      <c r="BG178" s="65">
        <f t="shared" ca="1" si="137"/>
        <v>0</v>
      </c>
      <c r="BH178" s="65">
        <f t="shared" ca="1" si="138"/>
        <v>0</v>
      </c>
      <c r="BI178" s="65">
        <f t="shared" ca="1" si="139"/>
        <v>0</v>
      </c>
      <c r="BJ178" s="65">
        <f t="shared" ca="1" si="140"/>
        <v>0</v>
      </c>
      <c r="BK178" s="65">
        <f t="shared" ca="1" si="141"/>
        <v>0</v>
      </c>
      <c r="BL178" s="65">
        <f t="shared" ca="1" si="142"/>
        <v>0</v>
      </c>
      <c r="BM178" s="65">
        <f t="shared" ca="1" si="143"/>
        <v>0</v>
      </c>
      <c r="BN178" s="65">
        <f t="shared" ca="1" si="144"/>
        <v>0</v>
      </c>
      <c r="BO178" s="65">
        <f t="shared" ca="1" si="145"/>
        <v>0</v>
      </c>
      <c r="BP178" s="65">
        <f t="shared" ca="1" si="146"/>
        <v>0</v>
      </c>
      <c r="BQ178" s="65">
        <f t="shared" ca="1" si="147"/>
        <v>0</v>
      </c>
      <c r="BR178" s="65">
        <f t="shared" ca="1" si="148"/>
        <v>0</v>
      </c>
      <c r="BS178" s="65">
        <f t="shared" ca="1" si="149"/>
        <v>0</v>
      </c>
      <c r="BT178" s="65">
        <f t="shared" ca="1" si="150"/>
        <v>0</v>
      </c>
      <c r="BU178" s="65">
        <f t="shared" ca="1" si="127"/>
        <v>0</v>
      </c>
    </row>
    <row r="179" spans="1:73">
      <c r="A179" s="42">
        <f t="shared" si="128"/>
        <v>43282</v>
      </c>
      <c r="B179" s="30">
        <f>Inputs!$B$8</f>
        <v>50000</v>
      </c>
      <c r="C179" s="17">
        <f t="shared" si="118"/>
        <v>0</v>
      </c>
      <c r="D179" s="17">
        <f t="shared" ca="1" si="119"/>
        <v>0</v>
      </c>
      <c r="E179" s="25">
        <f>VLOOKUP($A179,[1]!CurveTable,MATCH($E$4,[1]!CurveType,0))</f>
        <v>5.12</v>
      </c>
      <c r="F179" s="31">
        <f>E179-Inputs!$B$16</f>
        <v>5.1749999999999998</v>
      </c>
      <c r="G179" s="43">
        <f t="shared" si="160"/>
        <v>5.1749999999999998</v>
      </c>
      <c r="H179" s="25">
        <f>VLOOKUP($A179,[1]!CurveTable,MATCH($H$4,[1]!CurveType,0))</f>
        <v>1</v>
      </c>
      <c r="I179" s="31">
        <f>H179+Inputs!$B$22</f>
        <v>1</v>
      </c>
      <c r="J179" s="44">
        <f t="shared" si="161"/>
        <v>1</v>
      </c>
      <c r="K179" s="25">
        <f>VLOOKUP($A179,[1]!CurveTable,MATCH($K$4,[1]!CurveType,0))</f>
        <v>0</v>
      </c>
      <c r="L179" s="31">
        <v>0</v>
      </c>
      <c r="M179" s="45">
        <f t="shared" si="162"/>
        <v>0</v>
      </c>
      <c r="N179" s="25">
        <f>VLOOKUP($A179,[1]!CurveTable,MATCH($N$4,[1]!CurveType,0))</f>
        <v>1.95E-2</v>
      </c>
      <c r="O179" s="31">
        <f>N179+Inputs!$E$22</f>
        <v>1.95E-2</v>
      </c>
      <c r="P179" s="45">
        <f t="shared" si="163"/>
        <v>1.95E-2</v>
      </c>
      <c r="Q179" s="25">
        <f>VLOOKUP($A179,[1]!CurveTable,MATCH($Q$4,[1]!CurveType,0))</f>
        <v>0.01</v>
      </c>
      <c r="R179" s="31">
        <v>0</v>
      </c>
      <c r="S179" s="45">
        <f t="shared" si="164"/>
        <v>0</v>
      </c>
      <c r="T179" s="4"/>
      <c r="U179" s="159">
        <f t="shared" si="129"/>
        <v>6.1749999999999998</v>
      </c>
      <c r="V179" s="160"/>
      <c r="W179" s="100">
        <f>VLOOKUP($A179,[1]!CurveTable,MATCH($W$4,[1]!CurveType,0))+$W$9</f>
        <v>0.34</v>
      </c>
      <c r="X179" s="100">
        <f>VLOOKUP($A179,[1]!CurveTable,MATCH($X$4,[1]!CurveType,0))+$X$9</f>
        <v>0.34500000000000003</v>
      </c>
      <c r="Y179" s="158">
        <f t="shared" ca="1" si="120"/>
        <v>0.34630889240684082</v>
      </c>
      <c r="Z179" s="4"/>
      <c r="AA179" s="159">
        <f t="shared" si="130"/>
        <v>5.1944999999999997</v>
      </c>
      <c r="AB179" s="160"/>
      <c r="AC179" s="100">
        <f>VLOOKUP($A179,[1]!CurveTable,MATCH($AC$4,[1]!CurveType,0))+$AC$9</f>
        <v>0.17</v>
      </c>
      <c r="AD179" s="100">
        <f>VLOOKUP($A179,[1]!CurveTable,MATCH($AD$4,[1]!CurveType,0))+$AD$9</f>
        <v>0.17500000000000002</v>
      </c>
      <c r="AE179" s="158">
        <f t="shared" ca="1" si="121"/>
        <v>0.17565778607240096</v>
      </c>
      <c r="AF179" s="4"/>
      <c r="AG179" s="52">
        <f ca="1">((Inputs!$F$20*(X179*AD179)*(A179-$C$3))+(Inputs!$F$19*W179*AC179*(DAY(EOMONTH(A179,0))/2)))/(AN179*Y179*AE179)</f>
        <v>0.74999981171045249</v>
      </c>
      <c r="AH179" s="4"/>
      <c r="AI179" s="18">
        <f>Inputs!$B$15</f>
        <v>0.06</v>
      </c>
      <c r="AJ179" s="46"/>
      <c r="AK179" s="18">
        <f t="shared" si="122"/>
        <v>0.9205000000000001</v>
      </c>
      <c r="AL179" s="46"/>
      <c r="AM179" s="62">
        <f t="shared" si="123"/>
        <v>43251</v>
      </c>
      <c r="AN179" s="63">
        <f t="shared" ca="1" si="124"/>
        <v>6058</v>
      </c>
      <c r="AO179" s="63">
        <f t="shared" si="151"/>
        <v>1</v>
      </c>
      <c r="AP179" s="19"/>
      <c r="AQ179" s="74">
        <f ca="1">_xll.SPRDOPT(U179,AA179,AI179,AX179,X179,AD179,AG179,AN179,AO179,0)</f>
        <v>0.9920806974925771</v>
      </c>
      <c r="AR179" s="47">
        <f t="shared" ca="1" si="131"/>
        <v>0</v>
      </c>
      <c r="AS179" s="135">
        <f t="shared" ca="1" si="132"/>
        <v>7.1580697492577006E-2</v>
      </c>
      <c r="AU179" s="5">
        <f t="shared" si="152"/>
        <v>31</v>
      </c>
      <c r="AV179" s="148">
        <f t="shared" si="125"/>
        <v>43296</v>
      </c>
      <c r="AW179" s="41">
        <f t="shared" ca="1" si="126"/>
        <v>6103</v>
      </c>
      <c r="AX179" s="100">
        <f>VLOOKUP($A179,[1]!CurveTable,MATCH(AX$4,[1]!CurveType,0))</f>
        <v>5.9467243409525604E-2</v>
      </c>
      <c r="AY179" s="149">
        <f ca="1">1/(1+CHOOSE(F$3,(AX180+(Inputs!$B$14/10000))/2,(AX179+(Inputs!$B$14/10000))/2))^(2*AW179/365.25)</f>
        <v>0.37562707903355114</v>
      </c>
      <c r="AZ179" s="41">
        <f t="shared" si="153"/>
        <v>0</v>
      </c>
      <c r="BA179" s="72">
        <f t="shared" si="154"/>
        <v>0</v>
      </c>
      <c r="BC179" s="65">
        <f t="shared" ca="1" si="133"/>
        <v>0</v>
      </c>
      <c r="BD179" s="65">
        <f t="shared" ca="1" si="134"/>
        <v>0</v>
      </c>
      <c r="BE179" s="65">
        <f t="shared" ca="1" si="135"/>
        <v>0</v>
      </c>
      <c r="BF179" s="65">
        <f t="shared" ca="1" si="136"/>
        <v>0</v>
      </c>
      <c r="BG179" s="65">
        <f t="shared" ca="1" si="137"/>
        <v>0</v>
      </c>
      <c r="BH179" s="65">
        <f t="shared" ca="1" si="138"/>
        <v>0</v>
      </c>
      <c r="BI179" s="65">
        <f t="shared" ca="1" si="139"/>
        <v>0</v>
      </c>
      <c r="BJ179" s="65">
        <f t="shared" ca="1" si="140"/>
        <v>0</v>
      </c>
      <c r="BK179" s="65">
        <f t="shared" ca="1" si="141"/>
        <v>0</v>
      </c>
      <c r="BL179" s="65">
        <f t="shared" ca="1" si="142"/>
        <v>0</v>
      </c>
      <c r="BM179" s="65">
        <f t="shared" ca="1" si="143"/>
        <v>0</v>
      </c>
      <c r="BN179" s="65">
        <f t="shared" ca="1" si="144"/>
        <v>0</v>
      </c>
      <c r="BO179" s="65">
        <f t="shared" ca="1" si="145"/>
        <v>0</v>
      </c>
      <c r="BP179" s="65">
        <f t="shared" ca="1" si="146"/>
        <v>0</v>
      </c>
      <c r="BQ179" s="65">
        <f t="shared" ca="1" si="147"/>
        <v>0</v>
      </c>
      <c r="BR179" s="65">
        <f t="shared" ca="1" si="148"/>
        <v>0</v>
      </c>
      <c r="BS179" s="65">
        <f t="shared" ca="1" si="149"/>
        <v>0</v>
      </c>
      <c r="BT179" s="65">
        <f t="shared" ca="1" si="150"/>
        <v>0</v>
      </c>
      <c r="BU179" s="65">
        <f t="shared" ca="1" si="127"/>
        <v>0</v>
      </c>
    </row>
    <row r="180" spans="1:73">
      <c r="A180" s="42">
        <f t="shared" si="128"/>
        <v>43313</v>
      </c>
      <c r="B180" s="30">
        <f>Inputs!$B$8</f>
        <v>50000</v>
      </c>
      <c r="C180" s="17">
        <f t="shared" si="118"/>
        <v>0</v>
      </c>
      <c r="D180" s="17">
        <f t="shared" ca="1" si="119"/>
        <v>0</v>
      </c>
      <c r="E180" s="25">
        <f>VLOOKUP($A180,[1]!CurveTable,MATCH($E$4,[1]!CurveType,0))</f>
        <v>5.1580000000000004</v>
      </c>
      <c r="F180" s="31">
        <f>E180-Inputs!$B$16</f>
        <v>5.2130000000000001</v>
      </c>
      <c r="G180" s="43">
        <f t="shared" si="160"/>
        <v>5.2130000000000001</v>
      </c>
      <c r="H180" s="25">
        <f>VLOOKUP($A180,[1]!CurveTable,MATCH($H$4,[1]!CurveType,0))</f>
        <v>1</v>
      </c>
      <c r="I180" s="31">
        <f>H180+Inputs!$B$22</f>
        <v>1</v>
      </c>
      <c r="J180" s="44">
        <f t="shared" si="161"/>
        <v>1</v>
      </c>
      <c r="K180" s="25">
        <f>VLOOKUP($A180,[1]!CurveTable,MATCH($K$4,[1]!CurveType,0))</f>
        <v>0</v>
      </c>
      <c r="L180" s="31">
        <v>0</v>
      </c>
      <c r="M180" s="45">
        <f t="shared" si="162"/>
        <v>0</v>
      </c>
      <c r="N180" s="25">
        <f>VLOOKUP($A180,[1]!CurveTable,MATCH($N$4,[1]!CurveType,0))</f>
        <v>1.95E-2</v>
      </c>
      <c r="O180" s="31">
        <f>N180+Inputs!$E$22</f>
        <v>1.95E-2</v>
      </c>
      <c r="P180" s="45">
        <f t="shared" si="163"/>
        <v>1.95E-2</v>
      </c>
      <c r="Q180" s="25">
        <f>VLOOKUP($A180,[1]!CurveTable,MATCH($Q$4,[1]!CurveType,0))</f>
        <v>0.01</v>
      </c>
      <c r="R180" s="31">
        <v>0</v>
      </c>
      <c r="S180" s="45">
        <f t="shared" si="164"/>
        <v>0</v>
      </c>
      <c r="T180" s="4"/>
      <c r="U180" s="159">
        <f t="shared" si="129"/>
        <v>6.2130000000000001</v>
      </c>
      <c r="V180" s="160"/>
      <c r="W180" s="100">
        <f>VLOOKUP($A180,[1]!CurveTable,MATCH($W$4,[1]!CurveType,0))+$W$9</f>
        <v>0.34</v>
      </c>
      <c r="X180" s="100">
        <f>VLOOKUP($A180,[1]!CurveTable,MATCH($X$4,[1]!CurveType,0))+$X$9</f>
        <v>0.34500000000000003</v>
      </c>
      <c r="Y180" s="158">
        <f t="shared" ca="1" si="120"/>
        <v>0.34633068138309647</v>
      </c>
      <c r="Z180" s="4"/>
      <c r="AA180" s="159">
        <f t="shared" si="130"/>
        <v>5.2324999999999999</v>
      </c>
      <c r="AB180" s="160"/>
      <c r="AC180" s="100">
        <f>VLOOKUP($A180,[1]!CurveTable,MATCH($AC$4,[1]!CurveType,0))+$AC$9</f>
        <v>0.17</v>
      </c>
      <c r="AD180" s="100">
        <f>VLOOKUP($A180,[1]!CurveTable,MATCH($AD$4,[1]!CurveType,0))+$AD$9</f>
        <v>0.17500000000000002</v>
      </c>
      <c r="AE180" s="158">
        <f t="shared" ca="1" si="121"/>
        <v>0.17566886911707646</v>
      </c>
      <c r="AF180" s="4"/>
      <c r="AG180" s="52">
        <f ca="1">((Inputs!$F$20*(X180*AD180)*(A180-$C$3))+(Inputs!$F$19*W180*AC180*(DAY(EOMONTH(A180,0))/2)))/(AN180*Y180*AE180)</f>
        <v>0.74999981265959248</v>
      </c>
      <c r="AH180" s="4"/>
      <c r="AI180" s="18">
        <f>Inputs!$B$15</f>
        <v>0.06</v>
      </c>
      <c r="AJ180" s="46"/>
      <c r="AK180" s="18">
        <f t="shared" si="122"/>
        <v>0.9205000000000001</v>
      </c>
      <c r="AL180" s="46"/>
      <c r="AM180" s="62">
        <f t="shared" si="123"/>
        <v>43281</v>
      </c>
      <c r="AN180" s="63">
        <f t="shared" ca="1" si="124"/>
        <v>6088</v>
      </c>
      <c r="AO180" s="63">
        <f t="shared" si="151"/>
        <v>1</v>
      </c>
      <c r="AP180" s="19"/>
      <c r="AQ180" s="74">
        <f ca="1">_xll.SPRDOPT(U180,AA180,AI180,AX180,X180,AD180,AG180,AN180,AO180,0)</f>
        <v>0.99338470737686613</v>
      </c>
      <c r="AR180" s="47">
        <f t="shared" ca="1" si="131"/>
        <v>0</v>
      </c>
      <c r="AS180" s="135">
        <f t="shared" ca="1" si="132"/>
        <v>7.2884707376866031E-2</v>
      </c>
      <c r="AU180" s="5">
        <f t="shared" si="152"/>
        <v>31</v>
      </c>
      <c r="AV180" s="148">
        <f t="shared" si="125"/>
        <v>43327</v>
      </c>
      <c r="AW180" s="41">
        <f t="shared" ca="1" si="126"/>
        <v>6134</v>
      </c>
      <c r="AX180" s="100">
        <f>VLOOKUP($A180,[1]!CurveTable,MATCH(AX$4,[1]!CurveType,0))</f>
        <v>5.9525456197186501E-2</v>
      </c>
      <c r="AY180" s="149">
        <f ca="1">1/(1+CHOOSE(F$3,(AX181+(Inputs!$B$14/10000))/2,(AX180+(Inputs!$B$14/10000))/2))^(2*AW180/365.25)</f>
        <v>0.37340882061838537</v>
      </c>
      <c r="AZ180" s="41">
        <f t="shared" si="153"/>
        <v>0</v>
      </c>
      <c r="BA180" s="72">
        <f t="shared" si="154"/>
        <v>0</v>
      </c>
      <c r="BC180" s="65">
        <f t="shared" ca="1" si="133"/>
        <v>0</v>
      </c>
      <c r="BD180" s="65">
        <f t="shared" ca="1" si="134"/>
        <v>0</v>
      </c>
      <c r="BE180" s="65">
        <f t="shared" ca="1" si="135"/>
        <v>0</v>
      </c>
      <c r="BF180" s="65">
        <f t="shared" ca="1" si="136"/>
        <v>0</v>
      </c>
      <c r="BG180" s="65">
        <f t="shared" ca="1" si="137"/>
        <v>0</v>
      </c>
      <c r="BH180" s="65">
        <f t="shared" ca="1" si="138"/>
        <v>0</v>
      </c>
      <c r="BI180" s="65">
        <f t="shared" ca="1" si="139"/>
        <v>0</v>
      </c>
      <c r="BJ180" s="65">
        <f t="shared" ca="1" si="140"/>
        <v>0</v>
      </c>
      <c r="BK180" s="65">
        <f t="shared" ca="1" si="141"/>
        <v>0</v>
      </c>
      <c r="BL180" s="65">
        <f t="shared" ca="1" si="142"/>
        <v>0</v>
      </c>
      <c r="BM180" s="65">
        <f t="shared" ca="1" si="143"/>
        <v>0</v>
      </c>
      <c r="BN180" s="65">
        <f t="shared" ca="1" si="144"/>
        <v>0</v>
      </c>
      <c r="BO180" s="65">
        <f t="shared" ca="1" si="145"/>
        <v>0</v>
      </c>
      <c r="BP180" s="65">
        <f t="shared" ca="1" si="146"/>
        <v>0</v>
      </c>
      <c r="BQ180" s="65">
        <f t="shared" ca="1" si="147"/>
        <v>0</v>
      </c>
      <c r="BR180" s="65">
        <f t="shared" ca="1" si="148"/>
        <v>0</v>
      </c>
      <c r="BS180" s="65">
        <f t="shared" ca="1" si="149"/>
        <v>0</v>
      </c>
      <c r="BT180" s="65">
        <f t="shared" ca="1" si="150"/>
        <v>0</v>
      </c>
      <c r="BU180" s="65">
        <f t="shared" ca="1" si="127"/>
        <v>0</v>
      </c>
    </row>
    <row r="181" spans="1:73">
      <c r="A181" s="42">
        <f t="shared" si="128"/>
        <v>43344</v>
      </c>
      <c r="B181" s="30">
        <f>Inputs!$B$8</f>
        <v>50000</v>
      </c>
      <c r="C181" s="17">
        <f t="shared" si="118"/>
        <v>0</v>
      </c>
      <c r="D181" s="17">
        <f t="shared" ca="1" si="119"/>
        <v>0</v>
      </c>
      <c r="E181" s="25">
        <f>VLOOKUP($A181,[1]!CurveTable,MATCH($E$4,[1]!CurveType,0))</f>
        <v>5.1520000000000001</v>
      </c>
      <c r="F181" s="31">
        <f>E181-Inputs!$B$16</f>
        <v>5.2069999999999999</v>
      </c>
      <c r="G181" s="43">
        <f t="shared" si="160"/>
        <v>5.2069999999999999</v>
      </c>
      <c r="H181" s="25">
        <f>VLOOKUP($A181,[1]!CurveTable,MATCH($H$4,[1]!CurveType,0))</f>
        <v>0.6</v>
      </c>
      <c r="I181" s="31">
        <f>H181+Inputs!$B$22</f>
        <v>0.6</v>
      </c>
      <c r="J181" s="44">
        <f t="shared" si="161"/>
        <v>0.6</v>
      </c>
      <c r="K181" s="25">
        <f>VLOOKUP($A181,[1]!CurveTable,MATCH($K$4,[1]!CurveType,0))</f>
        <v>0</v>
      </c>
      <c r="L181" s="31">
        <v>0</v>
      </c>
      <c r="M181" s="45">
        <f t="shared" si="162"/>
        <v>0</v>
      </c>
      <c r="N181" s="25">
        <f>VLOOKUP($A181,[1]!CurveTable,MATCH($N$4,[1]!CurveType,0))</f>
        <v>1.95E-2</v>
      </c>
      <c r="O181" s="31">
        <f>N181+Inputs!$E$22</f>
        <v>1.95E-2</v>
      </c>
      <c r="P181" s="45">
        <f t="shared" si="163"/>
        <v>1.95E-2</v>
      </c>
      <c r="Q181" s="25">
        <f>VLOOKUP($A181,[1]!CurveTable,MATCH($Q$4,[1]!CurveType,0))</f>
        <v>0.01</v>
      </c>
      <c r="R181" s="31">
        <v>0</v>
      </c>
      <c r="S181" s="45">
        <f t="shared" si="164"/>
        <v>0</v>
      </c>
      <c r="T181" s="4"/>
      <c r="U181" s="159">
        <f t="shared" si="129"/>
        <v>5.8069999999999995</v>
      </c>
      <c r="V181" s="160"/>
      <c r="W181" s="100">
        <f>VLOOKUP($A181,[1]!CurveTable,MATCH($W$4,[1]!CurveType,0))+$W$9</f>
        <v>0.34</v>
      </c>
      <c r="X181" s="100">
        <f>VLOOKUP($A181,[1]!CurveTable,MATCH($X$4,[1]!CurveType,0))+$X$9</f>
        <v>0.34500000000000003</v>
      </c>
      <c r="Y181" s="158">
        <f t="shared" ca="1" si="120"/>
        <v>0.34631031501624115</v>
      </c>
      <c r="Z181" s="4"/>
      <c r="AA181" s="159">
        <f t="shared" si="130"/>
        <v>5.2264999999999997</v>
      </c>
      <c r="AB181" s="160"/>
      <c r="AC181" s="100">
        <f>VLOOKUP($A181,[1]!CurveTable,MATCH($AC$4,[1]!CurveType,0))+$AC$9</f>
        <v>0.17</v>
      </c>
      <c r="AD181" s="100">
        <f>VLOOKUP($A181,[1]!CurveTable,MATCH($AD$4,[1]!CurveType,0))+$AD$9</f>
        <v>0.17500000000000002</v>
      </c>
      <c r="AE181" s="158">
        <f t="shared" ca="1" si="121"/>
        <v>0.17565876521733656</v>
      </c>
      <c r="AF181" s="4"/>
      <c r="AG181" s="52">
        <f ca="1">((Inputs!$F$20*(X181*AD181)*(A181-$C$3))+(Inputs!$F$19*W181*AC181*(DAY(EOMONTH(A181,0))/2)))/(AN181*Y181*AE181)</f>
        <v>0.74999981958412654</v>
      </c>
      <c r="AH181" s="4"/>
      <c r="AI181" s="18">
        <f>Inputs!$B$15</f>
        <v>0.06</v>
      </c>
      <c r="AJ181" s="46"/>
      <c r="AK181" s="18">
        <f t="shared" si="122"/>
        <v>0.52049999999999974</v>
      </c>
      <c r="AL181" s="46"/>
      <c r="AM181" s="62">
        <f t="shared" si="123"/>
        <v>43312</v>
      </c>
      <c r="AN181" s="63">
        <f t="shared" ca="1" si="124"/>
        <v>6119</v>
      </c>
      <c r="AO181" s="63">
        <f t="shared" si="151"/>
        <v>1</v>
      </c>
      <c r="AP181" s="19"/>
      <c r="AQ181" s="74">
        <f ca="1">_xll.SPRDOPT(U181,AA181,AI181,AX181,X181,AD181,AG181,AN181,AO181,0)</f>
        <v>0.88014344570016045</v>
      </c>
      <c r="AR181" s="47">
        <f t="shared" ca="1" si="131"/>
        <v>0</v>
      </c>
      <c r="AS181" s="135">
        <f t="shared" ca="1" si="132"/>
        <v>0.35964344570016071</v>
      </c>
      <c r="AU181" s="5">
        <f t="shared" si="152"/>
        <v>30</v>
      </c>
      <c r="AV181" s="148">
        <f t="shared" si="125"/>
        <v>43358</v>
      </c>
      <c r="AW181" s="41">
        <f t="shared" ca="1" si="126"/>
        <v>6165</v>
      </c>
      <c r="AX181" s="100">
        <f>VLOOKUP($A181,[1]!CurveTable,MATCH(AX$4,[1]!CurveType,0))</f>
        <v>5.9583668985973198E-2</v>
      </c>
      <c r="AY181" s="149">
        <f ca="1">1/(1+CHOOSE(F$3,(AX182+(Inputs!$B$14/10000))/2,(AX181+(Inputs!$B$14/10000))/2))^(2*AW181/365.25)</f>
        <v>0.37120011004776737</v>
      </c>
      <c r="AZ181" s="41">
        <f t="shared" si="153"/>
        <v>0</v>
      </c>
      <c r="BA181" s="72">
        <f t="shared" si="154"/>
        <v>0</v>
      </c>
      <c r="BC181" s="65">
        <f t="shared" ca="1" si="133"/>
        <v>0</v>
      </c>
      <c r="BD181" s="65">
        <f t="shared" ca="1" si="134"/>
        <v>0</v>
      </c>
      <c r="BE181" s="65">
        <f t="shared" ca="1" si="135"/>
        <v>0</v>
      </c>
      <c r="BF181" s="65">
        <f t="shared" ca="1" si="136"/>
        <v>0</v>
      </c>
      <c r="BG181" s="65">
        <f t="shared" ca="1" si="137"/>
        <v>0</v>
      </c>
      <c r="BH181" s="65">
        <f t="shared" ca="1" si="138"/>
        <v>0</v>
      </c>
      <c r="BI181" s="65">
        <f t="shared" ca="1" si="139"/>
        <v>0</v>
      </c>
      <c r="BJ181" s="65">
        <f t="shared" ca="1" si="140"/>
        <v>0</v>
      </c>
      <c r="BK181" s="65">
        <f t="shared" ca="1" si="141"/>
        <v>0</v>
      </c>
      <c r="BL181" s="65">
        <f t="shared" ca="1" si="142"/>
        <v>0</v>
      </c>
      <c r="BM181" s="65">
        <f t="shared" ca="1" si="143"/>
        <v>0</v>
      </c>
      <c r="BN181" s="65">
        <f t="shared" ca="1" si="144"/>
        <v>0</v>
      </c>
      <c r="BO181" s="65">
        <f t="shared" ca="1" si="145"/>
        <v>0</v>
      </c>
      <c r="BP181" s="65">
        <f t="shared" ca="1" si="146"/>
        <v>0</v>
      </c>
      <c r="BQ181" s="65">
        <f t="shared" ca="1" si="147"/>
        <v>0</v>
      </c>
      <c r="BR181" s="65">
        <f t="shared" ca="1" si="148"/>
        <v>0</v>
      </c>
      <c r="BS181" s="65">
        <f t="shared" ca="1" si="149"/>
        <v>0</v>
      </c>
      <c r="BT181" s="65">
        <f t="shared" ca="1" si="150"/>
        <v>0</v>
      </c>
      <c r="BU181" s="65">
        <f t="shared" ca="1" si="127"/>
        <v>0</v>
      </c>
    </row>
    <row r="182" spans="1:73">
      <c r="A182" s="42">
        <f t="shared" si="128"/>
        <v>43374</v>
      </c>
      <c r="B182" s="30">
        <f>Inputs!$B$8</f>
        <v>50000</v>
      </c>
      <c r="C182" s="17">
        <f t="shared" si="118"/>
        <v>0</v>
      </c>
      <c r="D182" s="17">
        <f t="shared" ca="1" si="119"/>
        <v>0</v>
      </c>
      <c r="E182" s="25">
        <f>VLOOKUP($A182,[1]!CurveTable,MATCH($E$4,[1]!CurveType,0))</f>
        <v>5.1520000000000001</v>
      </c>
      <c r="F182" s="31">
        <f>E182-Inputs!$B$16</f>
        <v>5.2069999999999999</v>
      </c>
      <c r="G182" s="43">
        <f t="shared" si="160"/>
        <v>5.2069999999999999</v>
      </c>
      <c r="H182" s="25">
        <f>VLOOKUP($A182,[1]!CurveTable,MATCH($H$4,[1]!CurveType,0))</f>
        <v>0.3</v>
      </c>
      <c r="I182" s="31">
        <f>H182+Inputs!$B$22</f>
        <v>0.3</v>
      </c>
      <c r="J182" s="44">
        <f t="shared" si="161"/>
        <v>0.3</v>
      </c>
      <c r="K182" s="25">
        <f>VLOOKUP($A182,[1]!CurveTable,MATCH($K$4,[1]!CurveType,0))</f>
        <v>0</v>
      </c>
      <c r="L182" s="31">
        <v>0</v>
      </c>
      <c r="M182" s="45">
        <f t="shared" si="162"/>
        <v>0</v>
      </c>
      <c r="N182" s="25">
        <f>VLOOKUP($A182,[1]!CurveTable,MATCH($N$4,[1]!CurveType,0))</f>
        <v>1.8000000000000002E-2</v>
      </c>
      <c r="O182" s="31">
        <f>N182+Inputs!$E$22</f>
        <v>1.8000000000000002E-2</v>
      </c>
      <c r="P182" s="45">
        <f t="shared" si="163"/>
        <v>1.8000000000000002E-2</v>
      </c>
      <c r="Q182" s="25">
        <f>VLOOKUP($A182,[1]!CurveTable,MATCH($Q$4,[1]!CurveType,0))</f>
        <v>0.01</v>
      </c>
      <c r="R182" s="31">
        <v>0</v>
      </c>
      <c r="S182" s="45">
        <f t="shared" si="164"/>
        <v>0</v>
      </c>
      <c r="T182" s="4"/>
      <c r="U182" s="159">
        <f t="shared" si="129"/>
        <v>5.5069999999999997</v>
      </c>
      <c r="V182" s="160"/>
      <c r="W182" s="100">
        <f>VLOOKUP($A182,[1]!CurveTable,MATCH($W$4,[1]!CurveType,0))+$W$9</f>
        <v>0.17</v>
      </c>
      <c r="X182" s="100">
        <f>VLOOKUP($A182,[1]!CurveTable,MATCH($X$4,[1]!CurveType,0))+$X$9</f>
        <v>0.17500000000000002</v>
      </c>
      <c r="Y182" s="158">
        <f t="shared" ca="1" si="120"/>
        <v>0.17564796417002154</v>
      </c>
      <c r="Z182" s="4"/>
      <c r="AA182" s="159">
        <f t="shared" si="130"/>
        <v>5.2249999999999996</v>
      </c>
      <c r="AB182" s="160"/>
      <c r="AC182" s="100">
        <f>VLOOKUP($A182,[1]!CurveTable,MATCH($AC$4,[1]!CurveType,0))+$AC$9</f>
        <v>0.17</v>
      </c>
      <c r="AD182" s="100">
        <f>VLOOKUP($A182,[1]!CurveTable,MATCH($AD$4,[1]!CurveType,0))+$AD$9</f>
        <v>0.17500000000000002</v>
      </c>
      <c r="AE182" s="158">
        <f t="shared" ca="1" si="121"/>
        <v>0.17564796417002154</v>
      </c>
      <c r="AF182" s="4"/>
      <c r="AG182" s="52">
        <f ca="1">((Inputs!$F$20*(X182*AD182)*(A182-$C$3))+(Inputs!$F$19*W182*AC182*(DAY(EOMONTH(A182,0))/2)))/(AN182*Y182*AE182)</f>
        <v>0.75000000000000011</v>
      </c>
      <c r="AH182" s="4"/>
      <c r="AI182" s="18">
        <f>Inputs!$B$15</f>
        <v>0.06</v>
      </c>
      <c r="AJ182" s="46"/>
      <c r="AK182" s="18">
        <f t="shared" si="122"/>
        <v>0.22200000000000003</v>
      </c>
      <c r="AL182" s="46"/>
      <c r="AM182" s="62">
        <f t="shared" si="123"/>
        <v>43343</v>
      </c>
      <c r="AN182" s="63">
        <f t="shared" ca="1" si="124"/>
        <v>6150</v>
      </c>
      <c r="AO182" s="63">
        <f t="shared" si="151"/>
        <v>1</v>
      </c>
      <c r="AP182" s="19"/>
      <c r="AQ182" s="74">
        <f ca="1">_xll.SPRDOPT(U182,AA182,AI182,AX182,X182,AD182,AG182,AN182,AO182,0)</f>
        <v>0.43594379159985591</v>
      </c>
      <c r="AR182" s="47">
        <f t="shared" ca="1" si="131"/>
        <v>0</v>
      </c>
      <c r="AS182" s="135">
        <f t="shared" ca="1" si="132"/>
        <v>0.21394379159985588</v>
      </c>
      <c r="AU182" s="5">
        <f t="shared" si="152"/>
        <v>31</v>
      </c>
      <c r="AV182" s="148">
        <f t="shared" si="125"/>
        <v>43388</v>
      </c>
      <c r="AW182" s="41">
        <f t="shared" ca="1" si="126"/>
        <v>6195</v>
      </c>
      <c r="AX182" s="100">
        <f>VLOOKUP($A182,[1]!CurveTable,MATCH(AX$4,[1]!CurveType,0))</f>
        <v>5.9640003943936204E-2</v>
      </c>
      <c r="AY182" s="149">
        <f ca="1">1/(1+CHOOSE(F$3,(AX183+(Inputs!$B$14/10000))/2,(AX182+(Inputs!$B$14/10000))/2))^(2*AW182/365.25)</f>
        <v>0.36907172566957941</v>
      </c>
      <c r="AZ182" s="41">
        <f t="shared" si="153"/>
        <v>0</v>
      </c>
      <c r="BA182" s="72">
        <f t="shared" si="154"/>
        <v>0</v>
      </c>
      <c r="BC182" s="65">
        <f t="shared" ca="1" si="133"/>
        <v>0</v>
      </c>
      <c r="BD182" s="65">
        <f t="shared" ca="1" si="134"/>
        <v>0</v>
      </c>
      <c r="BE182" s="65">
        <f t="shared" ca="1" si="135"/>
        <v>0</v>
      </c>
      <c r="BF182" s="65">
        <f t="shared" ca="1" si="136"/>
        <v>0</v>
      </c>
      <c r="BG182" s="65">
        <f t="shared" ca="1" si="137"/>
        <v>0</v>
      </c>
      <c r="BH182" s="65">
        <f t="shared" ca="1" si="138"/>
        <v>0</v>
      </c>
      <c r="BI182" s="65">
        <f t="shared" ca="1" si="139"/>
        <v>0</v>
      </c>
      <c r="BJ182" s="65">
        <f t="shared" ca="1" si="140"/>
        <v>0</v>
      </c>
      <c r="BK182" s="65">
        <f t="shared" ca="1" si="141"/>
        <v>0</v>
      </c>
      <c r="BL182" s="65">
        <f t="shared" ca="1" si="142"/>
        <v>0</v>
      </c>
      <c r="BM182" s="65">
        <f t="shared" ca="1" si="143"/>
        <v>0</v>
      </c>
      <c r="BN182" s="65">
        <f t="shared" ca="1" si="144"/>
        <v>0</v>
      </c>
      <c r="BO182" s="65">
        <f t="shared" ca="1" si="145"/>
        <v>0</v>
      </c>
      <c r="BP182" s="65">
        <f t="shared" ca="1" si="146"/>
        <v>0</v>
      </c>
      <c r="BQ182" s="65">
        <f t="shared" ca="1" si="147"/>
        <v>0</v>
      </c>
      <c r="BR182" s="65">
        <f t="shared" ca="1" si="148"/>
        <v>0</v>
      </c>
      <c r="BS182" s="65">
        <f t="shared" ca="1" si="149"/>
        <v>0</v>
      </c>
      <c r="BT182" s="65">
        <f t="shared" ca="1" si="150"/>
        <v>0</v>
      </c>
      <c r="BU182" s="65">
        <f t="shared" ca="1" si="127"/>
        <v>0</v>
      </c>
    </row>
    <row r="183" spans="1:73">
      <c r="A183" s="42">
        <f t="shared" si="128"/>
        <v>43405</v>
      </c>
      <c r="B183" s="30">
        <f>Inputs!$B$8</f>
        <v>50000</v>
      </c>
      <c r="C183" s="17">
        <f t="shared" si="118"/>
        <v>0</v>
      </c>
      <c r="D183" s="17">
        <f t="shared" ca="1" si="119"/>
        <v>0</v>
      </c>
      <c r="E183" s="25">
        <f>VLOOKUP($A183,[1]!CurveTable,MATCH($E$4,[1]!CurveType,0))</f>
        <v>5.3</v>
      </c>
      <c r="F183" s="31">
        <f>E183-Inputs!$B$16</f>
        <v>5.3549999999999995</v>
      </c>
      <c r="G183" s="43">
        <f t="shared" si="160"/>
        <v>5.3549999999999995</v>
      </c>
      <c r="H183" s="25">
        <f>VLOOKUP($A183,[1]!CurveTable,MATCH($H$4,[1]!CurveType,0))</f>
        <v>0.23</v>
      </c>
      <c r="I183" s="31">
        <f>H183+Inputs!$B$22</f>
        <v>0.23</v>
      </c>
      <c r="J183" s="44">
        <f t="shared" si="161"/>
        <v>0.23</v>
      </c>
      <c r="K183" s="25">
        <f>VLOOKUP($A183,[1]!CurveTable,MATCH($K$4,[1]!CurveType,0))</f>
        <v>0</v>
      </c>
      <c r="L183" s="31">
        <v>0</v>
      </c>
      <c r="M183" s="45">
        <f t="shared" si="162"/>
        <v>0</v>
      </c>
      <c r="N183" s="25">
        <f>VLOOKUP($A183,[1]!CurveTable,MATCH($N$4,[1]!CurveType,0))</f>
        <v>1.9E-2</v>
      </c>
      <c r="O183" s="31">
        <f>N183+Inputs!$E$22</f>
        <v>1.9E-2</v>
      </c>
      <c r="P183" s="45">
        <f t="shared" si="163"/>
        <v>1.9E-2</v>
      </c>
      <c r="Q183" s="25">
        <f>VLOOKUP($A183,[1]!CurveTable,MATCH($Q$4,[1]!CurveType,0))</f>
        <v>7.4999999999999997E-3</v>
      </c>
      <c r="R183" s="31">
        <v>0</v>
      </c>
      <c r="S183" s="45">
        <f t="shared" si="164"/>
        <v>0</v>
      </c>
      <c r="T183" s="4"/>
      <c r="U183" s="159">
        <f t="shared" si="129"/>
        <v>5.585</v>
      </c>
      <c r="V183" s="160"/>
      <c r="W183" s="100">
        <f>VLOOKUP($A183,[1]!CurveTable,MATCH($W$4,[1]!CurveType,0))+$W$9</f>
        <v>0.17</v>
      </c>
      <c r="X183" s="100">
        <f>VLOOKUP($A183,[1]!CurveTable,MATCH($X$4,[1]!CurveType,0))+$X$9</f>
        <v>0.17500000000000002</v>
      </c>
      <c r="Y183" s="158">
        <f t="shared" ca="1" si="120"/>
        <v>0.17565227491509441</v>
      </c>
      <c r="Z183" s="4"/>
      <c r="AA183" s="159">
        <f t="shared" si="130"/>
        <v>5.3739999999999997</v>
      </c>
      <c r="AB183" s="160"/>
      <c r="AC183" s="100">
        <f>VLOOKUP($A183,[1]!CurveTable,MATCH($AC$4,[1]!CurveType,0))+$AC$9</f>
        <v>0.17</v>
      </c>
      <c r="AD183" s="100">
        <f>VLOOKUP($A183,[1]!CurveTable,MATCH($AD$4,[1]!CurveType,0))+$AD$9</f>
        <v>0.17500000000000002</v>
      </c>
      <c r="AE183" s="158">
        <f t="shared" ca="1" si="121"/>
        <v>0.17565227491509441</v>
      </c>
      <c r="AF183" s="4"/>
      <c r="AG183" s="52">
        <f ca="1">((Inputs!$F$20*(X183*AD183)*(A183-$C$3))+(Inputs!$F$19*W183*AC183*(DAY(EOMONTH(A183,0))/2)))/(AN183*Y183*AE183)</f>
        <v>0.74999999999999989</v>
      </c>
      <c r="AH183" s="4"/>
      <c r="AI183" s="18">
        <f>Inputs!$B$15</f>
        <v>0.06</v>
      </c>
      <c r="AJ183" s="46"/>
      <c r="AK183" s="18">
        <f t="shared" si="122"/>
        <v>0.1510000000000003</v>
      </c>
      <c r="AL183" s="46"/>
      <c r="AM183" s="62">
        <f t="shared" si="123"/>
        <v>43373</v>
      </c>
      <c r="AN183" s="63">
        <f t="shared" ca="1" si="124"/>
        <v>6180</v>
      </c>
      <c r="AO183" s="63">
        <f t="shared" si="151"/>
        <v>1</v>
      </c>
      <c r="AP183" s="19"/>
      <c r="AQ183" s="74">
        <f ca="1">_xll.SPRDOPT(U183,AA183,AI183,AX183,X183,AD183,AG183,AN183,AO183,0)</f>
        <v>0.42900507555111705</v>
      </c>
      <c r="AR183" s="47">
        <f t="shared" ca="1" si="131"/>
        <v>0</v>
      </c>
      <c r="AS183" s="135">
        <f t="shared" ca="1" si="132"/>
        <v>0.27800507555111675</v>
      </c>
      <c r="AU183" s="5">
        <f t="shared" si="152"/>
        <v>30</v>
      </c>
      <c r="AV183" s="148">
        <f t="shared" si="125"/>
        <v>43419</v>
      </c>
      <c r="AW183" s="41">
        <f t="shared" ca="1" si="126"/>
        <v>6226</v>
      </c>
      <c r="AX183" s="100">
        <f>VLOOKUP($A183,[1]!CurveTable,MATCH(AX$4,[1]!CurveType,0))</f>
        <v>5.9698216734939399E-2</v>
      </c>
      <c r="AY183" s="149">
        <f ca="1">1/(1+CHOOSE(F$3,(AX184+(Inputs!$B$14/10000))/2,(AX183+(Inputs!$B$14/10000))/2))^(2*AW183/365.25)</f>
        <v>0.36688176120638999</v>
      </c>
      <c r="AZ183" s="41">
        <f t="shared" si="153"/>
        <v>0</v>
      </c>
      <c r="BA183" s="72">
        <f t="shared" si="154"/>
        <v>0</v>
      </c>
      <c r="BC183" s="65">
        <f t="shared" ca="1" si="133"/>
        <v>0</v>
      </c>
      <c r="BD183" s="65">
        <f t="shared" ca="1" si="134"/>
        <v>0</v>
      </c>
      <c r="BE183" s="65">
        <f t="shared" ca="1" si="135"/>
        <v>0</v>
      </c>
      <c r="BF183" s="65">
        <f t="shared" ca="1" si="136"/>
        <v>0</v>
      </c>
      <c r="BG183" s="65">
        <f t="shared" ca="1" si="137"/>
        <v>0</v>
      </c>
      <c r="BH183" s="65">
        <f t="shared" ca="1" si="138"/>
        <v>0</v>
      </c>
      <c r="BI183" s="65">
        <f t="shared" ca="1" si="139"/>
        <v>0</v>
      </c>
      <c r="BJ183" s="65">
        <f t="shared" ca="1" si="140"/>
        <v>0</v>
      </c>
      <c r="BK183" s="65">
        <f t="shared" ca="1" si="141"/>
        <v>0</v>
      </c>
      <c r="BL183" s="65">
        <f t="shared" ca="1" si="142"/>
        <v>0</v>
      </c>
      <c r="BM183" s="65">
        <f t="shared" ca="1" si="143"/>
        <v>0</v>
      </c>
      <c r="BN183" s="65">
        <f t="shared" ca="1" si="144"/>
        <v>0</v>
      </c>
      <c r="BO183" s="65">
        <f t="shared" ca="1" si="145"/>
        <v>0</v>
      </c>
      <c r="BP183" s="65">
        <f t="shared" ca="1" si="146"/>
        <v>0</v>
      </c>
      <c r="BQ183" s="65">
        <f t="shared" ca="1" si="147"/>
        <v>0</v>
      </c>
      <c r="BR183" s="65">
        <f t="shared" ca="1" si="148"/>
        <v>0</v>
      </c>
      <c r="BS183" s="65">
        <f t="shared" ca="1" si="149"/>
        <v>0</v>
      </c>
      <c r="BT183" s="65">
        <f t="shared" ca="1" si="150"/>
        <v>0</v>
      </c>
      <c r="BU183" s="65">
        <f t="shared" ca="1" si="127"/>
        <v>0</v>
      </c>
    </row>
    <row r="184" spans="1:73">
      <c r="A184" s="42">
        <f t="shared" si="128"/>
        <v>43435</v>
      </c>
      <c r="B184" s="30">
        <f>Inputs!$B$8</f>
        <v>50000</v>
      </c>
      <c r="C184" s="17">
        <f t="shared" si="118"/>
        <v>0</v>
      </c>
      <c r="D184" s="17">
        <f t="shared" ca="1" si="119"/>
        <v>0</v>
      </c>
      <c r="E184" s="25">
        <f>VLOOKUP($A184,[1]!CurveTable,MATCH($E$4,[1]!CurveType,0))</f>
        <v>5.452</v>
      </c>
      <c r="F184" s="31">
        <f>E184-Inputs!$B$16</f>
        <v>5.5069999999999997</v>
      </c>
      <c r="G184" s="43">
        <f t="shared" si="160"/>
        <v>5.5069999999999997</v>
      </c>
      <c r="H184" s="25">
        <f>VLOOKUP($A184,[1]!CurveTable,MATCH($H$4,[1]!CurveType,0))</f>
        <v>0.26</v>
      </c>
      <c r="I184" s="31">
        <f>H184+Inputs!$B$22</f>
        <v>0.26</v>
      </c>
      <c r="J184" s="44">
        <f t="shared" si="161"/>
        <v>0.26</v>
      </c>
      <c r="K184" s="25">
        <f>VLOOKUP($A184,[1]!CurveTable,MATCH($K$4,[1]!CurveType,0))</f>
        <v>0</v>
      </c>
      <c r="L184" s="31">
        <v>0</v>
      </c>
      <c r="M184" s="45">
        <f t="shared" si="162"/>
        <v>0</v>
      </c>
      <c r="N184" s="25">
        <f>VLOOKUP($A184,[1]!CurveTable,MATCH($N$4,[1]!CurveType,0))</f>
        <v>1.9E-2</v>
      </c>
      <c r="O184" s="31">
        <f>N184+Inputs!$E$22</f>
        <v>1.9E-2</v>
      </c>
      <c r="P184" s="45">
        <f t="shared" si="163"/>
        <v>1.9E-2</v>
      </c>
      <c r="Q184" s="25">
        <f>VLOOKUP($A184,[1]!CurveTable,MATCH($Q$4,[1]!CurveType,0))</f>
        <v>7.4999999999999997E-3</v>
      </c>
      <c r="R184" s="31">
        <v>0</v>
      </c>
      <c r="S184" s="45">
        <f t="shared" si="164"/>
        <v>0</v>
      </c>
      <c r="T184" s="4"/>
      <c r="U184" s="159">
        <f t="shared" si="129"/>
        <v>5.7669999999999995</v>
      </c>
      <c r="V184" s="160"/>
      <c r="W184" s="100">
        <f>VLOOKUP($A184,[1]!CurveTable,MATCH($W$4,[1]!CurveType,0))+$W$9</f>
        <v>0.17</v>
      </c>
      <c r="X184" s="100">
        <f>VLOOKUP($A184,[1]!CurveTable,MATCH($X$4,[1]!CurveType,0))+$X$9</f>
        <v>0.17500000000000002</v>
      </c>
      <c r="Y184" s="158">
        <f t="shared" ca="1" si="120"/>
        <v>0.17564161195257699</v>
      </c>
      <c r="Z184" s="4"/>
      <c r="AA184" s="159">
        <f t="shared" si="130"/>
        <v>5.5259999999999998</v>
      </c>
      <c r="AB184" s="160"/>
      <c r="AC184" s="100">
        <f>VLOOKUP($A184,[1]!CurveTable,MATCH($AC$4,[1]!CurveType,0))+$AC$9</f>
        <v>0.17</v>
      </c>
      <c r="AD184" s="100">
        <f>VLOOKUP($A184,[1]!CurveTable,MATCH($AD$4,[1]!CurveType,0))+$AD$9</f>
        <v>0.17500000000000002</v>
      </c>
      <c r="AE184" s="158">
        <f t="shared" ca="1" si="121"/>
        <v>0.17564161195257699</v>
      </c>
      <c r="AF184" s="4"/>
      <c r="AG184" s="52">
        <f ca="1">((Inputs!$F$20*(X184*AD184)*(A184-$C$3))+(Inputs!$F$19*W184*AC184*(DAY(EOMONTH(A184,0))/2)))/(AN184*Y184*AE184)</f>
        <v>0.74999999999999989</v>
      </c>
      <c r="AH184" s="4"/>
      <c r="AI184" s="18">
        <f>Inputs!$B$15</f>
        <v>0.06</v>
      </c>
      <c r="AJ184" s="46"/>
      <c r="AK184" s="18">
        <f t="shared" si="122"/>
        <v>0.18099999999999966</v>
      </c>
      <c r="AL184" s="46"/>
      <c r="AM184" s="62">
        <f t="shared" si="123"/>
        <v>43404</v>
      </c>
      <c r="AN184" s="63">
        <f t="shared" ca="1" si="124"/>
        <v>6211</v>
      </c>
      <c r="AO184" s="63">
        <f t="shared" si="151"/>
        <v>1</v>
      </c>
      <c r="AP184" s="19"/>
      <c r="AQ184" s="74">
        <f ca="1">_xll.SPRDOPT(U184,AA184,AI184,AX184,X184,AD184,AG184,AN184,AO184,0)</f>
        <v>0.44522865629321412</v>
      </c>
      <c r="AR184" s="47">
        <f t="shared" ca="1" si="131"/>
        <v>0</v>
      </c>
      <c r="AS184" s="135">
        <f t="shared" ca="1" si="132"/>
        <v>0.26422865629321446</v>
      </c>
      <c r="AU184" s="5">
        <f t="shared" si="152"/>
        <v>31</v>
      </c>
      <c r="AV184" s="148">
        <f t="shared" si="125"/>
        <v>43449</v>
      </c>
      <c r="AW184" s="41">
        <f t="shared" ca="1" si="126"/>
        <v>6256</v>
      </c>
      <c r="AX184" s="100">
        <f>VLOOKUP($A184,[1]!CurveTable,MATCH(AX$4,[1]!CurveType,0))</f>
        <v>5.9754551695046801E-2</v>
      </c>
      <c r="AY184" s="149">
        <f ca="1">1/(1+CHOOSE(F$3,(AX185+(Inputs!$B$14/10000))/2,(AX184+(Inputs!$B$14/10000))/2))^(2*AW184/365.25)</f>
        <v>0.36477149112669244</v>
      </c>
      <c r="AZ184" s="41">
        <f t="shared" si="153"/>
        <v>0</v>
      </c>
      <c r="BA184" s="72">
        <f t="shared" si="154"/>
        <v>0</v>
      </c>
      <c r="BC184" s="65">
        <f t="shared" ca="1" si="133"/>
        <v>0</v>
      </c>
      <c r="BD184" s="65">
        <f t="shared" ca="1" si="134"/>
        <v>0</v>
      </c>
      <c r="BE184" s="65">
        <f t="shared" ca="1" si="135"/>
        <v>0</v>
      </c>
      <c r="BF184" s="65">
        <f t="shared" ca="1" si="136"/>
        <v>0</v>
      </c>
      <c r="BG184" s="65">
        <f t="shared" ca="1" si="137"/>
        <v>0</v>
      </c>
      <c r="BH184" s="65">
        <f t="shared" ca="1" si="138"/>
        <v>0</v>
      </c>
      <c r="BI184" s="65">
        <f t="shared" ca="1" si="139"/>
        <v>0</v>
      </c>
      <c r="BJ184" s="65">
        <f t="shared" ca="1" si="140"/>
        <v>0</v>
      </c>
      <c r="BK184" s="65">
        <f t="shared" ca="1" si="141"/>
        <v>0</v>
      </c>
      <c r="BL184" s="65">
        <f t="shared" ca="1" si="142"/>
        <v>0</v>
      </c>
      <c r="BM184" s="65">
        <f t="shared" ca="1" si="143"/>
        <v>0</v>
      </c>
      <c r="BN184" s="65">
        <f t="shared" ca="1" si="144"/>
        <v>0</v>
      </c>
      <c r="BO184" s="65">
        <f t="shared" ca="1" si="145"/>
        <v>0</v>
      </c>
      <c r="BP184" s="65">
        <f t="shared" ca="1" si="146"/>
        <v>0</v>
      </c>
      <c r="BQ184" s="65">
        <f t="shared" ca="1" si="147"/>
        <v>0</v>
      </c>
      <c r="BR184" s="65">
        <f t="shared" ca="1" si="148"/>
        <v>0</v>
      </c>
      <c r="BS184" s="65">
        <f t="shared" ca="1" si="149"/>
        <v>0</v>
      </c>
      <c r="BT184" s="65">
        <f t="shared" ca="1" si="150"/>
        <v>0</v>
      </c>
      <c r="BU184" s="65">
        <f t="shared" ca="1" si="127"/>
        <v>0</v>
      </c>
    </row>
    <row r="185" spans="1:73">
      <c r="A185" s="42">
        <f t="shared" si="128"/>
        <v>43466</v>
      </c>
      <c r="B185" s="30">
        <f>Inputs!$B$8</f>
        <v>50000</v>
      </c>
      <c r="C185" s="17">
        <f t="shared" si="118"/>
        <v>0</v>
      </c>
      <c r="D185" s="17">
        <f t="shared" ca="1" si="119"/>
        <v>0</v>
      </c>
      <c r="E185" s="25">
        <f>VLOOKUP($A185,[1]!CurveTable,MATCH($E$4,[1]!CurveType,0))</f>
        <v>5.5295000000000005</v>
      </c>
      <c r="F185" s="31">
        <f>E185-Inputs!$B$16</f>
        <v>5.5845000000000002</v>
      </c>
      <c r="G185" s="43">
        <f t="shared" si="160"/>
        <v>5.5845000000000002</v>
      </c>
      <c r="H185" s="25">
        <f>VLOOKUP($A185,[1]!CurveTable,MATCH($H$4,[1]!CurveType,0))</f>
        <v>8.5000000000000006E-2</v>
      </c>
      <c r="I185" s="31">
        <f>H185+Inputs!$B$22</f>
        <v>8.5000000000000006E-2</v>
      </c>
      <c r="J185" s="44">
        <f t="shared" si="161"/>
        <v>8.5000000000000006E-2</v>
      </c>
      <c r="K185" s="25">
        <f>VLOOKUP($A185,[1]!CurveTable,MATCH($K$4,[1]!CurveType,0))</f>
        <v>0</v>
      </c>
      <c r="L185" s="31">
        <v>0</v>
      </c>
      <c r="M185" s="45">
        <f t="shared" si="162"/>
        <v>0</v>
      </c>
      <c r="N185" s="25">
        <f>VLOOKUP($A185,[1]!CurveTable,MATCH($N$4,[1]!CurveType,0))</f>
        <v>1.9E-2</v>
      </c>
      <c r="O185" s="31">
        <f>N185+Inputs!$E$22</f>
        <v>1.9E-2</v>
      </c>
      <c r="P185" s="45">
        <f t="shared" si="163"/>
        <v>1.9E-2</v>
      </c>
      <c r="Q185" s="25">
        <f>VLOOKUP($A185,[1]!CurveTable,MATCH($Q$4,[1]!CurveType,0))</f>
        <v>7.4999999999999997E-3</v>
      </c>
      <c r="R185" s="31">
        <v>0</v>
      </c>
      <c r="S185" s="45">
        <f t="shared" si="164"/>
        <v>0</v>
      </c>
      <c r="T185" s="4"/>
      <c r="U185" s="159">
        <f t="shared" si="129"/>
        <v>5.6695000000000002</v>
      </c>
      <c r="V185" s="160"/>
      <c r="W185" s="100">
        <f>VLOOKUP($A185,[1]!CurveTable,MATCH($W$4,[1]!CurveType,0))+$W$9</f>
        <v>0.17</v>
      </c>
      <c r="X185" s="100">
        <f>VLOOKUP($A185,[1]!CurveTable,MATCH($X$4,[1]!CurveType,0))+$X$9</f>
        <v>0.17500000000000002</v>
      </c>
      <c r="Y185" s="158">
        <f t="shared" ca="1" si="120"/>
        <v>0.17565250204344582</v>
      </c>
      <c r="Z185" s="4"/>
      <c r="AA185" s="159">
        <f t="shared" si="130"/>
        <v>5.6035000000000004</v>
      </c>
      <c r="AB185" s="160"/>
      <c r="AC185" s="100">
        <f>VLOOKUP($A185,[1]!CurveTable,MATCH($AC$4,[1]!CurveType,0))+$AC$9</f>
        <v>0.17</v>
      </c>
      <c r="AD185" s="100">
        <f>VLOOKUP($A185,[1]!CurveTable,MATCH($AD$4,[1]!CurveType,0))+$AD$9</f>
        <v>0.17500000000000002</v>
      </c>
      <c r="AE185" s="158">
        <f t="shared" ca="1" si="121"/>
        <v>0.17565250204344582</v>
      </c>
      <c r="AF185" s="4"/>
      <c r="AG185" s="52">
        <f ca="1">((Inputs!$F$20*(X185*AD185)*(A185-$C$3))+(Inputs!$F$19*W185*AC185*(DAY(EOMONTH(A185,0))/2)))/(AN185*Y185*AE185)</f>
        <v>0.75000000000000011</v>
      </c>
      <c r="AH185" s="4"/>
      <c r="AI185" s="18">
        <f>Inputs!$B$15</f>
        <v>0.06</v>
      </c>
      <c r="AJ185" s="46"/>
      <c r="AK185" s="18">
        <f t="shared" si="122"/>
        <v>5.9999999999998388E-3</v>
      </c>
      <c r="AL185" s="46"/>
      <c r="AM185" s="62">
        <f t="shared" si="123"/>
        <v>43434</v>
      </c>
      <c r="AN185" s="63">
        <f t="shared" ca="1" si="124"/>
        <v>6241</v>
      </c>
      <c r="AO185" s="63">
        <f t="shared" si="151"/>
        <v>1</v>
      </c>
      <c r="AP185" s="19"/>
      <c r="AQ185" s="74">
        <f ca="1">_xll.SPRDOPT(U185,AA185,AI185,AX185,X185,AD185,AG185,AN185,AO185,0)</f>
        <v>0.41058729074404898</v>
      </c>
      <c r="AR185" s="47">
        <f t="shared" ca="1" si="131"/>
        <v>0</v>
      </c>
      <c r="AS185" s="135">
        <f t="shared" ca="1" si="132"/>
        <v>0.40458729074404914</v>
      </c>
      <c r="AU185" s="5">
        <f t="shared" si="152"/>
        <v>31</v>
      </c>
      <c r="AV185" s="148">
        <f t="shared" si="125"/>
        <v>43480</v>
      </c>
      <c r="AW185" s="41">
        <f t="shared" ca="1" si="126"/>
        <v>6287</v>
      </c>
      <c r="AX185" s="100">
        <f>VLOOKUP($A185,[1]!CurveTable,MATCH(AX$4,[1]!CurveType,0))</f>
        <v>5.9812764488265599E-2</v>
      </c>
      <c r="AY185" s="149">
        <f ca="1">1/(1+CHOOSE(F$3,(AX186+(Inputs!$B$14/10000))/2,(AX185+(Inputs!$B$14/10000))/2))^(2*AW185/365.25)</f>
        <v>0.36260021641081297</v>
      </c>
      <c r="AZ185" s="41">
        <f t="shared" si="153"/>
        <v>0</v>
      </c>
      <c r="BA185" s="72">
        <f t="shared" si="154"/>
        <v>0</v>
      </c>
      <c r="BC185" s="65">
        <f t="shared" ca="1" si="133"/>
        <v>0</v>
      </c>
      <c r="BD185" s="65">
        <f t="shared" ca="1" si="134"/>
        <v>0</v>
      </c>
      <c r="BE185" s="65">
        <f t="shared" ca="1" si="135"/>
        <v>0</v>
      </c>
      <c r="BF185" s="65">
        <f t="shared" ca="1" si="136"/>
        <v>0</v>
      </c>
      <c r="BG185" s="65">
        <f t="shared" ca="1" si="137"/>
        <v>0</v>
      </c>
      <c r="BH185" s="65">
        <f t="shared" ca="1" si="138"/>
        <v>0</v>
      </c>
      <c r="BI185" s="65">
        <f t="shared" ca="1" si="139"/>
        <v>0</v>
      </c>
      <c r="BJ185" s="65">
        <f t="shared" ca="1" si="140"/>
        <v>0</v>
      </c>
      <c r="BK185" s="65">
        <f t="shared" ca="1" si="141"/>
        <v>0</v>
      </c>
      <c r="BL185" s="65">
        <f t="shared" ca="1" si="142"/>
        <v>0</v>
      </c>
      <c r="BM185" s="65">
        <f t="shared" ca="1" si="143"/>
        <v>0</v>
      </c>
      <c r="BN185" s="65">
        <f t="shared" ca="1" si="144"/>
        <v>0</v>
      </c>
      <c r="BO185" s="65">
        <f t="shared" ca="1" si="145"/>
        <v>0</v>
      </c>
      <c r="BP185" s="65">
        <f t="shared" ca="1" si="146"/>
        <v>0</v>
      </c>
      <c r="BQ185" s="65">
        <f t="shared" ca="1" si="147"/>
        <v>0</v>
      </c>
      <c r="BR185" s="65">
        <f t="shared" ca="1" si="148"/>
        <v>0</v>
      </c>
      <c r="BS185" s="65">
        <f t="shared" ca="1" si="149"/>
        <v>0</v>
      </c>
      <c r="BT185" s="65">
        <f t="shared" ca="1" si="150"/>
        <v>0</v>
      </c>
      <c r="BU185" s="65">
        <f t="shared" ca="1" si="127"/>
        <v>0</v>
      </c>
    </row>
    <row r="186" spans="1:73">
      <c r="A186" s="42">
        <f t="shared" si="128"/>
        <v>43497</v>
      </c>
      <c r="B186" s="30">
        <f>Inputs!$B$8</f>
        <v>50000</v>
      </c>
      <c r="C186" s="17">
        <f t="shared" si="118"/>
        <v>0</v>
      </c>
      <c r="D186" s="17">
        <f t="shared" ca="1" si="119"/>
        <v>0</v>
      </c>
      <c r="E186" s="25">
        <f>VLOOKUP($A186,[1]!CurveTable,MATCH($E$4,[1]!CurveType,0))</f>
        <v>5.4424999999999999</v>
      </c>
      <c r="F186" s="31">
        <f>E186-Inputs!$B$16</f>
        <v>5.4974999999999996</v>
      </c>
      <c r="G186" s="43">
        <f t="shared" si="160"/>
        <v>5.4974999999999996</v>
      </c>
      <c r="H186" s="25">
        <f>VLOOKUP($A186,[1]!CurveTable,MATCH($H$4,[1]!CurveType,0))</f>
        <v>7.4999999999999997E-2</v>
      </c>
      <c r="I186" s="31">
        <f>H186+Inputs!$B$22</f>
        <v>7.4999999999999997E-2</v>
      </c>
      <c r="J186" s="44">
        <f t="shared" si="161"/>
        <v>7.4999999999999997E-2</v>
      </c>
      <c r="K186" s="25">
        <f>VLOOKUP($A186,[1]!CurveTable,MATCH($K$4,[1]!CurveType,0))</f>
        <v>0</v>
      </c>
      <c r="L186" s="31">
        <v>0</v>
      </c>
      <c r="M186" s="45">
        <f t="shared" si="162"/>
        <v>0</v>
      </c>
      <c r="N186" s="25">
        <f>VLOOKUP($A186,[1]!CurveTable,MATCH($N$4,[1]!CurveType,0))</f>
        <v>1.9E-2</v>
      </c>
      <c r="O186" s="31">
        <f>N186+Inputs!$E$22</f>
        <v>1.9E-2</v>
      </c>
      <c r="P186" s="45">
        <f t="shared" si="163"/>
        <v>1.9E-2</v>
      </c>
      <c r="Q186" s="25">
        <f>VLOOKUP($A186,[1]!CurveTable,MATCH($Q$4,[1]!CurveType,0))</f>
        <v>7.4999999999999997E-3</v>
      </c>
      <c r="R186" s="31">
        <v>0</v>
      </c>
      <c r="S186" s="45">
        <f t="shared" si="164"/>
        <v>0</v>
      </c>
      <c r="T186" s="4"/>
      <c r="U186" s="159">
        <f t="shared" si="129"/>
        <v>5.5724999999999998</v>
      </c>
      <c r="V186" s="160"/>
      <c r="W186" s="100">
        <f>VLOOKUP($A186,[1]!CurveTable,MATCH($W$4,[1]!CurveType,0))+$W$9</f>
        <v>0.17</v>
      </c>
      <c r="X186" s="100">
        <f>VLOOKUP($A186,[1]!CurveTable,MATCH($X$4,[1]!CurveType,0))+$X$9</f>
        <v>0.17500000000000002</v>
      </c>
      <c r="Y186" s="158">
        <f t="shared" ca="1" si="120"/>
        <v>0.17562960720952328</v>
      </c>
      <c r="Z186" s="4"/>
      <c r="AA186" s="159">
        <f t="shared" si="130"/>
        <v>5.5164999999999997</v>
      </c>
      <c r="AB186" s="160"/>
      <c r="AC186" s="100">
        <f>VLOOKUP($A186,[1]!CurveTable,MATCH($AC$4,[1]!CurveType,0))+$AC$9</f>
        <v>0.17</v>
      </c>
      <c r="AD186" s="100">
        <f>VLOOKUP($A186,[1]!CurveTable,MATCH($AD$4,[1]!CurveType,0))+$AD$9</f>
        <v>0.17500000000000002</v>
      </c>
      <c r="AE186" s="158">
        <f t="shared" ca="1" si="121"/>
        <v>0.17562960720952328</v>
      </c>
      <c r="AF186" s="4"/>
      <c r="AG186" s="52">
        <f ca="1">((Inputs!$F$20*(X186*AD186)*(A186-$C$3))+(Inputs!$F$19*W186*AC186*(DAY(EOMONTH(A186,0))/2)))/(AN186*Y186*AE186)</f>
        <v>0.75</v>
      </c>
      <c r="AH186" s="4"/>
      <c r="AI186" s="18">
        <f>Inputs!$B$15</f>
        <v>0.06</v>
      </c>
      <c r="AJ186" s="46"/>
      <c r="AK186" s="18">
        <f t="shared" si="122"/>
        <v>0</v>
      </c>
      <c r="AL186" s="46"/>
      <c r="AM186" s="62">
        <f t="shared" si="123"/>
        <v>43465</v>
      </c>
      <c r="AN186" s="63">
        <f t="shared" ca="1" si="124"/>
        <v>6272</v>
      </c>
      <c r="AO186" s="63">
        <f t="shared" si="151"/>
        <v>1</v>
      </c>
      <c r="AP186" s="19"/>
      <c r="AQ186" s="74">
        <f ca="1">_xll.SPRDOPT(U186,AA186,AI186,AX186,X186,AD186,AG186,AN186,AO186,0)</f>
        <v>0.40064199981646625</v>
      </c>
      <c r="AR186" s="47">
        <f t="shared" ca="1" si="131"/>
        <v>0</v>
      </c>
      <c r="AS186" s="135">
        <f t="shared" ca="1" si="132"/>
        <v>0.40064199981646625</v>
      </c>
      <c r="AU186" s="5">
        <f t="shared" si="152"/>
        <v>28</v>
      </c>
      <c r="AV186" s="148">
        <f t="shared" si="125"/>
        <v>43511</v>
      </c>
      <c r="AW186" s="41">
        <f t="shared" ca="1" si="126"/>
        <v>6318</v>
      </c>
      <c r="AX186" s="100">
        <f>VLOOKUP($A186,[1]!CurveTable,MATCH(AX$4,[1]!CurveType,0))</f>
        <v>5.9870977282610899E-2</v>
      </c>
      <c r="AY186" s="149">
        <f ca="1">1/(1+CHOOSE(F$3,(AX187+(Inputs!$B$14/10000))/2,(AX186+(Inputs!$B$14/10000))/2))^(2*AW186/365.25)</f>
        <v>0.36043841770580853</v>
      </c>
      <c r="AZ186" s="41">
        <f t="shared" si="153"/>
        <v>0</v>
      </c>
      <c r="BA186" s="72">
        <f t="shared" si="154"/>
        <v>0</v>
      </c>
      <c r="BC186" s="65">
        <f t="shared" ca="1" si="133"/>
        <v>0</v>
      </c>
      <c r="BD186" s="65">
        <f t="shared" ca="1" si="134"/>
        <v>0</v>
      </c>
      <c r="BE186" s="65">
        <f t="shared" ca="1" si="135"/>
        <v>0</v>
      </c>
      <c r="BF186" s="65">
        <f t="shared" ca="1" si="136"/>
        <v>0</v>
      </c>
      <c r="BG186" s="65">
        <f t="shared" ca="1" si="137"/>
        <v>0</v>
      </c>
      <c r="BH186" s="65">
        <f t="shared" ca="1" si="138"/>
        <v>0</v>
      </c>
      <c r="BI186" s="65">
        <f t="shared" ca="1" si="139"/>
        <v>0</v>
      </c>
      <c r="BJ186" s="65">
        <f t="shared" ca="1" si="140"/>
        <v>0</v>
      </c>
      <c r="BK186" s="65">
        <f t="shared" ca="1" si="141"/>
        <v>0</v>
      </c>
      <c r="BL186" s="65">
        <f t="shared" ca="1" si="142"/>
        <v>0</v>
      </c>
      <c r="BM186" s="65">
        <f t="shared" ca="1" si="143"/>
        <v>0</v>
      </c>
      <c r="BN186" s="65">
        <f t="shared" ca="1" si="144"/>
        <v>0</v>
      </c>
      <c r="BO186" s="65">
        <f t="shared" ca="1" si="145"/>
        <v>0</v>
      </c>
      <c r="BP186" s="65">
        <f t="shared" ca="1" si="146"/>
        <v>0</v>
      </c>
      <c r="BQ186" s="65">
        <f t="shared" ca="1" si="147"/>
        <v>0</v>
      </c>
      <c r="BR186" s="65">
        <f t="shared" ca="1" si="148"/>
        <v>0</v>
      </c>
      <c r="BS186" s="65">
        <f t="shared" ca="1" si="149"/>
        <v>0</v>
      </c>
      <c r="BT186" s="65">
        <f t="shared" ca="1" si="150"/>
        <v>0</v>
      </c>
      <c r="BU186" s="65">
        <f t="shared" ca="1" si="127"/>
        <v>0</v>
      </c>
    </row>
    <row r="187" spans="1:73">
      <c r="A187" s="42">
        <f t="shared" si="128"/>
        <v>43525</v>
      </c>
      <c r="B187" s="30">
        <f>Inputs!$B$8</f>
        <v>50000</v>
      </c>
      <c r="C187" s="17">
        <f t="shared" si="118"/>
        <v>0</v>
      </c>
      <c r="D187" s="17">
        <f t="shared" ca="1" si="119"/>
        <v>0</v>
      </c>
      <c r="E187" s="25">
        <f>VLOOKUP($A187,[1]!CurveTable,MATCH($E$4,[1]!CurveType,0))</f>
        <v>5.3035000000000005</v>
      </c>
      <c r="F187" s="31">
        <f>E187-Inputs!$B$16</f>
        <v>5.3585000000000003</v>
      </c>
      <c r="G187" s="43">
        <f t="shared" si="160"/>
        <v>5.3585000000000003</v>
      </c>
      <c r="H187" s="25">
        <f>VLOOKUP($A187,[1]!CurveTable,MATCH($H$4,[1]!CurveType,0))</f>
        <v>0.115</v>
      </c>
      <c r="I187" s="31">
        <f>H187+Inputs!$B$22</f>
        <v>0.115</v>
      </c>
      <c r="J187" s="44">
        <f t="shared" si="161"/>
        <v>0.115</v>
      </c>
      <c r="K187" s="25">
        <f>VLOOKUP($A187,[1]!CurveTable,MATCH($K$4,[1]!CurveType,0))</f>
        <v>0</v>
      </c>
      <c r="L187" s="31">
        <v>0</v>
      </c>
      <c r="M187" s="45">
        <f t="shared" si="162"/>
        <v>0</v>
      </c>
      <c r="N187" s="25">
        <f>VLOOKUP($A187,[1]!CurveTable,MATCH($N$4,[1]!CurveType,0))</f>
        <v>2.3E-2</v>
      </c>
      <c r="O187" s="31">
        <f>N187+Inputs!$E$22</f>
        <v>2.3E-2</v>
      </c>
      <c r="P187" s="45">
        <f t="shared" si="163"/>
        <v>2.3E-2</v>
      </c>
      <c r="Q187" s="25">
        <f>VLOOKUP($A187,[1]!CurveTable,MATCH($Q$4,[1]!CurveType,0))</f>
        <v>7.4999999999999997E-3</v>
      </c>
      <c r="R187" s="31">
        <v>0</v>
      </c>
      <c r="S187" s="45">
        <f t="shared" si="164"/>
        <v>0</v>
      </c>
      <c r="T187" s="4"/>
      <c r="U187" s="159">
        <f t="shared" si="129"/>
        <v>5.4735000000000005</v>
      </c>
      <c r="V187" s="160"/>
      <c r="W187" s="100">
        <f>VLOOKUP($A187,[1]!CurveTable,MATCH($W$4,[1]!CurveType,0))+$W$9</f>
        <v>0.17</v>
      </c>
      <c r="X187" s="100">
        <f>VLOOKUP($A187,[1]!CurveTable,MATCH($X$4,[1]!CurveType,0))+$X$9</f>
        <v>0.17500000000000002</v>
      </c>
      <c r="Y187" s="158">
        <f t="shared" ca="1" si="120"/>
        <v>0.17560459691194866</v>
      </c>
      <c r="Z187" s="4"/>
      <c r="AA187" s="159">
        <f t="shared" si="130"/>
        <v>5.3815</v>
      </c>
      <c r="AB187" s="160"/>
      <c r="AC187" s="100">
        <f>VLOOKUP($A187,[1]!CurveTable,MATCH($AC$4,[1]!CurveType,0))+$AC$9</f>
        <v>0.17</v>
      </c>
      <c r="AD187" s="100">
        <f>VLOOKUP($A187,[1]!CurveTable,MATCH($AD$4,[1]!CurveType,0))+$AD$9</f>
        <v>0.17500000000000002</v>
      </c>
      <c r="AE187" s="158">
        <f t="shared" ca="1" si="121"/>
        <v>0.17560459691194866</v>
      </c>
      <c r="AF187" s="4"/>
      <c r="AG187" s="52">
        <f ca="1">((Inputs!$F$20*(X187*AD187)*(A187-$C$3))+(Inputs!$F$19*W187*AC187*(DAY(EOMONTH(A187,0))/2)))/(AN187*Y187*AE187)</f>
        <v>0.74999999999999989</v>
      </c>
      <c r="AH187" s="4"/>
      <c r="AI187" s="18">
        <f>Inputs!$B$15</f>
        <v>0.06</v>
      </c>
      <c r="AJ187" s="46"/>
      <c r="AK187" s="18">
        <f t="shared" si="122"/>
        <v>3.2000000000000528E-2</v>
      </c>
      <c r="AL187" s="46"/>
      <c r="AM187" s="62">
        <f t="shared" si="123"/>
        <v>43496</v>
      </c>
      <c r="AN187" s="63">
        <f t="shared" ca="1" si="124"/>
        <v>6303</v>
      </c>
      <c r="AO187" s="63">
        <f t="shared" si="151"/>
        <v>1</v>
      </c>
      <c r="AP187" s="19"/>
      <c r="AQ187" s="74">
        <f ca="1">_xll.SPRDOPT(U187,AA187,AI187,AX187,X187,AD187,AG187,AN187,AO187,0)</f>
        <v>0.39719749505590957</v>
      </c>
      <c r="AR187" s="47">
        <f t="shared" ca="1" si="131"/>
        <v>0</v>
      </c>
      <c r="AS187" s="135">
        <f t="shared" ca="1" si="132"/>
        <v>0.36519749505590904</v>
      </c>
      <c r="AU187" s="5">
        <f t="shared" si="152"/>
        <v>31</v>
      </c>
      <c r="AV187" s="148">
        <f t="shared" si="125"/>
        <v>43539</v>
      </c>
      <c r="AW187" s="41">
        <f t="shared" ca="1" si="126"/>
        <v>6346</v>
      </c>
      <c r="AX187" s="100">
        <f>VLOOKUP($A187,[1]!CurveTable,MATCH(AX$4,[1]!CurveType,0))</f>
        <v>5.9923556581696701E-2</v>
      </c>
      <c r="AY187" s="149">
        <f ca="1">1/(1+CHOOSE(F$3,(AX188+(Inputs!$B$14/10000))/2,(AX187+(Inputs!$B$14/10000))/2))^(2*AW187/365.25)</f>
        <v>0.3584939575959844</v>
      </c>
      <c r="AZ187" s="41">
        <f t="shared" si="153"/>
        <v>0</v>
      </c>
      <c r="BA187" s="72">
        <f t="shared" si="154"/>
        <v>0</v>
      </c>
      <c r="BC187" s="65">
        <f t="shared" ca="1" si="133"/>
        <v>0</v>
      </c>
      <c r="BD187" s="65">
        <f t="shared" ca="1" si="134"/>
        <v>0</v>
      </c>
      <c r="BE187" s="65">
        <f t="shared" ca="1" si="135"/>
        <v>0</v>
      </c>
      <c r="BF187" s="65">
        <f t="shared" ca="1" si="136"/>
        <v>0</v>
      </c>
      <c r="BG187" s="65">
        <f t="shared" ca="1" si="137"/>
        <v>0</v>
      </c>
      <c r="BH187" s="65">
        <f t="shared" ca="1" si="138"/>
        <v>0</v>
      </c>
      <c r="BI187" s="65">
        <f t="shared" ca="1" si="139"/>
        <v>0</v>
      </c>
      <c r="BJ187" s="65">
        <f t="shared" ca="1" si="140"/>
        <v>0</v>
      </c>
      <c r="BK187" s="65">
        <f t="shared" ca="1" si="141"/>
        <v>0</v>
      </c>
      <c r="BL187" s="65">
        <f t="shared" ca="1" si="142"/>
        <v>0</v>
      </c>
      <c r="BM187" s="65">
        <f t="shared" ca="1" si="143"/>
        <v>0</v>
      </c>
      <c r="BN187" s="65">
        <f t="shared" ca="1" si="144"/>
        <v>0</v>
      </c>
      <c r="BO187" s="65">
        <f t="shared" ca="1" si="145"/>
        <v>0</v>
      </c>
      <c r="BP187" s="65">
        <f t="shared" ca="1" si="146"/>
        <v>0</v>
      </c>
      <c r="BQ187" s="65">
        <f t="shared" ca="1" si="147"/>
        <v>0</v>
      </c>
      <c r="BR187" s="65">
        <f t="shared" ca="1" si="148"/>
        <v>0</v>
      </c>
      <c r="BS187" s="65">
        <f t="shared" ca="1" si="149"/>
        <v>0</v>
      </c>
      <c r="BT187" s="65">
        <f t="shared" ca="1" si="150"/>
        <v>0</v>
      </c>
      <c r="BU187" s="65">
        <f t="shared" ca="1" si="127"/>
        <v>0</v>
      </c>
    </row>
    <row r="188" spans="1:73">
      <c r="A188" s="42">
        <f t="shared" si="128"/>
        <v>43556</v>
      </c>
      <c r="B188" s="30">
        <f>Inputs!$B$8</f>
        <v>50000</v>
      </c>
      <c r="C188" s="17">
        <f t="shared" si="118"/>
        <v>0</v>
      </c>
      <c r="D188" s="17">
        <f t="shared" ca="1" si="119"/>
        <v>0</v>
      </c>
      <c r="E188" s="25">
        <f>VLOOKUP($A188,[1]!CurveTable,MATCH($E$4,[1]!CurveType,0))</f>
        <v>5.1495000000000006</v>
      </c>
      <c r="F188" s="31">
        <f>E188-Inputs!$B$16</f>
        <v>5.2045000000000003</v>
      </c>
      <c r="G188" s="43">
        <f t="shared" si="160"/>
        <v>5.2045000000000003</v>
      </c>
      <c r="H188" s="25">
        <f>VLOOKUP($A188,[1]!CurveTable,MATCH($H$4,[1]!CurveType,0))</f>
        <v>0.55000000000000004</v>
      </c>
      <c r="I188" s="31">
        <f>H188+Inputs!$B$22</f>
        <v>0.55000000000000004</v>
      </c>
      <c r="J188" s="44">
        <f t="shared" si="161"/>
        <v>0.55000000000000004</v>
      </c>
      <c r="K188" s="25">
        <f>VLOOKUP($A188,[1]!CurveTable,MATCH($K$4,[1]!CurveType,0))</f>
        <v>0</v>
      </c>
      <c r="L188" s="31">
        <v>0</v>
      </c>
      <c r="M188" s="45">
        <f t="shared" si="162"/>
        <v>0</v>
      </c>
      <c r="N188" s="25">
        <f>VLOOKUP($A188,[1]!CurveTable,MATCH($N$4,[1]!CurveType,0))</f>
        <v>2.3E-2</v>
      </c>
      <c r="O188" s="31">
        <f>N188+Inputs!$E$22</f>
        <v>2.3E-2</v>
      </c>
      <c r="P188" s="45">
        <f t="shared" si="163"/>
        <v>2.3E-2</v>
      </c>
      <c r="Q188" s="25">
        <f>VLOOKUP($A188,[1]!CurveTable,MATCH($Q$4,[1]!CurveType,0))</f>
        <v>0.01</v>
      </c>
      <c r="R188" s="31">
        <v>0</v>
      </c>
      <c r="S188" s="45">
        <f t="shared" si="164"/>
        <v>0</v>
      </c>
      <c r="T188" s="4"/>
      <c r="U188" s="159">
        <f t="shared" si="129"/>
        <v>5.7545000000000002</v>
      </c>
      <c r="V188" s="160"/>
      <c r="W188" s="100">
        <f>VLOOKUP($A188,[1]!CurveTable,MATCH($W$4,[1]!CurveType,0))+$W$9</f>
        <v>0.17</v>
      </c>
      <c r="X188" s="100">
        <f>VLOOKUP($A188,[1]!CurveTable,MATCH($X$4,[1]!CurveType,0))+$X$9</f>
        <v>0.17500000000000002</v>
      </c>
      <c r="Y188" s="158">
        <f t="shared" ca="1" si="120"/>
        <v>0.17563674577545829</v>
      </c>
      <c r="Z188" s="4"/>
      <c r="AA188" s="159">
        <f t="shared" si="130"/>
        <v>5.2275</v>
      </c>
      <c r="AB188" s="160"/>
      <c r="AC188" s="100">
        <f>VLOOKUP($A188,[1]!CurveTable,MATCH($AC$4,[1]!CurveType,0))+$AC$9</f>
        <v>0.17</v>
      </c>
      <c r="AD188" s="100">
        <f>VLOOKUP($A188,[1]!CurveTable,MATCH($AD$4,[1]!CurveType,0))+$AD$9</f>
        <v>0.17500000000000002</v>
      </c>
      <c r="AE188" s="158">
        <f t="shared" ca="1" si="121"/>
        <v>0.17563674577545829</v>
      </c>
      <c r="AF188" s="4"/>
      <c r="AG188" s="52">
        <f ca="1">((Inputs!$F$20*(X188*AD188)*(A188-$C$3))+(Inputs!$F$19*W188*AC188*(DAY(EOMONTH(A188,0))/2)))/(AN188*Y188*AE188)</f>
        <v>0.74999999999999978</v>
      </c>
      <c r="AH188" s="4"/>
      <c r="AI188" s="18">
        <f>Inputs!$B$15</f>
        <v>0.06</v>
      </c>
      <c r="AJ188" s="46"/>
      <c r="AK188" s="18">
        <f t="shared" si="122"/>
        <v>0.46700000000000014</v>
      </c>
      <c r="AL188" s="46"/>
      <c r="AM188" s="62">
        <f t="shared" si="123"/>
        <v>43524</v>
      </c>
      <c r="AN188" s="63">
        <f t="shared" ca="1" si="124"/>
        <v>6331</v>
      </c>
      <c r="AO188" s="63">
        <f t="shared" si="151"/>
        <v>1</v>
      </c>
      <c r="AP188" s="19"/>
      <c r="AQ188" s="74">
        <f ca="1">_xll.SPRDOPT(U188,AA188,AI188,AX188,X188,AD188,AG188,AN188,AO188,0)</f>
        <v>0.48246989064780116</v>
      </c>
      <c r="AR188" s="47">
        <f t="shared" ca="1" si="131"/>
        <v>0</v>
      </c>
      <c r="AS188" s="135">
        <f t="shared" ca="1" si="132"/>
        <v>1.5469890647801021E-2</v>
      </c>
      <c r="AU188" s="5">
        <f t="shared" si="152"/>
        <v>30</v>
      </c>
      <c r="AV188" s="148">
        <f t="shared" si="125"/>
        <v>43570</v>
      </c>
      <c r="AW188" s="41">
        <f t="shared" ca="1" si="126"/>
        <v>6377</v>
      </c>
      <c r="AX188" s="100">
        <f>VLOOKUP($A188,[1]!CurveTable,MATCH(AX$4,[1]!CurveType,0))</f>
        <v>5.99817693781848E-2</v>
      </c>
      <c r="AY188" s="149">
        <f ca="1">1/(1+CHOOSE(F$3,(AX189+(Inputs!$B$14/10000))/2,(AX188+(Inputs!$B$14/10000))/2))^(2*AW188/365.25)</f>
        <v>0.35635015198231612</v>
      </c>
      <c r="AZ188" s="41">
        <f t="shared" si="153"/>
        <v>0</v>
      </c>
      <c r="BA188" s="72">
        <f t="shared" si="154"/>
        <v>0</v>
      </c>
      <c r="BC188" s="65">
        <f t="shared" ca="1" si="133"/>
        <v>0</v>
      </c>
      <c r="BD188" s="65">
        <f t="shared" ca="1" si="134"/>
        <v>0</v>
      </c>
      <c r="BE188" s="65">
        <f t="shared" ca="1" si="135"/>
        <v>0</v>
      </c>
      <c r="BF188" s="65">
        <f t="shared" ca="1" si="136"/>
        <v>0</v>
      </c>
      <c r="BG188" s="65">
        <f t="shared" ca="1" si="137"/>
        <v>0</v>
      </c>
      <c r="BH188" s="65">
        <f t="shared" ca="1" si="138"/>
        <v>0</v>
      </c>
      <c r="BI188" s="65">
        <f t="shared" ca="1" si="139"/>
        <v>0</v>
      </c>
      <c r="BJ188" s="65">
        <f t="shared" ca="1" si="140"/>
        <v>0</v>
      </c>
      <c r="BK188" s="65">
        <f t="shared" ca="1" si="141"/>
        <v>0</v>
      </c>
      <c r="BL188" s="65">
        <f t="shared" ca="1" si="142"/>
        <v>0</v>
      </c>
      <c r="BM188" s="65">
        <f t="shared" ca="1" si="143"/>
        <v>0</v>
      </c>
      <c r="BN188" s="65">
        <f t="shared" ca="1" si="144"/>
        <v>0</v>
      </c>
      <c r="BO188" s="65">
        <f t="shared" ca="1" si="145"/>
        <v>0</v>
      </c>
      <c r="BP188" s="65">
        <f t="shared" ca="1" si="146"/>
        <v>0</v>
      </c>
      <c r="BQ188" s="65">
        <f t="shared" ca="1" si="147"/>
        <v>0</v>
      </c>
      <c r="BR188" s="65">
        <f t="shared" ca="1" si="148"/>
        <v>0</v>
      </c>
      <c r="BS188" s="65">
        <f t="shared" ca="1" si="149"/>
        <v>0</v>
      </c>
      <c r="BT188" s="65">
        <f t="shared" ca="1" si="150"/>
        <v>0</v>
      </c>
      <c r="BU188" s="65">
        <f t="shared" ca="1" si="127"/>
        <v>0</v>
      </c>
    </row>
    <row r="189" spans="1:73">
      <c r="A189" s="42">
        <f t="shared" si="128"/>
        <v>43586</v>
      </c>
      <c r="B189" s="30">
        <f>Inputs!$B$8</f>
        <v>50000</v>
      </c>
      <c r="C189" s="17">
        <f t="shared" si="118"/>
        <v>0</v>
      </c>
      <c r="D189" s="17">
        <f t="shared" ca="1" si="119"/>
        <v>0</v>
      </c>
      <c r="E189" s="25">
        <f>VLOOKUP($A189,[1]!CurveTable,MATCH($E$4,[1]!CurveType,0))</f>
        <v>5.1545000000000005</v>
      </c>
      <c r="F189" s="31">
        <f>E189-Inputs!$B$16</f>
        <v>5.2095000000000002</v>
      </c>
      <c r="G189" s="43">
        <f t="shared" si="160"/>
        <v>5.2095000000000002</v>
      </c>
      <c r="H189" s="25">
        <f>VLOOKUP($A189,[1]!CurveTable,MATCH($H$4,[1]!CurveType,0))</f>
        <v>0.7</v>
      </c>
      <c r="I189" s="31">
        <f>H189+Inputs!$B$22</f>
        <v>0.7</v>
      </c>
      <c r="J189" s="44">
        <f t="shared" si="161"/>
        <v>0.7</v>
      </c>
      <c r="K189" s="25">
        <f>VLOOKUP($A189,[1]!CurveTable,MATCH($K$4,[1]!CurveType,0))</f>
        <v>0</v>
      </c>
      <c r="L189" s="31">
        <v>0</v>
      </c>
      <c r="M189" s="45">
        <f t="shared" si="162"/>
        <v>0</v>
      </c>
      <c r="N189" s="25">
        <f>VLOOKUP($A189,[1]!CurveTable,MATCH($N$4,[1]!CurveType,0))</f>
        <v>2.5500000000000002E-2</v>
      </c>
      <c r="O189" s="31">
        <f>N189+Inputs!$E$22</f>
        <v>2.5500000000000002E-2</v>
      </c>
      <c r="P189" s="45">
        <f t="shared" si="163"/>
        <v>2.5500000000000002E-2</v>
      </c>
      <c r="Q189" s="25">
        <f>VLOOKUP($A189,[1]!CurveTable,MATCH($Q$4,[1]!CurveType,0))</f>
        <v>0.01</v>
      </c>
      <c r="R189" s="31">
        <v>0</v>
      </c>
      <c r="S189" s="45">
        <f t="shared" si="164"/>
        <v>0</v>
      </c>
      <c r="T189" s="4"/>
      <c r="U189" s="159">
        <f t="shared" si="129"/>
        <v>5.9095000000000004</v>
      </c>
      <c r="V189" s="160"/>
      <c r="W189" s="100">
        <f>VLOOKUP($A189,[1]!CurveTable,MATCH($W$4,[1]!CurveType,0))+$W$9</f>
        <v>0.34</v>
      </c>
      <c r="X189" s="100">
        <f>VLOOKUP($A189,[1]!CurveTable,MATCH($X$4,[1]!CurveType,0))+$X$9</f>
        <v>0.34500000000000003</v>
      </c>
      <c r="Y189" s="158">
        <f t="shared" ca="1" si="120"/>
        <v>0.34624646123028074</v>
      </c>
      <c r="Z189" s="4"/>
      <c r="AA189" s="159">
        <f t="shared" si="130"/>
        <v>5.2350000000000003</v>
      </c>
      <c r="AB189" s="160"/>
      <c r="AC189" s="100">
        <f>VLOOKUP($A189,[1]!CurveTable,MATCH($AC$4,[1]!CurveType,0))+$AC$9</f>
        <v>0.17</v>
      </c>
      <c r="AD189" s="100">
        <f>VLOOKUP($A189,[1]!CurveTable,MATCH($AD$4,[1]!CurveType,0))+$AD$9</f>
        <v>0.17500000000000002</v>
      </c>
      <c r="AE189" s="158">
        <f t="shared" ca="1" si="121"/>
        <v>0.17562641065829696</v>
      </c>
      <c r="AF189" s="4"/>
      <c r="AG189" s="52">
        <f ca="1">((Inputs!$F$20*(X189*AD189)*(A189-$C$3))+(Inputs!$F$19*W189*AC189*(DAY(EOMONTH(A189,0))/2)))/(AN189*Y189*AE189)</f>
        <v>0.74999982062252524</v>
      </c>
      <c r="AH189" s="4"/>
      <c r="AI189" s="18">
        <f>Inputs!$B$15</f>
        <v>0.06</v>
      </c>
      <c r="AJ189" s="46"/>
      <c r="AK189" s="18">
        <f t="shared" si="122"/>
        <v>0.61450000000000005</v>
      </c>
      <c r="AL189" s="46"/>
      <c r="AM189" s="62">
        <f t="shared" si="123"/>
        <v>43555</v>
      </c>
      <c r="AN189" s="63">
        <f t="shared" ca="1" si="124"/>
        <v>6362</v>
      </c>
      <c r="AO189" s="63">
        <f t="shared" si="151"/>
        <v>1</v>
      </c>
      <c r="AP189" s="19"/>
      <c r="AQ189" s="74">
        <f ca="1">_xll.SPRDOPT(U189,AA189,AI189,AX189,X189,AD189,AG189,AN189,AO189,0)</f>
        <v>0.87785295172382183</v>
      </c>
      <c r="AR189" s="47">
        <f t="shared" ca="1" si="131"/>
        <v>0</v>
      </c>
      <c r="AS189" s="135">
        <f t="shared" ca="1" si="132"/>
        <v>0.26335295172382178</v>
      </c>
      <c r="AU189" s="5">
        <f t="shared" si="152"/>
        <v>31</v>
      </c>
      <c r="AV189" s="148">
        <f t="shared" si="125"/>
        <v>43600</v>
      </c>
      <c r="AW189" s="41">
        <f t="shared" ca="1" si="126"/>
        <v>6407</v>
      </c>
      <c r="AX189" s="100">
        <f>VLOOKUP($A189,[1]!CurveTable,MATCH(AX$4,[1]!CurveType,0))</f>
        <v>6.0038104343599998E-2</v>
      </c>
      <c r="AY189" s="149">
        <f ca="1">1/(1+CHOOSE(F$3,(AX190+(Inputs!$B$14/10000))/2,(AX189+(Inputs!$B$14/10000))/2))^(2*AW189/365.25)</f>
        <v>0.3542844817245277</v>
      </c>
      <c r="AZ189" s="41">
        <f t="shared" si="153"/>
        <v>0</v>
      </c>
      <c r="BA189" s="72">
        <f t="shared" si="154"/>
        <v>0</v>
      </c>
      <c r="BC189" s="65">
        <f t="shared" ca="1" si="133"/>
        <v>0</v>
      </c>
      <c r="BD189" s="65">
        <f t="shared" ca="1" si="134"/>
        <v>0</v>
      </c>
      <c r="BE189" s="65">
        <f t="shared" ca="1" si="135"/>
        <v>0</v>
      </c>
      <c r="BF189" s="65">
        <f t="shared" ca="1" si="136"/>
        <v>0</v>
      </c>
      <c r="BG189" s="65">
        <f t="shared" ca="1" si="137"/>
        <v>0</v>
      </c>
      <c r="BH189" s="65">
        <f t="shared" ca="1" si="138"/>
        <v>0</v>
      </c>
      <c r="BI189" s="65">
        <f t="shared" ca="1" si="139"/>
        <v>0</v>
      </c>
      <c r="BJ189" s="65">
        <f t="shared" ca="1" si="140"/>
        <v>0</v>
      </c>
      <c r="BK189" s="65">
        <f t="shared" ca="1" si="141"/>
        <v>0</v>
      </c>
      <c r="BL189" s="65">
        <f t="shared" ca="1" si="142"/>
        <v>0</v>
      </c>
      <c r="BM189" s="65">
        <f t="shared" ca="1" si="143"/>
        <v>0</v>
      </c>
      <c r="BN189" s="65">
        <f t="shared" ca="1" si="144"/>
        <v>0</v>
      </c>
      <c r="BO189" s="65">
        <f t="shared" ca="1" si="145"/>
        <v>0</v>
      </c>
      <c r="BP189" s="65">
        <f t="shared" ca="1" si="146"/>
        <v>0</v>
      </c>
      <c r="BQ189" s="65">
        <f t="shared" ca="1" si="147"/>
        <v>0</v>
      </c>
      <c r="BR189" s="65">
        <f t="shared" ca="1" si="148"/>
        <v>0</v>
      </c>
      <c r="BS189" s="65">
        <f t="shared" ca="1" si="149"/>
        <v>0</v>
      </c>
      <c r="BT189" s="65">
        <f t="shared" ca="1" si="150"/>
        <v>0</v>
      </c>
      <c r="BU189" s="65">
        <f t="shared" ca="1" si="127"/>
        <v>0</v>
      </c>
    </row>
    <row r="190" spans="1:73">
      <c r="A190" s="42">
        <f t="shared" si="128"/>
        <v>43617</v>
      </c>
      <c r="B190" s="30">
        <f>Inputs!$B$8</f>
        <v>50000</v>
      </c>
      <c r="C190" s="17">
        <f t="shared" si="118"/>
        <v>0</v>
      </c>
      <c r="D190" s="17">
        <f t="shared" ca="1" si="119"/>
        <v>0</v>
      </c>
      <c r="E190" s="25">
        <f>VLOOKUP($A190,[1]!CurveTable,MATCH($E$4,[1]!CurveType,0))</f>
        <v>5.1924999999999999</v>
      </c>
      <c r="F190" s="31">
        <f>E190-Inputs!$B$16</f>
        <v>5.2474999999999996</v>
      </c>
      <c r="G190" s="43">
        <f t="shared" ref="G190:G209" si="165">F190</f>
        <v>5.2474999999999996</v>
      </c>
      <c r="H190" s="25">
        <f>VLOOKUP($A190,[1]!CurveTable,MATCH($H$4,[1]!CurveType,0))</f>
        <v>0.8</v>
      </c>
      <c r="I190" s="31">
        <f>H190+Inputs!$B$22</f>
        <v>0.8</v>
      </c>
      <c r="J190" s="44">
        <f t="shared" ref="J190:J209" si="166">I190</f>
        <v>0.8</v>
      </c>
      <c r="K190" s="25">
        <f>VLOOKUP($A190,[1]!CurveTable,MATCH($K$4,[1]!CurveType,0))</f>
        <v>0</v>
      </c>
      <c r="L190" s="31">
        <v>0</v>
      </c>
      <c r="M190" s="45">
        <f t="shared" ref="M190:M209" si="167">L190</f>
        <v>0</v>
      </c>
      <c r="N190" s="25">
        <f>VLOOKUP($A190,[1]!CurveTable,MATCH($N$4,[1]!CurveType,0))</f>
        <v>2.3E-2</v>
      </c>
      <c r="O190" s="31">
        <f>N190+Inputs!$E$22</f>
        <v>2.3E-2</v>
      </c>
      <c r="P190" s="45">
        <f t="shared" ref="P190:P209" si="168">O190</f>
        <v>2.3E-2</v>
      </c>
      <c r="Q190" s="25">
        <f>VLOOKUP($A190,[1]!CurveTable,MATCH($Q$4,[1]!CurveType,0))</f>
        <v>0.01</v>
      </c>
      <c r="R190" s="31">
        <v>0</v>
      </c>
      <c r="S190" s="45">
        <f t="shared" ref="S190:S209" si="169">R190</f>
        <v>0</v>
      </c>
      <c r="T190" s="4"/>
      <c r="U190" s="159">
        <f t="shared" si="129"/>
        <v>6.0474999999999994</v>
      </c>
      <c r="V190" s="160"/>
      <c r="W190" s="100">
        <f>VLOOKUP($A190,[1]!CurveTable,MATCH($W$4,[1]!CurveType,0))+$W$9</f>
        <v>0.34</v>
      </c>
      <c r="X190" s="100">
        <f>VLOOKUP($A190,[1]!CurveTable,MATCH($X$4,[1]!CurveType,0))+$X$9</f>
        <v>0.34500000000000003</v>
      </c>
      <c r="Y190" s="158">
        <f t="shared" ca="1" si="120"/>
        <v>0.34625445330427351</v>
      </c>
      <c r="Z190" s="4"/>
      <c r="AA190" s="159">
        <f t="shared" si="130"/>
        <v>5.2704999999999993</v>
      </c>
      <c r="AB190" s="160"/>
      <c r="AC190" s="100">
        <f>VLOOKUP($A190,[1]!CurveTable,MATCH($AC$4,[1]!CurveType,0))+$AC$9</f>
        <v>0.17</v>
      </c>
      <c r="AD190" s="100">
        <f>VLOOKUP($A190,[1]!CurveTable,MATCH($AD$4,[1]!CurveType,0))+$AD$9</f>
        <v>0.17500000000000002</v>
      </c>
      <c r="AE190" s="158">
        <f t="shared" ca="1" si="121"/>
        <v>0.17563068010670413</v>
      </c>
      <c r="AF190" s="4"/>
      <c r="AG190" s="52">
        <f ca="1">((Inputs!$F$20*(X190*AD190)*(A190-$C$3))+(Inputs!$F$19*W190*AC190*(DAY(EOMONTH(A190,0))/2)))/(AN190*Y190*AE190)</f>
        <v>0.74999982721703351</v>
      </c>
      <c r="AH190" s="4"/>
      <c r="AI190" s="18">
        <f>Inputs!$B$15</f>
        <v>0.06</v>
      </c>
      <c r="AJ190" s="46"/>
      <c r="AK190" s="18">
        <f t="shared" si="122"/>
        <v>0.71700000000000008</v>
      </c>
      <c r="AL190" s="46"/>
      <c r="AM190" s="62">
        <f t="shared" si="123"/>
        <v>43585</v>
      </c>
      <c r="AN190" s="63">
        <f t="shared" ca="1" si="124"/>
        <v>6392</v>
      </c>
      <c r="AO190" s="63">
        <f t="shared" si="151"/>
        <v>1</v>
      </c>
      <c r="AP190" s="19"/>
      <c r="AQ190" s="74">
        <f ca="1">_xll.SPRDOPT(U190,AA190,AI190,AX190,X190,AD190,AG190,AN190,AO190,0)</f>
        <v>0.90536116914781217</v>
      </c>
      <c r="AR190" s="47">
        <f t="shared" ca="1" si="131"/>
        <v>0</v>
      </c>
      <c r="AS190" s="135">
        <f t="shared" ca="1" si="132"/>
        <v>0.18836116914781209</v>
      </c>
      <c r="AU190" s="5">
        <f t="shared" si="152"/>
        <v>30</v>
      </c>
      <c r="AV190" s="148">
        <f t="shared" si="125"/>
        <v>43631</v>
      </c>
      <c r="AW190" s="41">
        <f t="shared" ca="1" si="126"/>
        <v>6438</v>
      </c>
      <c r="AX190" s="100">
        <f>VLOOKUP($A190,[1]!CurveTable,MATCH(AX$4,[1]!CurveType,0))</f>
        <v>6.00963171423037E-2</v>
      </c>
      <c r="AY190" s="149">
        <f ca="1">1/(1+CHOOSE(F$3,(AX191+(Inputs!$B$14/10000))/2,(AX190+(Inputs!$B$14/10000))/2))^(2*AW190/365.25)</f>
        <v>0.35215922025556584</v>
      </c>
      <c r="AZ190" s="41">
        <f t="shared" si="153"/>
        <v>0</v>
      </c>
      <c r="BA190" s="72">
        <f t="shared" si="154"/>
        <v>0</v>
      </c>
      <c r="BC190" s="65">
        <f t="shared" ca="1" si="133"/>
        <v>0</v>
      </c>
      <c r="BD190" s="65">
        <f t="shared" ca="1" si="134"/>
        <v>0</v>
      </c>
      <c r="BE190" s="65">
        <f t="shared" ca="1" si="135"/>
        <v>0</v>
      </c>
      <c r="BF190" s="65">
        <f t="shared" ca="1" si="136"/>
        <v>0</v>
      </c>
      <c r="BG190" s="65">
        <f t="shared" ca="1" si="137"/>
        <v>0</v>
      </c>
      <c r="BH190" s="65">
        <f t="shared" ca="1" si="138"/>
        <v>0</v>
      </c>
      <c r="BI190" s="65">
        <f t="shared" ca="1" si="139"/>
        <v>0</v>
      </c>
      <c r="BJ190" s="65">
        <f t="shared" ca="1" si="140"/>
        <v>0</v>
      </c>
      <c r="BK190" s="65">
        <f t="shared" ca="1" si="141"/>
        <v>0</v>
      </c>
      <c r="BL190" s="65">
        <f t="shared" ca="1" si="142"/>
        <v>0</v>
      </c>
      <c r="BM190" s="65">
        <f t="shared" ca="1" si="143"/>
        <v>0</v>
      </c>
      <c r="BN190" s="65">
        <f t="shared" ca="1" si="144"/>
        <v>0</v>
      </c>
      <c r="BO190" s="65">
        <f t="shared" ca="1" si="145"/>
        <v>0</v>
      </c>
      <c r="BP190" s="65">
        <f t="shared" ca="1" si="146"/>
        <v>0</v>
      </c>
      <c r="BQ190" s="65">
        <f t="shared" ca="1" si="147"/>
        <v>0</v>
      </c>
      <c r="BR190" s="65">
        <f t="shared" ca="1" si="148"/>
        <v>0</v>
      </c>
      <c r="BS190" s="65">
        <f t="shared" ca="1" si="149"/>
        <v>0</v>
      </c>
      <c r="BT190" s="65">
        <f t="shared" ca="1" si="150"/>
        <v>0</v>
      </c>
      <c r="BU190" s="65">
        <f t="shared" ca="1" si="127"/>
        <v>0</v>
      </c>
    </row>
    <row r="191" spans="1:73">
      <c r="A191" s="42">
        <f t="shared" si="128"/>
        <v>43647</v>
      </c>
      <c r="B191" s="30">
        <f>Inputs!$B$8</f>
        <v>50000</v>
      </c>
      <c r="C191" s="17">
        <f t="shared" si="118"/>
        <v>0</v>
      </c>
      <c r="D191" s="17">
        <f t="shared" ca="1" si="119"/>
        <v>0</v>
      </c>
      <c r="E191" s="25">
        <f>VLOOKUP($A191,[1]!CurveTable,MATCH($E$4,[1]!CurveType,0))</f>
        <v>5.2374999999999998</v>
      </c>
      <c r="F191" s="31">
        <f>E191-Inputs!$B$16</f>
        <v>5.2924999999999995</v>
      </c>
      <c r="G191" s="43">
        <f t="shared" si="165"/>
        <v>5.2924999999999995</v>
      </c>
      <c r="H191" s="25">
        <f>VLOOKUP($A191,[1]!CurveTable,MATCH($H$4,[1]!CurveType,0))</f>
        <v>1</v>
      </c>
      <c r="I191" s="31">
        <f>H191+Inputs!$B$22</f>
        <v>1</v>
      </c>
      <c r="J191" s="44">
        <f t="shared" si="166"/>
        <v>1</v>
      </c>
      <c r="K191" s="25">
        <f>VLOOKUP($A191,[1]!CurveTable,MATCH($K$4,[1]!CurveType,0))</f>
        <v>0</v>
      </c>
      <c r="L191" s="31">
        <v>0</v>
      </c>
      <c r="M191" s="45">
        <f t="shared" si="167"/>
        <v>0</v>
      </c>
      <c r="N191" s="25">
        <f>VLOOKUP($A191,[1]!CurveTable,MATCH($N$4,[1]!CurveType,0))</f>
        <v>2.0500000000000001E-2</v>
      </c>
      <c r="O191" s="31">
        <f>N191+Inputs!$E$22</f>
        <v>2.0500000000000001E-2</v>
      </c>
      <c r="P191" s="45">
        <f t="shared" si="168"/>
        <v>2.0500000000000001E-2</v>
      </c>
      <c r="Q191" s="25">
        <f>VLOOKUP($A191,[1]!CurveTable,MATCH($Q$4,[1]!CurveType,0))</f>
        <v>0.01</v>
      </c>
      <c r="R191" s="31">
        <v>0</v>
      </c>
      <c r="S191" s="45">
        <f t="shared" si="169"/>
        <v>0</v>
      </c>
      <c r="T191" s="4"/>
      <c r="U191" s="159">
        <f t="shared" si="129"/>
        <v>6.2924999999999995</v>
      </c>
      <c r="V191" s="160"/>
      <c r="W191" s="100">
        <f>VLOOKUP($A191,[1]!CurveTable,MATCH($W$4,[1]!CurveType,0))+$W$9</f>
        <v>0.34</v>
      </c>
      <c r="X191" s="100">
        <f>VLOOKUP($A191,[1]!CurveTable,MATCH($X$4,[1]!CurveType,0))+$X$9</f>
        <v>0.34500000000000003</v>
      </c>
      <c r="Y191" s="158">
        <f t="shared" ca="1" si="120"/>
        <v>0.34623464454468311</v>
      </c>
      <c r="Z191" s="4"/>
      <c r="AA191" s="159">
        <f t="shared" si="130"/>
        <v>5.3129999999999997</v>
      </c>
      <c r="AB191" s="160"/>
      <c r="AC191" s="100">
        <f>VLOOKUP($A191,[1]!CurveTable,MATCH($AC$4,[1]!CurveType,0))+$AC$9</f>
        <v>0.17</v>
      </c>
      <c r="AD191" s="100">
        <f>VLOOKUP($A191,[1]!CurveTable,MATCH($AD$4,[1]!CurveType,0))+$AD$9</f>
        <v>0.17500000000000002</v>
      </c>
      <c r="AE191" s="158">
        <f t="shared" ca="1" si="121"/>
        <v>0.17562047207026338</v>
      </c>
      <c r="AF191" s="4"/>
      <c r="AG191" s="52">
        <f ca="1">((Inputs!$F$20*(X191*AD191)*(A191-$C$3))+(Inputs!$F$19*W191*AC191*(DAY(EOMONTH(A191,0))/2)))/(AN191*Y191*AE191)</f>
        <v>0.74999982231013296</v>
      </c>
      <c r="AH191" s="4"/>
      <c r="AI191" s="18">
        <f>Inputs!$B$15</f>
        <v>0.06</v>
      </c>
      <c r="AJ191" s="46"/>
      <c r="AK191" s="18">
        <f t="shared" si="122"/>
        <v>0.91949999999999976</v>
      </c>
      <c r="AL191" s="46"/>
      <c r="AM191" s="62">
        <f t="shared" si="123"/>
        <v>43616</v>
      </c>
      <c r="AN191" s="63">
        <f t="shared" ca="1" si="124"/>
        <v>6423</v>
      </c>
      <c r="AO191" s="63">
        <f t="shared" si="151"/>
        <v>1</v>
      </c>
      <c r="AP191" s="19"/>
      <c r="AQ191" s="74">
        <f ca="1">_xll.SPRDOPT(U191,AA191,AI191,AX191,X191,AD191,AG191,AN191,AO191,0)</f>
        <v>0.95944634270544749</v>
      </c>
      <c r="AR191" s="47">
        <f t="shared" ca="1" si="131"/>
        <v>0</v>
      </c>
      <c r="AS191" s="135">
        <f t="shared" ca="1" si="132"/>
        <v>3.9946342705447724E-2</v>
      </c>
      <c r="AU191" s="5">
        <f t="shared" si="152"/>
        <v>31</v>
      </c>
      <c r="AV191" s="148">
        <f t="shared" si="125"/>
        <v>43661</v>
      </c>
      <c r="AW191" s="41">
        <f t="shared" ca="1" si="126"/>
        <v>6468</v>
      </c>
      <c r="AX191" s="100">
        <f>VLOOKUP($A191,[1]!CurveTable,MATCH(AX$4,[1]!CurveType,0))</f>
        <v>6.0152652109862502E-2</v>
      </c>
      <c r="AY191" s="149">
        <f ca="1">1/(1+CHOOSE(F$3,(AX192+(Inputs!$B$14/10000))/2,(AX191+(Inputs!$B$14/10000))/2))^(2*AW191/365.25)</f>
        <v>0.35011146648955022</v>
      </c>
      <c r="AZ191" s="41">
        <f t="shared" si="153"/>
        <v>0</v>
      </c>
      <c r="BA191" s="72">
        <f t="shared" si="154"/>
        <v>0</v>
      </c>
      <c r="BC191" s="65">
        <f t="shared" ca="1" si="133"/>
        <v>0</v>
      </c>
      <c r="BD191" s="65">
        <f t="shared" ca="1" si="134"/>
        <v>0</v>
      </c>
      <c r="BE191" s="65">
        <f t="shared" ca="1" si="135"/>
        <v>0</v>
      </c>
      <c r="BF191" s="65">
        <f t="shared" ca="1" si="136"/>
        <v>0</v>
      </c>
      <c r="BG191" s="65">
        <f t="shared" ca="1" si="137"/>
        <v>0</v>
      </c>
      <c r="BH191" s="65">
        <f t="shared" ca="1" si="138"/>
        <v>0</v>
      </c>
      <c r="BI191" s="65">
        <f t="shared" ca="1" si="139"/>
        <v>0</v>
      </c>
      <c r="BJ191" s="65">
        <f t="shared" ca="1" si="140"/>
        <v>0</v>
      </c>
      <c r="BK191" s="65">
        <f t="shared" ca="1" si="141"/>
        <v>0</v>
      </c>
      <c r="BL191" s="65">
        <f t="shared" ca="1" si="142"/>
        <v>0</v>
      </c>
      <c r="BM191" s="65">
        <f t="shared" ca="1" si="143"/>
        <v>0</v>
      </c>
      <c r="BN191" s="65">
        <f t="shared" ca="1" si="144"/>
        <v>0</v>
      </c>
      <c r="BO191" s="65">
        <f t="shared" ca="1" si="145"/>
        <v>0</v>
      </c>
      <c r="BP191" s="65">
        <f t="shared" ca="1" si="146"/>
        <v>0</v>
      </c>
      <c r="BQ191" s="65">
        <f t="shared" ca="1" si="147"/>
        <v>0</v>
      </c>
      <c r="BR191" s="65">
        <f t="shared" ca="1" si="148"/>
        <v>0</v>
      </c>
      <c r="BS191" s="65">
        <f t="shared" ca="1" si="149"/>
        <v>0</v>
      </c>
      <c r="BT191" s="65">
        <f t="shared" ca="1" si="150"/>
        <v>0</v>
      </c>
      <c r="BU191" s="65">
        <f t="shared" ca="1" si="127"/>
        <v>0</v>
      </c>
    </row>
    <row r="192" spans="1:73">
      <c r="A192" s="42">
        <f t="shared" si="128"/>
        <v>43678</v>
      </c>
      <c r="B192" s="30">
        <f>Inputs!$B$8</f>
        <v>50000</v>
      </c>
      <c r="C192" s="17">
        <f t="shared" si="118"/>
        <v>0</v>
      </c>
      <c r="D192" s="17">
        <f t="shared" ca="1" si="119"/>
        <v>0</v>
      </c>
      <c r="E192" s="25">
        <f>VLOOKUP($A192,[1]!CurveTable,MATCH($E$4,[1]!CurveType,0))</f>
        <v>5.2755000000000001</v>
      </c>
      <c r="F192" s="31">
        <f>E192-Inputs!$B$16</f>
        <v>5.3304999999999998</v>
      </c>
      <c r="G192" s="43">
        <f t="shared" si="165"/>
        <v>5.3304999999999998</v>
      </c>
      <c r="H192" s="25">
        <f>VLOOKUP($A192,[1]!CurveTable,MATCH($H$4,[1]!CurveType,0))</f>
        <v>1</v>
      </c>
      <c r="I192" s="31">
        <f>H192+Inputs!$B$22</f>
        <v>1</v>
      </c>
      <c r="J192" s="44">
        <f t="shared" si="166"/>
        <v>1</v>
      </c>
      <c r="K192" s="25">
        <f>VLOOKUP($A192,[1]!CurveTable,MATCH($K$4,[1]!CurveType,0))</f>
        <v>0</v>
      </c>
      <c r="L192" s="31">
        <v>0</v>
      </c>
      <c r="M192" s="45">
        <f t="shared" si="167"/>
        <v>0</v>
      </c>
      <c r="N192" s="25">
        <f>VLOOKUP($A192,[1]!CurveTable,MATCH($N$4,[1]!CurveType,0))</f>
        <v>2.0500000000000001E-2</v>
      </c>
      <c r="O192" s="31">
        <f>N192+Inputs!$E$22</f>
        <v>2.0500000000000001E-2</v>
      </c>
      <c r="P192" s="45">
        <f t="shared" si="168"/>
        <v>2.0500000000000001E-2</v>
      </c>
      <c r="Q192" s="25">
        <f>VLOOKUP($A192,[1]!CurveTable,MATCH($Q$4,[1]!CurveType,0))</f>
        <v>0.01</v>
      </c>
      <c r="R192" s="31">
        <v>0</v>
      </c>
      <c r="S192" s="45">
        <f t="shared" si="169"/>
        <v>0</v>
      </c>
      <c r="T192" s="4"/>
      <c r="U192" s="159">
        <f t="shared" si="129"/>
        <v>6.3304999999999998</v>
      </c>
      <c r="V192" s="160"/>
      <c r="W192" s="100">
        <f>VLOOKUP($A192,[1]!CurveTable,MATCH($W$4,[1]!CurveType,0))+$W$9</f>
        <v>0.34</v>
      </c>
      <c r="X192" s="100">
        <f>VLOOKUP($A192,[1]!CurveTable,MATCH($X$4,[1]!CurveType,0))+$X$9</f>
        <v>0.34500000000000003</v>
      </c>
      <c r="Y192" s="158">
        <f t="shared" ca="1" si="120"/>
        <v>0.3462555507138102</v>
      </c>
      <c r="Z192" s="4"/>
      <c r="AA192" s="159">
        <f t="shared" si="130"/>
        <v>5.351</v>
      </c>
      <c r="AB192" s="160"/>
      <c r="AC192" s="100">
        <f>VLOOKUP($A192,[1]!CurveTable,MATCH($AC$4,[1]!CurveType,0))+$AC$9</f>
        <v>0.17</v>
      </c>
      <c r="AD192" s="100">
        <f>VLOOKUP($A192,[1]!CurveTable,MATCH($AD$4,[1]!CurveType,0))+$AD$9</f>
        <v>0.17500000000000002</v>
      </c>
      <c r="AE192" s="158">
        <f t="shared" ca="1" si="121"/>
        <v>0.1756311039474362</v>
      </c>
      <c r="AF192" s="4"/>
      <c r="AG192" s="52">
        <f ca="1">((Inputs!$F$20*(X192*AD192)*(A192-$C$3))+(Inputs!$F$19*W192*AC192*(DAY(EOMONTH(A192,0))/2)))/(AN192*Y192*AE192)</f>
        <v>0.74999982315565861</v>
      </c>
      <c r="AH192" s="4"/>
      <c r="AI192" s="18">
        <f>Inputs!$B$15</f>
        <v>0.06</v>
      </c>
      <c r="AJ192" s="46"/>
      <c r="AK192" s="18">
        <f t="shared" si="122"/>
        <v>0.91949999999999976</v>
      </c>
      <c r="AL192" s="46"/>
      <c r="AM192" s="62">
        <f t="shared" si="123"/>
        <v>43646</v>
      </c>
      <c r="AN192" s="63">
        <f t="shared" ca="1" si="124"/>
        <v>6453</v>
      </c>
      <c r="AO192" s="63">
        <f t="shared" si="151"/>
        <v>1</v>
      </c>
      <c r="AP192" s="19"/>
      <c r="AQ192" s="74">
        <f ca="1">_xll.SPRDOPT(U192,AA192,AI192,AX192,X192,AD192,AG192,AN192,AO192,0)</f>
        <v>0.96045644146047582</v>
      </c>
      <c r="AR192" s="47">
        <f t="shared" ca="1" si="131"/>
        <v>0</v>
      </c>
      <c r="AS192" s="135">
        <f t="shared" ca="1" si="132"/>
        <v>4.0956441460476056E-2</v>
      </c>
      <c r="AU192" s="5">
        <f t="shared" si="152"/>
        <v>31</v>
      </c>
      <c r="AV192" s="148">
        <f t="shared" si="125"/>
        <v>43692</v>
      </c>
      <c r="AW192" s="41">
        <f t="shared" ca="1" si="126"/>
        <v>6499</v>
      </c>
      <c r="AX192" s="100">
        <f>VLOOKUP($A192,[1]!CurveTable,MATCH(AX$4,[1]!CurveType,0))</f>
        <v>6.02108649107818E-2</v>
      </c>
      <c r="AY192" s="149">
        <f ca="1">1/(1+CHOOSE(F$3,(AX193+(Inputs!$B$14/10000))/2,(AX192+(Inputs!$B$14/10000))/2))^(2*AW192/365.25)</f>
        <v>0.34800468795234535</v>
      </c>
      <c r="AZ192" s="41">
        <f t="shared" si="153"/>
        <v>0</v>
      </c>
      <c r="BA192" s="72">
        <f t="shared" si="154"/>
        <v>0</v>
      </c>
      <c r="BC192" s="65">
        <f t="shared" ca="1" si="133"/>
        <v>0</v>
      </c>
      <c r="BD192" s="65">
        <f t="shared" ca="1" si="134"/>
        <v>0</v>
      </c>
      <c r="BE192" s="65">
        <f t="shared" ca="1" si="135"/>
        <v>0</v>
      </c>
      <c r="BF192" s="65">
        <f t="shared" ca="1" si="136"/>
        <v>0</v>
      </c>
      <c r="BG192" s="65">
        <f t="shared" ca="1" si="137"/>
        <v>0</v>
      </c>
      <c r="BH192" s="65">
        <f t="shared" ca="1" si="138"/>
        <v>0</v>
      </c>
      <c r="BI192" s="65">
        <f t="shared" ca="1" si="139"/>
        <v>0</v>
      </c>
      <c r="BJ192" s="65">
        <f t="shared" ca="1" si="140"/>
        <v>0</v>
      </c>
      <c r="BK192" s="65">
        <f t="shared" ca="1" si="141"/>
        <v>0</v>
      </c>
      <c r="BL192" s="65">
        <f t="shared" ca="1" si="142"/>
        <v>0</v>
      </c>
      <c r="BM192" s="65">
        <f t="shared" ca="1" si="143"/>
        <v>0</v>
      </c>
      <c r="BN192" s="65">
        <f t="shared" ca="1" si="144"/>
        <v>0</v>
      </c>
      <c r="BO192" s="65">
        <f t="shared" ca="1" si="145"/>
        <v>0</v>
      </c>
      <c r="BP192" s="65">
        <f t="shared" ca="1" si="146"/>
        <v>0</v>
      </c>
      <c r="BQ192" s="65">
        <f t="shared" ca="1" si="147"/>
        <v>0</v>
      </c>
      <c r="BR192" s="65">
        <f t="shared" ca="1" si="148"/>
        <v>0</v>
      </c>
      <c r="BS192" s="65">
        <f t="shared" ca="1" si="149"/>
        <v>0</v>
      </c>
      <c r="BT192" s="65">
        <f t="shared" ca="1" si="150"/>
        <v>0</v>
      </c>
      <c r="BU192" s="65">
        <f t="shared" ca="1" si="127"/>
        <v>0</v>
      </c>
    </row>
    <row r="193" spans="1:73">
      <c r="A193" s="42">
        <f t="shared" si="128"/>
        <v>43709</v>
      </c>
      <c r="B193" s="30">
        <f>Inputs!$B$8</f>
        <v>50000</v>
      </c>
      <c r="C193" s="17">
        <f t="shared" si="118"/>
        <v>0</v>
      </c>
      <c r="D193" s="17">
        <f t="shared" ca="1" si="119"/>
        <v>0</v>
      </c>
      <c r="E193" s="25">
        <f>VLOOKUP($A193,[1]!CurveTable,MATCH($E$4,[1]!CurveType,0))</f>
        <v>5.2694999999999999</v>
      </c>
      <c r="F193" s="31">
        <f>E193-Inputs!$B$16</f>
        <v>5.3244999999999996</v>
      </c>
      <c r="G193" s="43">
        <f t="shared" si="165"/>
        <v>5.3244999999999996</v>
      </c>
      <c r="H193" s="25">
        <f>VLOOKUP($A193,[1]!CurveTable,MATCH($H$4,[1]!CurveType,0))</f>
        <v>0.6</v>
      </c>
      <c r="I193" s="31">
        <f>H193+Inputs!$B$22</f>
        <v>0.6</v>
      </c>
      <c r="J193" s="44">
        <f t="shared" si="166"/>
        <v>0.6</v>
      </c>
      <c r="K193" s="25">
        <f>VLOOKUP($A193,[1]!CurveTable,MATCH($K$4,[1]!CurveType,0))</f>
        <v>0</v>
      </c>
      <c r="L193" s="31">
        <v>0</v>
      </c>
      <c r="M193" s="45">
        <f t="shared" si="167"/>
        <v>0</v>
      </c>
      <c r="N193" s="25">
        <f>VLOOKUP($A193,[1]!CurveTable,MATCH($N$4,[1]!CurveType,0))</f>
        <v>2.0500000000000001E-2</v>
      </c>
      <c r="O193" s="31">
        <f>N193+Inputs!$E$22</f>
        <v>2.0500000000000001E-2</v>
      </c>
      <c r="P193" s="45">
        <f t="shared" si="168"/>
        <v>2.0500000000000001E-2</v>
      </c>
      <c r="Q193" s="25">
        <f>VLOOKUP($A193,[1]!CurveTable,MATCH($Q$4,[1]!CurveType,0))</f>
        <v>0.01</v>
      </c>
      <c r="R193" s="31">
        <v>0</v>
      </c>
      <c r="S193" s="45">
        <f t="shared" si="169"/>
        <v>0</v>
      </c>
      <c r="T193" s="4"/>
      <c r="U193" s="159">
        <f t="shared" si="129"/>
        <v>5.9244999999999992</v>
      </c>
      <c r="V193" s="160"/>
      <c r="W193" s="100">
        <f>VLOOKUP($A193,[1]!CurveTable,MATCH($W$4,[1]!CurveType,0))+$W$9</f>
        <v>0.34</v>
      </c>
      <c r="X193" s="100">
        <f>VLOOKUP($A193,[1]!CurveTable,MATCH($X$4,[1]!CurveType,0))+$X$9</f>
        <v>0.34500000000000003</v>
      </c>
      <c r="Y193" s="158">
        <f t="shared" ca="1" si="120"/>
        <v>0.34623668593853213</v>
      </c>
      <c r="Z193" s="4"/>
      <c r="AA193" s="159">
        <f t="shared" si="130"/>
        <v>5.3449999999999998</v>
      </c>
      <c r="AB193" s="160"/>
      <c r="AC193" s="100">
        <f>VLOOKUP($A193,[1]!CurveTable,MATCH($AC$4,[1]!CurveType,0))+$AC$9</f>
        <v>0.17</v>
      </c>
      <c r="AD193" s="100">
        <f>VLOOKUP($A193,[1]!CurveTable,MATCH($AD$4,[1]!CurveType,0))+$AD$9</f>
        <v>0.17500000000000002</v>
      </c>
      <c r="AE193" s="158">
        <f t="shared" ca="1" si="121"/>
        <v>0.17562174736999564</v>
      </c>
      <c r="AF193" s="4"/>
      <c r="AG193" s="52">
        <f ca="1">((Inputs!$F$20*(X193*AD193)*(A193-$C$3))+(Inputs!$F$19*W193*AC193*(DAY(EOMONTH(A193,0))/2)))/(AN193*Y193*AE193)</f>
        <v>0.74999982964584178</v>
      </c>
      <c r="AH193" s="4"/>
      <c r="AI193" s="18">
        <f>Inputs!$B$15</f>
        <v>0.06</v>
      </c>
      <c r="AJ193" s="46"/>
      <c r="AK193" s="18">
        <f t="shared" si="122"/>
        <v>0.51949999999999941</v>
      </c>
      <c r="AL193" s="46"/>
      <c r="AM193" s="62">
        <f t="shared" si="123"/>
        <v>43677</v>
      </c>
      <c r="AN193" s="63">
        <f t="shared" ca="1" si="124"/>
        <v>6484</v>
      </c>
      <c r="AO193" s="63">
        <f t="shared" si="151"/>
        <v>1</v>
      </c>
      <c r="AP193" s="19"/>
      <c r="AQ193" s="74">
        <f ca="1">_xll.SPRDOPT(U193,AA193,AI193,AX193,X193,AD193,AG193,AN193,AO193,0)</f>
        <v>0.85430660567859351</v>
      </c>
      <c r="AR193" s="47">
        <f t="shared" ca="1" si="131"/>
        <v>0</v>
      </c>
      <c r="AS193" s="135">
        <f t="shared" ca="1" si="132"/>
        <v>0.3348066056785941</v>
      </c>
      <c r="AU193" s="5">
        <f t="shared" si="152"/>
        <v>30</v>
      </c>
      <c r="AV193" s="148">
        <f t="shared" si="125"/>
        <v>43723</v>
      </c>
      <c r="AW193" s="41">
        <f t="shared" ca="1" si="126"/>
        <v>6530</v>
      </c>
      <c r="AX193" s="100">
        <f>VLOOKUP($A193,[1]!CurveTable,MATCH(AX$4,[1]!CurveType,0))</f>
        <v>6.0269077712826302E-2</v>
      </c>
      <c r="AY193" s="149">
        <f ca="1">1/(1+CHOOSE(F$3,(AX194+(Inputs!$B$14/10000))/2,(AX193+(Inputs!$B$14/10000))/2))^(2*AW193/365.25)</f>
        <v>0.34590727849166825</v>
      </c>
      <c r="AZ193" s="41">
        <f t="shared" si="153"/>
        <v>0</v>
      </c>
      <c r="BA193" s="72">
        <f t="shared" si="154"/>
        <v>0</v>
      </c>
      <c r="BC193" s="65">
        <f t="shared" ca="1" si="133"/>
        <v>0</v>
      </c>
      <c r="BD193" s="65">
        <f t="shared" ca="1" si="134"/>
        <v>0</v>
      </c>
      <c r="BE193" s="65">
        <f t="shared" ca="1" si="135"/>
        <v>0</v>
      </c>
      <c r="BF193" s="65">
        <f t="shared" ca="1" si="136"/>
        <v>0</v>
      </c>
      <c r="BG193" s="65">
        <f t="shared" ca="1" si="137"/>
        <v>0</v>
      </c>
      <c r="BH193" s="65">
        <f t="shared" ca="1" si="138"/>
        <v>0</v>
      </c>
      <c r="BI193" s="65">
        <f t="shared" ca="1" si="139"/>
        <v>0</v>
      </c>
      <c r="BJ193" s="65">
        <f t="shared" ca="1" si="140"/>
        <v>0</v>
      </c>
      <c r="BK193" s="65">
        <f t="shared" ca="1" si="141"/>
        <v>0</v>
      </c>
      <c r="BL193" s="65">
        <f t="shared" ca="1" si="142"/>
        <v>0</v>
      </c>
      <c r="BM193" s="65">
        <f t="shared" ca="1" si="143"/>
        <v>0</v>
      </c>
      <c r="BN193" s="65">
        <f t="shared" ca="1" si="144"/>
        <v>0</v>
      </c>
      <c r="BO193" s="65">
        <f t="shared" ca="1" si="145"/>
        <v>0</v>
      </c>
      <c r="BP193" s="65">
        <f t="shared" ca="1" si="146"/>
        <v>0</v>
      </c>
      <c r="BQ193" s="65">
        <f t="shared" ca="1" si="147"/>
        <v>0</v>
      </c>
      <c r="BR193" s="65">
        <f t="shared" ca="1" si="148"/>
        <v>0</v>
      </c>
      <c r="BS193" s="65">
        <f t="shared" ca="1" si="149"/>
        <v>0</v>
      </c>
      <c r="BT193" s="65">
        <f t="shared" ca="1" si="150"/>
        <v>0</v>
      </c>
      <c r="BU193" s="65">
        <f t="shared" ca="1" si="127"/>
        <v>0</v>
      </c>
    </row>
    <row r="194" spans="1:73">
      <c r="A194" s="42">
        <f t="shared" si="128"/>
        <v>43739</v>
      </c>
      <c r="B194" s="30">
        <f>Inputs!$B$8</f>
        <v>50000</v>
      </c>
      <c r="C194" s="17">
        <f t="shared" si="118"/>
        <v>0</v>
      </c>
      <c r="D194" s="17">
        <f t="shared" ca="1" si="119"/>
        <v>0</v>
      </c>
      <c r="E194" s="25">
        <f>VLOOKUP($A194,[1]!CurveTable,MATCH($E$4,[1]!CurveType,0))</f>
        <v>5.2694999999999999</v>
      </c>
      <c r="F194" s="31">
        <f>E194-Inputs!$B$16</f>
        <v>5.3244999999999996</v>
      </c>
      <c r="G194" s="43">
        <f t="shared" si="165"/>
        <v>5.3244999999999996</v>
      </c>
      <c r="H194" s="25">
        <f>VLOOKUP($A194,[1]!CurveTable,MATCH($H$4,[1]!CurveType,0))</f>
        <v>0.3</v>
      </c>
      <c r="I194" s="31">
        <f>H194+Inputs!$B$22</f>
        <v>0.3</v>
      </c>
      <c r="J194" s="44">
        <f t="shared" si="166"/>
        <v>0.3</v>
      </c>
      <c r="K194" s="25">
        <f>VLOOKUP($A194,[1]!CurveTable,MATCH($K$4,[1]!CurveType,0))</f>
        <v>0</v>
      </c>
      <c r="L194" s="31">
        <v>0</v>
      </c>
      <c r="M194" s="45">
        <f t="shared" si="167"/>
        <v>0</v>
      </c>
      <c r="N194" s="25">
        <f>VLOOKUP($A194,[1]!CurveTable,MATCH($N$4,[1]!CurveType,0))</f>
        <v>1.9E-2</v>
      </c>
      <c r="O194" s="31">
        <f>N194+Inputs!$E$22</f>
        <v>1.9E-2</v>
      </c>
      <c r="P194" s="45">
        <f t="shared" si="168"/>
        <v>1.9E-2</v>
      </c>
      <c r="Q194" s="25">
        <f>VLOOKUP($A194,[1]!CurveTable,MATCH($Q$4,[1]!CurveType,0))</f>
        <v>0.01</v>
      </c>
      <c r="R194" s="31">
        <v>0</v>
      </c>
      <c r="S194" s="45">
        <f t="shared" si="169"/>
        <v>0</v>
      </c>
      <c r="T194" s="4"/>
      <c r="U194" s="159">
        <f t="shared" si="129"/>
        <v>5.6244999999999994</v>
      </c>
      <c r="V194" s="160"/>
      <c r="W194" s="100">
        <f>VLOOKUP($A194,[1]!CurveTable,MATCH($W$4,[1]!CurveType,0))+$W$9</f>
        <v>0.17</v>
      </c>
      <c r="X194" s="100">
        <f>VLOOKUP($A194,[1]!CurveTable,MATCH($X$4,[1]!CurveType,0))+$X$9</f>
        <v>0.17500000000000002</v>
      </c>
      <c r="Y194" s="158">
        <f t="shared" ca="1" si="120"/>
        <v>0.17561172548380224</v>
      </c>
      <c r="Z194" s="4"/>
      <c r="AA194" s="159">
        <f t="shared" si="130"/>
        <v>5.3434999999999997</v>
      </c>
      <c r="AB194" s="160"/>
      <c r="AC194" s="100">
        <f>VLOOKUP($A194,[1]!CurveTable,MATCH($AC$4,[1]!CurveType,0))+$AC$9</f>
        <v>0.17</v>
      </c>
      <c r="AD194" s="100">
        <f>VLOOKUP($A194,[1]!CurveTable,MATCH($AD$4,[1]!CurveType,0))+$AD$9</f>
        <v>0.17500000000000002</v>
      </c>
      <c r="AE194" s="158">
        <f t="shared" ca="1" si="121"/>
        <v>0.17561172548380224</v>
      </c>
      <c r="AF194" s="4"/>
      <c r="AG194" s="52">
        <f ca="1">((Inputs!$F$20*(X194*AD194)*(A194-$C$3))+(Inputs!$F$19*W194*AC194*(DAY(EOMONTH(A194,0))/2)))/(AN194*Y194*AE194)</f>
        <v>0.74999999999999989</v>
      </c>
      <c r="AH194" s="4"/>
      <c r="AI194" s="18">
        <f>Inputs!$B$15</f>
        <v>0.06</v>
      </c>
      <c r="AJ194" s="46"/>
      <c r="AK194" s="18">
        <f t="shared" si="122"/>
        <v>0.2209999999999997</v>
      </c>
      <c r="AL194" s="46"/>
      <c r="AM194" s="62">
        <f t="shared" si="123"/>
        <v>43708</v>
      </c>
      <c r="AN194" s="63">
        <f t="shared" ca="1" si="124"/>
        <v>6515</v>
      </c>
      <c r="AO194" s="63">
        <f t="shared" si="151"/>
        <v>1</v>
      </c>
      <c r="AP194" s="19"/>
      <c r="AQ194" s="74">
        <f ca="1">_xll.SPRDOPT(U194,AA194,AI194,AX194,X194,AD194,AG194,AN194,AO194,0)</f>
        <v>0.4242689917191021</v>
      </c>
      <c r="AR194" s="47">
        <f t="shared" ca="1" si="131"/>
        <v>0</v>
      </c>
      <c r="AS194" s="135">
        <f t="shared" ca="1" si="132"/>
        <v>0.2032689917191024</v>
      </c>
      <c r="AU194" s="5">
        <f t="shared" si="152"/>
        <v>31</v>
      </c>
      <c r="AV194" s="148">
        <f t="shared" si="125"/>
        <v>43753</v>
      </c>
      <c r="AW194" s="41">
        <f t="shared" ca="1" si="126"/>
        <v>6560</v>
      </c>
      <c r="AX194" s="100">
        <f>VLOOKUP($A194,[1]!CurveTable,MATCH(AX$4,[1]!CurveType,0))</f>
        <v>6.0325412683619004E-2</v>
      </c>
      <c r="AY194" s="149">
        <f ca="1">1/(1+CHOOSE(F$3,(AX195+(Inputs!$B$14/10000))/2,(AX194+(Inputs!$B$14/10000))/2))^(2*AW194/365.25)</f>
        <v>0.34388643263084695</v>
      </c>
      <c r="AZ194" s="41">
        <f t="shared" si="153"/>
        <v>0</v>
      </c>
      <c r="BA194" s="72">
        <f t="shared" si="154"/>
        <v>0</v>
      </c>
      <c r="BC194" s="65">
        <f t="shared" ca="1" si="133"/>
        <v>0</v>
      </c>
      <c r="BD194" s="65">
        <f t="shared" ca="1" si="134"/>
        <v>0</v>
      </c>
      <c r="BE194" s="65">
        <f t="shared" ca="1" si="135"/>
        <v>0</v>
      </c>
      <c r="BF194" s="65">
        <f t="shared" ca="1" si="136"/>
        <v>0</v>
      </c>
      <c r="BG194" s="65">
        <f t="shared" ca="1" si="137"/>
        <v>0</v>
      </c>
      <c r="BH194" s="65">
        <f t="shared" ca="1" si="138"/>
        <v>0</v>
      </c>
      <c r="BI194" s="65">
        <f t="shared" ca="1" si="139"/>
        <v>0</v>
      </c>
      <c r="BJ194" s="65">
        <f t="shared" ca="1" si="140"/>
        <v>0</v>
      </c>
      <c r="BK194" s="65">
        <f t="shared" ca="1" si="141"/>
        <v>0</v>
      </c>
      <c r="BL194" s="65">
        <f t="shared" ca="1" si="142"/>
        <v>0</v>
      </c>
      <c r="BM194" s="65">
        <f t="shared" ca="1" si="143"/>
        <v>0</v>
      </c>
      <c r="BN194" s="65">
        <f t="shared" ca="1" si="144"/>
        <v>0</v>
      </c>
      <c r="BO194" s="65">
        <f t="shared" ca="1" si="145"/>
        <v>0</v>
      </c>
      <c r="BP194" s="65">
        <f t="shared" ca="1" si="146"/>
        <v>0</v>
      </c>
      <c r="BQ194" s="65">
        <f t="shared" ca="1" si="147"/>
        <v>0</v>
      </c>
      <c r="BR194" s="65">
        <f t="shared" ca="1" si="148"/>
        <v>0</v>
      </c>
      <c r="BS194" s="65">
        <f t="shared" ca="1" si="149"/>
        <v>0</v>
      </c>
      <c r="BT194" s="65">
        <f t="shared" ca="1" si="150"/>
        <v>0</v>
      </c>
      <c r="BU194" s="65">
        <f t="shared" ca="1" si="127"/>
        <v>0</v>
      </c>
    </row>
    <row r="195" spans="1:73">
      <c r="A195" s="42">
        <f t="shared" si="128"/>
        <v>43770</v>
      </c>
      <c r="B195" s="30">
        <f>Inputs!$B$8</f>
        <v>50000</v>
      </c>
      <c r="C195" s="17">
        <f t="shared" si="118"/>
        <v>0</v>
      </c>
      <c r="D195" s="17">
        <f t="shared" ca="1" si="119"/>
        <v>0</v>
      </c>
      <c r="E195" s="25">
        <f>VLOOKUP($A195,[1]!CurveTable,MATCH($E$4,[1]!CurveType,0))</f>
        <v>5.4175000000000004</v>
      </c>
      <c r="F195" s="31">
        <f>E195-Inputs!$B$16</f>
        <v>5.4725000000000001</v>
      </c>
      <c r="G195" s="43">
        <f t="shared" si="165"/>
        <v>5.4725000000000001</v>
      </c>
      <c r="H195" s="25">
        <f>VLOOKUP($A195,[1]!CurveTable,MATCH($H$4,[1]!CurveType,0))</f>
        <v>0.23</v>
      </c>
      <c r="I195" s="31">
        <f>H195+Inputs!$B$22</f>
        <v>0.23</v>
      </c>
      <c r="J195" s="44">
        <f t="shared" si="166"/>
        <v>0.23</v>
      </c>
      <c r="K195" s="25">
        <f>VLOOKUP($A195,[1]!CurveTable,MATCH($K$4,[1]!CurveType,0))</f>
        <v>0</v>
      </c>
      <c r="L195" s="31">
        <v>0</v>
      </c>
      <c r="M195" s="45">
        <f t="shared" si="167"/>
        <v>0</v>
      </c>
      <c r="N195" s="25">
        <f>VLOOKUP($A195,[1]!CurveTable,MATCH($N$4,[1]!CurveType,0))</f>
        <v>0.02</v>
      </c>
      <c r="O195" s="31">
        <f>N195+Inputs!$E$22</f>
        <v>0.02</v>
      </c>
      <c r="P195" s="45">
        <f t="shared" si="168"/>
        <v>0.02</v>
      </c>
      <c r="Q195" s="25">
        <f>VLOOKUP($A195,[1]!CurveTable,MATCH($Q$4,[1]!CurveType,0))</f>
        <v>7.4999999999999997E-3</v>
      </c>
      <c r="R195" s="31">
        <v>0</v>
      </c>
      <c r="S195" s="45">
        <f t="shared" si="169"/>
        <v>0</v>
      </c>
      <c r="T195" s="4"/>
      <c r="U195" s="159">
        <f t="shared" si="129"/>
        <v>5.7025000000000006</v>
      </c>
      <c r="V195" s="160"/>
      <c r="W195" s="100">
        <f>VLOOKUP($A195,[1]!CurveTable,MATCH($W$4,[1]!CurveType,0))+$W$9</f>
        <v>0.17</v>
      </c>
      <c r="X195" s="100">
        <f>VLOOKUP($A195,[1]!CurveTable,MATCH($X$4,[1]!CurveType,0))+$X$9</f>
        <v>0.17500000000000002</v>
      </c>
      <c r="Y195" s="158">
        <f t="shared" ca="1" si="120"/>
        <v>0.17561596278970379</v>
      </c>
      <c r="Z195" s="4"/>
      <c r="AA195" s="159">
        <f t="shared" si="130"/>
        <v>5.4924999999999997</v>
      </c>
      <c r="AB195" s="160"/>
      <c r="AC195" s="100">
        <f>VLOOKUP($A195,[1]!CurveTable,MATCH($AC$4,[1]!CurveType,0))+$AC$9</f>
        <v>0.17</v>
      </c>
      <c r="AD195" s="100">
        <f>VLOOKUP($A195,[1]!CurveTable,MATCH($AD$4,[1]!CurveType,0))+$AD$9</f>
        <v>0.17500000000000002</v>
      </c>
      <c r="AE195" s="158">
        <f t="shared" ca="1" si="121"/>
        <v>0.17561596278970379</v>
      </c>
      <c r="AF195" s="4"/>
      <c r="AG195" s="52">
        <f ca="1">((Inputs!$F$20*(X195*AD195)*(A195-$C$3))+(Inputs!$F$19*W195*AC195*(DAY(EOMONTH(A195,0))/2)))/(AN195*Y195*AE195)</f>
        <v>0.75000000000000011</v>
      </c>
      <c r="AH195" s="4"/>
      <c r="AI195" s="18">
        <f>Inputs!$B$15</f>
        <v>0.06</v>
      </c>
      <c r="AJ195" s="46"/>
      <c r="AK195" s="18">
        <f t="shared" si="122"/>
        <v>0.15000000000000085</v>
      </c>
      <c r="AL195" s="46"/>
      <c r="AM195" s="62">
        <f t="shared" si="123"/>
        <v>43738</v>
      </c>
      <c r="AN195" s="63">
        <f t="shared" ca="1" si="124"/>
        <v>6545</v>
      </c>
      <c r="AO195" s="63">
        <f t="shared" si="151"/>
        <v>1</v>
      </c>
      <c r="AP195" s="19"/>
      <c r="AQ195" s="74">
        <f ca="1">_xll.SPRDOPT(U195,AA195,AI195,AX195,X195,AD195,AG195,AN195,AO195,0)</f>
        <v>0.41790362652707241</v>
      </c>
      <c r="AR195" s="47">
        <f t="shared" ca="1" si="131"/>
        <v>0</v>
      </c>
      <c r="AS195" s="135">
        <f t="shared" ca="1" si="132"/>
        <v>0.26790362652707156</v>
      </c>
      <c r="AU195" s="5">
        <f t="shared" si="152"/>
        <v>30</v>
      </c>
      <c r="AV195" s="148">
        <f t="shared" si="125"/>
        <v>43784</v>
      </c>
      <c r="AW195" s="41">
        <f t="shared" ca="1" si="126"/>
        <v>6591</v>
      </c>
      <c r="AX195" s="100">
        <f>VLOOKUP($A195,[1]!CurveTable,MATCH(AX$4,[1]!CurveType,0))</f>
        <v>6.0383625487879102E-2</v>
      </c>
      <c r="AY195" s="149">
        <f ca="1">1/(1+CHOOSE(F$3,(AX196+(Inputs!$B$14/10000))/2,(AX195+(Inputs!$B$14/10000))/2))^(2*AW195/365.25)</f>
        <v>0.34180741125559333</v>
      </c>
      <c r="AZ195" s="41">
        <f t="shared" si="153"/>
        <v>0</v>
      </c>
      <c r="BA195" s="72">
        <f t="shared" si="154"/>
        <v>0</v>
      </c>
      <c r="BC195" s="65">
        <f t="shared" ca="1" si="133"/>
        <v>0</v>
      </c>
      <c r="BD195" s="65">
        <f t="shared" ca="1" si="134"/>
        <v>0</v>
      </c>
      <c r="BE195" s="65">
        <f t="shared" ca="1" si="135"/>
        <v>0</v>
      </c>
      <c r="BF195" s="65">
        <f t="shared" ca="1" si="136"/>
        <v>0</v>
      </c>
      <c r="BG195" s="65">
        <f t="shared" ca="1" si="137"/>
        <v>0</v>
      </c>
      <c r="BH195" s="65">
        <f t="shared" ca="1" si="138"/>
        <v>0</v>
      </c>
      <c r="BI195" s="65">
        <f t="shared" ca="1" si="139"/>
        <v>0</v>
      </c>
      <c r="BJ195" s="65">
        <f t="shared" ca="1" si="140"/>
        <v>0</v>
      </c>
      <c r="BK195" s="65">
        <f t="shared" ca="1" si="141"/>
        <v>0</v>
      </c>
      <c r="BL195" s="65">
        <f t="shared" ca="1" si="142"/>
        <v>0</v>
      </c>
      <c r="BM195" s="65">
        <f t="shared" ca="1" si="143"/>
        <v>0</v>
      </c>
      <c r="BN195" s="65">
        <f t="shared" ca="1" si="144"/>
        <v>0</v>
      </c>
      <c r="BO195" s="65">
        <f t="shared" ca="1" si="145"/>
        <v>0</v>
      </c>
      <c r="BP195" s="65">
        <f t="shared" ca="1" si="146"/>
        <v>0</v>
      </c>
      <c r="BQ195" s="65">
        <f t="shared" ca="1" si="147"/>
        <v>0</v>
      </c>
      <c r="BR195" s="65">
        <f t="shared" ca="1" si="148"/>
        <v>0</v>
      </c>
      <c r="BS195" s="65">
        <f t="shared" ca="1" si="149"/>
        <v>0</v>
      </c>
      <c r="BT195" s="65">
        <f t="shared" ca="1" si="150"/>
        <v>0</v>
      </c>
      <c r="BU195" s="65">
        <f t="shared" ca="1" si="127"/>
        <v>0</v>
      </c>
    </row>
    <row r="196" spans="1:73">
      <c r="A196" s="42">
        <f t="shared" si="128"/>
        <v>43800</v>
      </c>
      <c r="B196" s="30">
        <f>Inputs!$B$8</f>
        <v>50000</v>
      </c>
      <c r="C196" s="17">
        <f t="shared" si="118"/>
        <v>0</v>
      </c>
      <c r="D196" s="17">
        <f t="shared" ca="1" si="119"/>
        <v>0</v>
      </c>
      <c r="E196" s="25">
        <f>VLOOKUP($A196,[1]!CurveTable,MATCH($E$4,[1]!CurveType,0))</f>
        <v>5.5695000000000006</v>
      </c>
      <c r="F196" s="31">
        <f>E196-Inputs!$B$16</f>
        <v>5.6245000000000003</v>
      </c>
      <c r="G196" s="43">
        <f t="shared" si="165"/>
        <v>5.6245000000000003</v>
      </c>
      <c r="H196" s="25">
        <f>VLOOKUP($A196,[1]!CurveTable,MATCH($H$4,[1]!CurveType,0))</f>
        <v>0.26</v>
      </c>
      <c r="I196" s="31">
        <f>H196+Inputs!$B$22</f>
        <v>0.26</v>
      </c>
      <c r="J196" s="44">
        <f t="shared" si="166"/>
        <v>0.26</v>
      </c>
      <c r="K196" s="25">
        <f>VLOOKUP($A196,[1]!CurveTable,MATCH($K$4,[1]!CurveType,0))</f>
        <v>0</v>
      </c>
      <c r="L196" s="31">
        <v>0</v>
      </c>
      <c r="M196" s="45">
        <f t="shared" si="167"/>
        <v>0</v>
      </c>
      <c r="N196" s="25">
        <f>VLOOKUP($A196,[1]!CurveTable,MATCH($N$4,[1]!CurveType,0))</f>
        <v>0.02</v>
      </c>
      <c r="O196" s="31">
        <f>N196+Inputs!$E$22</f>
        <v>0.02</v>
      </c>
      <c r="P196" s="45">
        <f t="shared" si="168"/>
        <v>0.02</v>
      </c>
      <c r="Q196" s="25">
        <f>VLOOKUP($A196,[1]!CurveTable,MATCH($Q$4,[1]!CurveType,0))</f>
        <v>7.4999999999999997E-3</v>
      </c>
      <c r="R196" s="31">
        <v>0</v>
      </c>
      <c r="S196" s="45">
        <f t="shared" si="169"/>
        <v>0</v>
      </c>
      <c r="T196" s="4"/>
      <c r="U196" s="159">
        <f t="shared" si="129"/>
        <v>5.8845000000000001</v>
      </c>
      <c r="V196" s="160"/>
      <c r="W196" s="100">
        <f>VLOOKUP($A196,[1]!CurveTable,MATCH($W$4,[1]!CurveType,0))+$W$9</f>
        <v>0.17</v>
      </c>
      <c r="X196" s="100">
        <f>VLOOKUP($A196,[1]!CurveTable,MATCH($X$4,[1]!CurveType,0))+$X$9</f>
        <v>0.17500000000000002</v>
      </c>
      <c r="Y196" s="158">
        <f t="shared" ca="1" si="120"/>
        <v>0.17560606081479796</v>
      </c>
      <c r="Z196" s="4"/>
      <c r="AA196" s="159">
        <f t="shared" si="130"/>
        <v>5.6444999999999999</v>
      </c>
      <c r="AB196" s="160"/>
      <c r="AC196" s="100">
        <f>VLOOKUP($A196,[1]!CurveTable,MATCH($AC$4,[1]!CurveType,0))+$AC$9</f>
        <v>0.17</v>
      </c>
      <c r="AD196" s="100">
        <f>VLOOKUP($A196,[1]!CurveTable,MATCH($AD$4,[1]!CurveType,0))+$AD$9</f>
        <v>0.17500000000000002</v>
      </c>
      <c r="AE196" s="158">
        <f t="shared" ca="1" si="121"/>
        <v>0.17560606081479796</v>
      </c>
      <c r="AF196" s="4"/>
      <c r="AG196" s="52">
        <f ca="1">((Inputs!$F$20*(X196*AD196)*(A196-$C$3))+(Inputs!$F$19*W196*AC196*(DAY(EOMONTH(A196,0))/2)))/(AN196*Y196*AE196)</f>
        <v>0.74999999999999978</v>
      </c>
      <c r="AH196" s="4"/>
      <c r="AI196" s="18">
        <f>Inputs!$B$15</f>
        <v>0.06</v>
      </c>
      <c r="AJ196" s="46"/>
      <c r="AK196" s="18">
        <f t="shared" si="122"/>
        <v>0.18000000000000022</v>
      </c>
      <c r="AL196" s="46"/>
      <c r="AM196" s="62">
        <f t="shared" si="123"/>
        <v>43769</v>
      </c>
      <c r="AN196" s="63">
        <f t="shared" ca="1" si="124"/>
        <v>6576</v>
      </c>
      <c r="AO196" s="63">
        <f t="shared" si="151"/>
        <v>1</v>
      </c>
      <c r="AP196" s="19"/>
      <c r="AQ196" s="74">
        <f ca="1">_xll.SPRDOPT(U196,AA196,AI196,AX196,X196,AD196,AG196,AN196,AO196,0)</f>
        <v>0.43314067900635517</v>
      </c>
      <c r="AR196" s="47">
        <f t="shared" ca="1" si="131"/>
        <v>0</v>
      </c>
      <c r="AS196" s="135">
        <f t="shared" ca="1" si="132"/>
        <v>0.25314067900635495</v>
      </c>
      <c r="AU196" s="5">
        <f t="shared" si="152"/>
        <v>31</v>
      </c>
      <c r="AV196" s="148">
        <f t="shared" si="125"/>
        <v>43814</v>
      </c>
      <c r="AW196" s="41">
        <f t="shared" ca="1" si="126"/>
        <v>6621</v>
      </c>
      <c r="AX196" s="100">
        <f>VLOOKUP($A196,[1]!CurveTable,MATCH(AX$4,[1]!CurveType,0))</f>
        <v>6.04399604608159E-2</v>
      </c>
      <c r="AY196" s="149">
        <f ca="1">1/(1+CHOOSE(F$3,(AX197+(Inputs!$B$14/10000))/2,(AX196+(Inputs!$B$14/10000))/2))^(2*AW196/365.25)</f>
        <v>0.33980432925140192</v>
      </c>
      <c r="AZ196" s="41">
        <f t="shared" si="153"/>
        <v>0</v>
      </c>
      <c r="BA196" s="72">
        <f t="shared" si="154"/>
        <v>0</v>
      </c>
      <c r="BC196" s="65">
        <f t="shared" ca="1" si="133"/>
        <v>0</v>
      </c>
      <c r="BD196" s="65">
        <f t="shared" ca="1" si="134"/>
        <v>0</v>
      </c>
      <c r="BE196" s="65">
        <f t="shared" ca="1" si="135"/>
        <v>0</v>
      </c>
      <c r="BF196" s="65">
        <f t="shared" ca="1" si="136"/>
        <v>0</v>
      </c>
      <c r="BG196" s="65">
        <f t="shared" ca="1" si="137"/>
        <v>0</v>
      </c>
      <c r="BH196" s="65">
        <f t="shared" ca="1" si="138"/>
        <v>0</v>
      </c>
      <c r="BI196" s="65">
        <f t="shared" ca="1" si="139"/>
        <v>0</v>
      </c>
      <c r="BJ196" s="65">
        <f t="shared" ca="1" si="140"/>
        <v>0</v>
      </c>
      <c r="BK196" s="65">
        <f t="shared" ca="1" si="141"/>
        <v>0</v>
      </c>
      <c r="BL196" s="65">
        <f t="shared" ca="1" si="142"/>
        <v>0</v>
      </c>
      <c r="BM196" s="65">
        <f t="shared" ca="1" si="143"/>
        <v>0</v>
      </c>
      <c r="BN196" s="65">
        <f t="shared" ca="1" si="144"/>
        <v>0</v>
      </c>
      <c r="BO196" s="65">
        <f t="shared" ca="1" si="145"/>
        <v>0</v>
      </c>
      <c r="BP196" s="65">
        <f t="shared" ca="1" si="146"/>
        <v>0</v>
      </c>
      <c r="BQ196" s="65">
        <f t="shared" ca="1" si="147"/>
        <v>0</v>
      </c>
      <c r="BR196" s="65">
        <f t="shared" ca="1" si="148"/>
        <v>0</v>
      </c>
      <c r="BS196" s="65">
        <f t="shared" ca="1" si="149"/>
        <v>0</v>
      </c>
      <c r="BT196" s="65">
        <f t="shared" ca="1" si="150"/>
        <v>0</v>
      </c>
      <c r="BU196" s="65">
        <f t="shared" ca="1" si="127"/>
        <v>0</v>
      </c>
    </row>
    <row r="197" spans="1:73">
      <c r="A197" s="42">
        <f t="shared" si="128"/>
        <v>43831</v>
      </c>
      <c r="B197" s="30">
        <f>Inputs!$B$8</f>
        <v>50000</v>
      </c>
      <c r="C197" s="17">
        <f t="shared" si="118"/>
        <v>0</v>
      </c>
      <c r="D197" s="17">
        <f t="shared" ca="1" si="119"/>
        <v>0</v>
      </c>
      <c r="E197" s="25">
        <f>VLOOKUP($A197,[1]!CurveTable,MATCH($E$4,[1]!CurveType,0))</f>
        <v>5.6470000000000002</v>
      </c>
      <c r="F197" s="31">
        <f>E197-Inputs!$B$16</f>
        <v>5.702</v>
      </c>
      <c r="G197" s="43">
        <f t="shared" si="165"/>
        <v>5.702</v>
      </c>
      <c r="H197" s="25">
        <f>VLOOKUP($A197,[1]!CurveTable,MATCH($H$4,[1]!CurveType,0))</f>
        <v>8.5000000000000006E-2</v>
      </c>
      <c r="I197" s="31">
        <f>H197+Inputs!$B$22</f>
        <v>8.5000000000000006E-2</v>
      </c>
      <c r="J197" s="44">
        <f t="shared" si="166"/>
        <v>8.5000000000000006E-2</v>
      </c>
      <c r="K197" s="25">
        <f>VLOOKUP($A197,[1]!CurveTable,MATCH($K$4,[1]!CurveType,0))</f>
        <v>0</v>
      </c>
      <c r="L197" s="31">
        <v>0</v>
      </c>
      <c r="M197" s="45">
        <f t="shared" si="167"/>
        <v>0</v>
      </c>
      <c r="N197" s="25">
        <f>VLOOKUP($A197,[1]!CurveTable,MATCH($N$4,[1]!CurveType,0))</f>
        <v>0.02</v>
      </c>
      <c r="O197" s="31">
        <f>N197+Inputs!$E$22</f>
        <v>0.02</v>
      </c>
      <c r="P197" s="45">
        <f t="shared" si="168"/>
        <v>0.02</v>
      </c>
      <c r="Q197" s="25">
        <f>VLOOKUP($A197,[1]!CurveTable,MATCH($Q$4,[1]!CurveType,0))</f>
        <v>7.4999999999999997E-3</v>
      </c>
      <c r="R197" s="31">
        <v>0</v>
      </c>
      <c r="S197" s="45">
        <f t="shared" si="169"/>
        <v>0</v>
      </c>
      <c r="T197" s="4"/>
      <c r="U197" s="159">
        <f t="shared" si="129"/>
        <v>5.7869999999999999</v>
      </c>
      <c r="V197" s="160"/>
      <c r="W197" s="100">
        <f>VLOOKUP($A197,[1]!CurveTable,MATCH($W$4,[1]!CurveType,0))+$W$9</f>
        <v>0.17</v>
      </c>
      <c r="X197" s="100">
        <f>VLOOKUP($A197,[1]!CurveTable,MATCH($X$4,[1]!CurveType,0))+$X$9</f>
        <v>0.17500000000000002</v>
      </c>
      <c r="Y197" s="158">
        <f t="shared" ca="1" si="120"/>
        <v>0.17561651275413284</v>
      </c>
      <c r="Z197" s="4"/>
      <c r="AA197" s="159">
        <f t="shared" si="130"/>
        <v>5.7219999999999995</v>
      </c>
      <c r="AB197" s="160"/>
      <c r="AC197" s="100">
        <f>VLOOKUP($A197,[1]!CurveTable,MATCH($AC$4,[1]!CurveType,0))+$AC$9</f>
        <v>0.17</v>
      </c>
      <c r="AD197" s="100">
        <f>VLOOKUP($A197,[1]!CurveTable,MATCH($AD$4,[1]!CurveType,0))+$AD$9</f>
        <v>0.17500000000000002</v>
      </c>
      <c r="AE197" s="158">
        <f t="shared" ca="1" si="121"/>
        <v>0.17561651275413284</v>
      </c>
      <c r="AF197" s="4"/>
      <c r="AG197" s="52">
        <f ca="1">((Inputs!$F$20*(X197*AD197)*(A197-$C$3))+(Inputs!$F$19*W197*AC197*(DAY(EOMONTH(A197,0))/2)))/(AN197*Y197*AE197)</f>
        <v>0.74999999999999978</v>
      </c>
      <c r="AH197" s="4"/>
      <c r="AI197" s="18">
        <f>Inputs!$B$15</f>
        <v>0.06</v>
      </c>
      <c r="AJ197" s="46"/>
      <c r="AK197" s="18">
        <f t="shared" si="122"/>
        <v>5.000000000000393E-3</v>
      </c>
      <c r="AL197" s="46"/>
      <c r="AM197" s="62">
        <f t="shared" si="123"/>
        <v>43799</v>
      </c>
      <c r="AN197" s="63">
        <f t="shared" ca="1" si="124"/>
        <v>6606</v>
      </c>
      <c r="AO197" s="63">
        <f t="shared" si="151"/>
        <v>1</v>
      </c>
      <c r="AP197" s="19"/>
      <c r="AQ197" s="74">
        <f ca="1">_xll.SPRDOPT(U197,AA197,AI197,AX197,X197,AD197,AG197,AN197,AO197,0)</f>
        <v>0.40076706668366113</v>
      </c>
      <c r="AR197" s="47">
        <f t="shared" ca="1" si="131"/>
        <v>0</v>
      </c>
      <c r="AS197" s="135">
        <f t="shared" ca="1" si="132"/>
        <v>0.39576706668366074</v>
      </c>
      <c r="AU197" s="5">
        <f t="shared" si="152"/>
        <v>31</v>
      </c>
      <c r="AV197" s="148">
        <f t="shared" si="125"/>
        <v>43845</v>
      </c>
      <c r="AW197" s="41">
        <f t="shared" ca="1" si="126"/>
        <v>6652</v>
      </c>
      <c r="AX197" s="100">
        <f>VLOOKUP($A197,[1]!CurveTable,MATCH(AX$4,[1]!CurveType,0))</f>
        <v>6.0498173267291101E-2</v>
      </c>
      <c r="AY197" s="149">
        <f ca="1">1/(1+CHOOSE(F$3,(AX198+(Inputs!$B$14/10000))/2,(AX197+(Inputs!$B$14/10000))/2))^(2*AW197/365.25)</f>
        <v>0.33774363143721758</v>
      </c>
      <c r="AZ197" s="41">
        <f t="shared" si="153"/>
        <v>0</v>
      </c>
      <c r="BA197" s="72">
        <f t="shared" si="154"/>
        <v>0</v>
      </c>
      <c r="BC197" s="65">
        <f t="shared" ca="1" si="133"/>
        <v>0</v>
      </c>
      <c r="BD197" s="65">
        <f t="shared" ca="1" si="134"/>
        <v>0</v>
      </c>
      <c r="BE197" s="65">
        <f t="shared" ca="1" si="135"/>
        <v>0</v>
      </c>
      <c r="BF197" s="65">
        <f t="shared" ca="1" si="136"/>
        <v>0</v>
      </c>
      <c r="BG197" s="65">
        <f t="shared" ca="1" si="137"/>
        <v>0</v>
      </c>
      <c r="BH197" s="65">
        <f t="shared" ca="1" si="138"/>
        <v>0</v>
      </c>
      <c r="BI197" s="65">
        <f t="shared" ca="1" si="139"/>
        <v>0</v>
      </c>
      <c r="BJ197" s="65">
        <f t="shared" ca="1" si="140"/>
        <v>0</v>
      </c>
      <c r="BK197" s="65">
        <f t="shared" ca="1" si="141"/>
        <v>0</v>
      </c>
      <c r="BL197" s="65">
        <f t="shared" ca="1" si="142"/>
        <v>0</v>
      </c>
      <c r="BM197" s="65">
        <f t="shared" ca="1" si="143"/>
        <v>0</v>
      </c>
      <c r="BN197" s="65">
        <f t="shared" ca="1" si="144"/>
        <v>0</v>
      </c>
      <c r="BO197" s="65">
        <f t="shared" ca="1" si="145"/>
        <v>0</v>
      </c>
      <c r="BP197" s="65">
        <f t="shared" ca="1" si="146"/>
        <v>0</v>
      </c>
      <c r="BQ197" s="65">
        <f t="shared" ca="1" si="147"/>
        <v>0</v>
      </c>
      <c r="BR197" s="65">
        <f t="shared" ca="1" si="148"/>
        <v>0</v>
      </c>
      <c r="BS197" s="65">
        <f t="shared" ca="1" si="149"/>
        <v>0</v>
      </c>
      <c r="BT197" s="65">
        <f t="shared" ca="1" si="150"/>
        <v>0</v>
      </c>
      <c r="BU197" s="65">
        <f t="shared" ca="1" si="127"/>
        <v>0</v>
      </c>
    </row>
    <row r="198" spans="1:73">
      <c r="A198" s="42">
        <f t="shared" si="128"/>
        <v>43862</v>
      </c>
      <c r="B198" s="30">
        <f>Inputs!$B$8</f>
        <v>50000</v>
      </c>
      <c r="C198" s="17">
        <f t="shared" si="118"/>
        <v>0</v>
      </c>
      <c r="D198" s="17">
        <f t="shared" ca="1" si="119"/>
        <v>0</v>
      </c>
      <c r="E198" s="25">
        <f>VLOOKUP($A198,[1]!CurveTable,MATCH($E$4,[1]!CurveType,0))</f>
        <v>5.56</v>
      </c>
      <c r="F198" s="31">
        <f>E198-Inputs!$B$16</f>
        <v>5.6149999999999993</v>
      </c>
      <c r="G198" s="43">
        <f t="shared" si="165"/>
        <v>5.6149999999999993</v>
      </c>
      <c r="H198" s="25">
        <f>VLOOKUP($A198,[1]!CurveTable,MATCH($H$4,[1]!CurveType,0))</f>
        <v>7.4999999999999997E-2</v>
      </c>
      <c r="I198" s="31">
        <f>H198+Inputs!$B$22</f>
        <v>7.4999999999999997E-2</v>
      </c>
      <c r="J198" s="44">
        <f t="shared" si="166"/>
        <v>7.4999999999999997E-2</v>
      </c>
      <c r="K198" s="25">
        <f>VLOOKUP($A198,[1]!CurveTable,MATCH($K$4,[1]!CurveType,0))</f>
        <v>0</v>
      </c>
      <c r="L198" s="31">
        <v>0</v>
      </c>
      <c r="M198" s="45">
        <f t="shared" si="167"/>
        <v>0</v>
      </c>
      <c r="N198" s="25">
        <f>VLOOKUP($A198,[1]!CurveTable,MATCH($N$4,[1]!CurveType,0))</f>
        <v>0.02</v>
      </c>
      <c r="O198" s="31">
        <f>N198+Inputs!$E$22</f>
        <v>0.02</v>
      </c>
      <c r="P198" s="45">
        <f t="shared" si="168"/>
        <v>0.02</v>
      </c>
      <c r="Q198" s="25">
        <f>VLOOKUP($A198,[1]!CurveTable,MATCH($Q$4,[1]!CurveType,0))</f>
        <v>7.4999999999999997E-3</v>
      </c>
      <c r="R198" s="31">
        <v>0</v>
      </c>
      <c r="S198" s="45">
        <f t="shared" si="169"/>
        <v>0</v>
      </c>
      <c r="T198" s="4"/>
      <c r="U198" s="159">
        <f t="shared" si="129"/>
        <v>5.6899999999999995</v>
      </c>
      <c r="V198" s="160"/>
      <c r="W198" s="100">
        <f>VLOOKUP($A198,[1]!CurveTable,MATCH($W$4,[1]!CurveType,0))+$W$9</f>
        <v>0.17</v>
      </c>
      <c r="X198" s="100">
        <f>VLOOKUP($A198,[1]!CurveTable,MATCH($X$4,[1]!CurveType,0))+$X$9</f>
        <v>0.17500000000000002</v>
      </c>
      <c r="Y198" s="158">
        <f t="shared" ca="1" si="120"/>
        <v>0.17560124014412226</v>
      </c>
      <c r="Z198" s="4"/>
      <c r="AA198" s="159">
        <f t="shared" si="130"/>
        <v>5.6349999999999989</v>
      </c>
      <c r="AB198" s="160"/>
      <c r="AC198" s="100">
        <f>VLOOKUP($A198,[1]!CurveTable,MATCH($AC$4,[1]!CurveType,0))+$AC$9</f>
        <v>0.17</v>
      </c>
      <c r="AD198" s="100">
        <f>VLOOKUP($A198,[1]!CurveTable,MATCH($AD$4,[1]!CurveType,0))+$AD$9</f>
        <v>0.17500000000000002</v>
      </c>
      <c r="AE198" s="158">
        <f t="shared" ca="1" si="121"/>
        <v>0.17560124014412226</v>
      </c>
      <c r="AF198" s="4"/>
      <c r="AG198" s="52">
        <f ca="1">((Inputs!$F$20*(X198*AD198)*(A198-$C$3))+(Inputs!$F$19*W198*AC198*(DAY(EOMONTH(A198,0))/2)))/(AN198*Y198*AE198)</f>
        <v>0.74999999999999978</v>
      </c>
      <c r="AH198" s="4"/>
      <c r="AI198" s="18">
        <f>Inputs!$B$15</f>
        <v>0.06</v>
      </c>
      <c r="AJ198" s="46"/>
      <c r="AK198" s="18">
        <f t="shared" si="122"/>
        <v>0</v>
      </c>
      <c r="AL198" s="46"/>
      <c r="AM198" s="62">
        <f t="shared" si="123"/>
        <v>43830</v>
      </c>
      <c r="AN198" s="63">
        <f t="shared" ca="1" si="124"/>
        <v>6637</v>
      </c>
      <c r="AO198" s="63">
        <f t="shared" si="151"/>
        <v>1</v>
      </c>
      <c r="AP198" s="19"/>
      <c r="AQ198" s="74">
        <f ca="1">_xll.SPRDOPT(U198,AA198,AI198,AX198,X198,AD198,AG198,AN198,AO198,0)</f>
        <v>0.39117306029566407</v>
      </c>
      <c r="AR198" s="47">
        <f t="shared" ca="1" si="131"/>
        <v>0</v>
      </c>
      <c r="AS198" s="135">
        <f t="shared" ca="1" si="132"/>
        <v>0.39117306029566407</v>
      </c>
      <c r="AU198" s="5">
        <f t="shared" si="152"/>
        <v>29</v>
      </c>
      <c r="AV198" s="148">
        <f t="shared" si="125"/>
        <v>43876</v>
      </c>
      <c r="AW198" s="41">
        <f t="shared" ca="1" si="126"/>
        <v>6683</v>
      </c>
      <c r="AX198" s="100">
        <f>VLOOKUP($A198,[1]!CurveTable,MATCH(AX$4,[1]!CurveType,0))</f>
        <v>6.0556386074892103E-2</v>
      </c>
      <c r="AY198" s="149">
        <f ca="1">1/(1+CHOOSE(F$3,(AX199+(Inputs!$B$14/10000))/2,(AX198+(Inputs!$B$14/10000))/2))^(2*AW198/365.25)</f>
        <v>0.33569222045921976</v>
      </c>
      <c r="AZ198" s="41">
        <f t="shared" si="153"/>
        <v>0</v>
      </c>
      <c r="BA198" s="72">
        <f t="shared" si="154"/>
        <v>0</v>
      </c>
      <c r="BC198" s="65">
        <f t="shared" ca="1" si="133"/>
        <v>0</v>
      </c>
      <c r="BD198" s="65">
        <f t="shared" ca="1" si="134"/>
        <v>0</v>
      </c>
      <c r="BE198" s="65">
        <f t="shared" ca="1" si="135"/>
        <v>0</v>
      </c>
      <c r="BF198" s="65">
        <f t="shared" ca="1" si="136"/>
        <v>0</v>
      </c>
      <c r="BG198" s="65">
        <f t="shared" ca="1" si="137"/>
        <v>0</v>
      </c>
      <c r="BH198" s="65">
        <f t="shared" ca="1" si="138"/>
        <v>0</v>
      </c>
      <c r="BI198" s="65">
        <f t="shared" ca="1" si="139"/>
        <v>0</v>
      </c>
      <c r="BJ198" s="65">
        <f t="shared" ca="1" si="140"/>
        <v>0</v>
      </c>
      <c r="BK198" s="65">
        <f t="shared" ca="1" si="141"/>
        <v>0</v>
      </c>
      <c r="BL198" s="65">
        <f t="shared" ca="1" si="142"/>
        <v>0</v>
      </c>
      <c r="BM198" s="65">
        <f t="shared" ca="1" si="143"/>
        <v>0</v>
      </c>
      <c r="BN198" s="65">
        <f t="shared" ca="1" si="144"/>
        <v>0</v>
      </c>
      <c r="BO198" s="65">
        <f t="shared" ca="1" si="145"/>
        <v>0</v>
      </c>
      <c r="BP198" s="65">
        <f t="shared" ca="1" si="146"/>
        <v>0</v>
      </c>
      <c r="BQ198" s="65">
        <f t="shared" ca="1" si="147"/>
        <v>0</v>
      </c>
      <c r="BR198" s="65">
        <f t="shared" ca="1" si="148"/>
        <v>0</v>
      </c>
      <c r="BS198" s="65">
        <f t="shared" ca="1" si="149"/>
        <v>0</v>
      </c>
      <c r="BT198" s="65">
        <f t="shared" ca="1" si="150"/>
        <v>0</v>
      </c>
      <c r="BU198" s="65">
        <f t="shared" ca="1" si="127"/>
        <v>0</v>
      </c>
    </row>
    <row r="199" spans="1:73">
      <c r="A199" s="42">
        <f t="shared" si="128"/>
        <v>43891</v>
      </c>
      <c r="B199" s="30">
        <f>Inputs!$B$8</f>
        <v>50000</v>
      </c>
      <c r="C199" s="17">
        <f t="shared" si="118"/>
        <v>0</v>
      </c>
      <c r="D199" s="17">
        <f t="shared" ca="1" si="119"/>
        <v>0</v>
      </c>
      <c r="E199" s="25">
        <f>VLOOKUP($A199,[1]!CurveTable,MATCH($E$4,[1]!CurveType,0))</f>
        <v>5.4210000000000003</v>
      </c>
      <c r="F199" s="31">
        <f>E199-Inputs!$B$16</f>
        <v>5.476</v>
      </c>
      <c r="G199" s="43">
        <f t="shared" si="165"/>
        <v>5.476</v>
      </c>
      <c r="H199" s="25">
        <f>VLOOKUP($A199,[1]!CurveTable,MATCH($H$4,[1]!CurveType,0))</f>
        <v>0.115</v>
      </c>
      <c r="I199" s="31">
        <f>H199+Inputs!$B$22</f>
        <v>0.115</v>
      </c>
      <c r="J199" s="44">
        <f t="shared" si="166"/>
        <v>0.115</v>
      </c>
      <c r="K199" s="25">
        <f>VLOOKUP($A199,[1]!CurveTable,MATCH($K$4,[1]!CurveType,0))</f>
        <v>0</v>
      </c>
      <c r="L199" s="31">
        <v>0</v>
      </c>
      <c r="M199" s="45">
        <f t="shared" si="167"/>
        <v>0</v>
      </c>
      <c r="N199" s="25">
        <f>VLOOKUP($A199,[1]!CurveTable,MATCH($N$4,[1]!CurveType,0))</f>
        <v>2.4E-2</v>
      </c>
      <c r="O199" s="31">
        <f>N199+Inputs!$E$22</f>
        <v>2.4E-2</v>
      </c>
      <c r="P199" s="45">
        <f t="shared" si="168"/>
        <v>2.4E-2</v>
      </c>
      <c r="Q199" s="25">
        <f>VLOOKUP($A199,[1]!CurveTable,MATCH($Q$4,[1]!CurveType,0))</f>
        <v>7.4999999999999997E-3</v>
      </c>
      <c r="R199" s="31">
        <v>0</v>
      </c>
      <c r="S199" s="45">
        <f t="shared" si="169"/>
        <v>0</v>
      </c>
      <c r="T199" s="4"/>
      <c r="U199" s="159">
        <f t="shared" si="129"/>
        <v>5.5910000000000002</v>
      </c>
      <c r="V199" s="160"/>
      <c r="W199" s="100">
        <f>VLOOKUP($A199,[1]!CurveTable,MATCH($W$4,[1]!CurveType,0))+$W$9</f>
        <v>0.17</v>
      </c>
      <c r="X199" s="100">
        <f>VLOOKUP($A199,[1]!CurveTable,MATCH($X$4,[1]!CurveType,0))+$X$9</f>
        <v>0.17500000000000002</v>
      </c>
      <c r="Y199" s="158">
        <f t="shared" ca="1" si="120"/>
        <v>0.17558463488357565</v>
      </c>
      <c r="Z199" s="4"/>
      <c r="AA199" s="159">
        <f t="shared" si="130"/>
        <v>5.5</v>
      </c>
      <c r="AB199" s="160"/>
      <c r="AC199" s="100">
        <f>VLOOKUP($A199,[1]!CurveTable,MATCH($AC$4,[1]!CurveType,0))+$AC$9</f>
        <v>0.17</v>
      </c>
      <c r="AD199" s="100">
        <f>VLOOKUP($A199,[1]!CurveTable,MATCH($AD$4,[1]!CurveType,0))+$AD$9</f>
        <v>0.17500000000000002</v>
      </c>
      <c r="AE199" s="158">
        <f t="shared" ca="1" si="121"/>
        <v>0.17558463488357565</v>
      </c>
      <c r="AF199" s="4"/>
      <c r="AG199" s="52">
        <f ca="1">((Inputs!$F$20*(X199*AD199)*(A199-$C$3))+(Inputs!$F$19*W199*AC199*(DAY(EOMONTH(A199,0))/2)))/(AN199*Y199*AE199)</f>
        <v>0.74999999999999989</v>
      </c>
      <c r="AH199" s="4"/>
      <c r="AI199" s="18">
        <f>Inputs!$B$15</f>
        <v>0.06</v>
      </c>
      <c r="AJ199" s="46"/>
      <c r="AK199" s="18">
        <f t="shared" si="122"/>
        <v>3.1000000000000194E-2</v>
      </c>
      <c r="AL199" s="46"/>
      <c r="AM199" s="62">
        <f t="shared" si="123"/>
        <v>43861</v>
      </c>
      <c r="AN199" s="63">
        <f t="shared" ca="1" si="124"/>
        <v>6668</v>
      </c>
      <c r="AO199" s="63">
        <f t="shared" si="151"/>
        <v>1</v>
      </c>
      <c r="AP199" s="19"/>
      <c r="AQ199" s="74">
        <f ca="1">_xll.SPRDOPT(U199,AA199,AI199,AX199,X199,AD199,AG199,AN199,AO199,0)</f>
        <v>0.38757246564799641</v>
      </c>
      <c r="AR199" s="47">
        <f t="shared" ca="1" si="131"/>
        <v>0</v>
      </c>
      <c r="AS199" s="135">
        <f t="shared" ca="1" si="132"/>
        <v>0.35657246564799622</v>
      </c>
      <c r="AU199" s="5">
        <f t="shared" si="152"/>
        <v>31</v>
      </c>
      <c r="AV199" s="148">
        <f t="shared" si="125"/>
        <v>43905</v>
      </c>
      <c r="AW199" s="41">
        <f t="shared" ca="1" si="126"/>
        <v>6712</v>
      </c>
      <c r="AX199" s="100">
        <f>VLOOKUP($A199,[1]!CurveTable,MATCH(AX$4,[1]!CurveType,0))</f>
        <v>6.0610843218505704E-2</v>
      </c>
      <c r="AY199" s="149">
        <f ca="1">1/(1+CHOOSE(F$3,(AX200+(Inputs!$B$14/10000))/2,(AX199+(Inputs!$B$14/10000))/2))^(2*AW199/365.25)</f>
        <v>0.33378155081621036</v>
      </c>
      <c r="AZ199" s="41">
        <f t="shared" si="153"/>
        <v>0</v>
      </c>
      <c r="BA199" s="72">
        <f t="shared" si="154"/>
        <v>0</v>
      </c>
      <c r="BC199" s="65">
        <f t="shared" ca="1" si="133"/>
        <v>0</v>
      </c>
      <c r="BD199" s="65">
        <f t="shared" ca="1" si="134"/>
        <v>0</v>
      </c>
      <c r="BE199" s="65">
        <f t="shared" ca="1" si="135"/>
        <v>0</v>
      </c>
      <c r="BF199" s="65">
        <f t="shared" ca="1" si="136"/>
        <v>0</v>
      </c>
      <c r="BG199" s="65">
        <f t="shared" ca="1" si="137"/>
        <v>0</v>
      </c>
      <c r="BH199" s="65">
        <f t="shared" ca="1" si="138"/>
        <v>0</v>
      </c>
      <c r="BI199" s="65">
        <f t="shared" ca="1" si="139"/>
        <v>0</v>
      </c>
      <c r="BJ199" s="65">
        <f t="shared" ca="1" si="140"/>
        <v>0</v>
      </c>
      <c r="BK199" s="65">
        <f t="shared" ca="1" si="141"/>
        <v>0</v>
      </c>
      <c r="BL199" s="65">
        <f t="shared" ca="1" si="142"/>
        <v>0</v>
      </c>
      <c r="BM199" s="65">
        <f t="shared" ca="1" si="143"/>
        <v>0</v>
      </c>
      <c r="BN199" s="65">
        <f t="shared" ca="1" si="144"/>
        <v>0</v>
      </c>
      <c r="BO199" s="65">
        <f t="shared" ca="1" si="145"/>
        <v>0</v>
      </c>
      <c r="BP199" s="65">
        <f t="shared" ca="1" si="146"/>
        <v>0</v>
      </c>
      <c r="BQ199" s="65">
        <f t="shared" ca="1" si="147"/>
        <v>0</v>
      </c>
      <c r="BR199" s="65">
        <f t="shared" ca="1" si="148"/>
        <v>0</v>
      </c>
      <c r="BS199" s="65">
        <f t="shared" ca="1" si="149"/>
        <v>0</v>
      </c>
      <c r="BT199" s="65">
        <f t="shared" ca="1" si="150"/>
        <v>0</v>
      </c>
      <c r="BU199" s="65">
        <f t="shared" ca="1" si="127"/>
        <v>0</v>
      </c>
    </row>
    <row r="200" spans="1:73">
      <c r="A200" s="42">
        <f t="shared" si="128"/>
        <v>43922</v>
      </c>
      <c r="B200" s="30">
        <f>Inputs!$B$8</f>
        <v>50000</v>
      </c>
      <c r="C200" s="17">
        <f t="shared" si="118"/>
        <v>0</v>
      </c>
      <c r="D200" s="17">
        <f t="shared" ca="1" si="119"/>
        <v>0</v>
      </c>
      <c r="E200" s="25">
        <f>VLOOKUP($A200,[1]!CurveTable,MATCH($E$4,[1]!CurveType,0))</f>
        <v>5.2670000000000003</v>
      </c>
      <c r="F200" s="31">
        <f>E200-Inputs!$B$16</f>
        <v>5.3220000000000001</v>
      </c>
      <c r="G200" s="43">
        <f t="shared" si="165"/>
        <v>5.3220000000000001</v>
      </c>
      <c r="H200" s="25">
        <f>VLOOKUP($A200,[1]!CurveTable,MATCH($H$4,[1]!CurveType,0))</f>
        <v>0.55000000000000004</v>
      </c>
      <c r="I200" s="31">
        <f>H200+Inputs!$B$22</f>
        <v>0.55000000000000004</v>
      </c>
      <c r="J200" s="44">
        <f t="shared" si="166"/>
        <v>0.55000000000000004</v>
      </c>
      <c r="K200" s="25">
        <f>VLOOKUP($A200,[1]!CurveTable,MATCH($K$4,[1]!CurveType,0))</f>
        <v>0</v>
      </c>
      <c r="L200" s="31">
        <v>0</v>
      </c>
      <c r="M200" s="45">
        <f t="shared" si="167"/>
        <v>0</v>
      </c>
      <c r="N200" s="25">
        <f>VLOOKUP($A200,[1]!CurveTable,MATCH($N$4,[1]!CurveType,0))</f>
        <v>2.4E-2</v>
      </c>
      <c r="O200" s="31">
        <f>N200+Inputs!$E$22</f>
        <v>2.4E-2</v>
      </c>
      <c r="P200" s="45">
        <f t="shared" si="168"/>
        <v>2.4E-2</v>
      </c>
      <c r="Q200" s="25">
        <f>VLOOKUP($A200,[1]!CurveTable,MATCH($Q$4,[1]!CurveType,0))</f>
        <v>0.01</v>
      </c>
      <c r="R200" s="31">
        <v>0</v>
      </c>
      <c r="S200" s="45">
        <f t="shared" si="169"/>
        <v>0</v>
      </c>
      <c r="T200" s="4"/>
      <c r="U200" s="159">
        <f t="shared" si="129"/>
        <v>5.8719999999999999</v>
      </c>
      <c r="V200" s="160"/>
      <c r="W200" s="100">
        <f>VLOOKUP($A200,[1]!CurveTable,MATCH($W$4,[1]!CurveType,0))+$W$9</f>
        <v>0.17</v>
      </c>
      <c r="X200" s="100">
        <f>VLOOKUP($A200,[1]!CurveTable,MATCH($X$4,[1]!CurveType,0))+$X$9</f>
        <v>0.17500000000000002</v>
      </c>
      <c r="Y200" s="158">
        <f t="shared" ca="1" si="120"/>
        <v>0.17560200641170376</v>
      </c>
      <c r="Z200" s="4"/>
      <c r="AA200" s="159">
        <f t="shared" si="130"/>
        <v>5.3460000000000001</v>
      </c>
      <c r="AB200" s="160"/>
      <c r="AC200" s="100">
        <f>VLOOKUP($A200,[1]!CurveTable,MATCH($AC$4,[1]!CurveType,0))+$AC$9</f>
        <v>0.17</v>
      </c>
      <c r="AD200" s="100">
        <f>VLOOKUP($A200,[1]!CurveTable,MATCH($AD$4,[1]!CurveType,0))+$AD$9</f>
        <v>0.17500000000000002</v>
      </c>
      <c r="AE200" s="158">
        <f t="shared" ca="1" si="121"/>
        <v>0.17560200641170376</v>
      </c>
      <c r="AF200" s="4"/>
      <c r="AG200" s="52">
        <f ca="1">((Inputs!$F$20*(X200*AD200)*(A200-$C$3))+(Inputs!$F$19*W200*AC200*(DAY(EOMONTH(A200,0))/2)))/(AN200*Y200*AE200)</f>
        <v>0.74999999999999989</v>
      </c>
      <c r="AH200" s="4"/>
      <c r="AI200" s="18">
        <f>Inputs!$B$15</f>
        <v>0.06</v>
      </c>
      <c r="AJ200" s="46"/>
      <c r="AK200" s="18">
        <f t="shared" si="122"/>
        <v>0.4659999999999998</v>
      </c>
      <c r="AL200" s="46"/>
      <c r="AM200" s="62">
        <f t="shared" si="123"/>
        <v>43890</v>
      </c>
      <c r="AN200" s="63">
        <f t="shared" ca="1" si="124"/>
        <v>6697</v>
      </c>
      <c r="AO200" s="63">
        <f t="shared" si="151"/>
        <v>1</v>
      </c>
      <c r="AP200" s="19"/>
      <c r="AQ200" s="74">
        <f ca="1">_xll.SPRDOPT(U200,AA200,AI200,AX200,X200,AD200,AG200,AN200,AO200,0)</f>
        <v>0.4665351126571266</v>
      </c>
      <c r="AR200" s="47">
        <f t="shared" ca="1" si="131"/>
        <v>0</v>
      </c>
      <c r="AS200" s="135">
        <f t="shared" ca="1" si="132"/>
        <v>5.3511265712680167E-4</v>
      </c>
      <c r="AU200" s="5">
        <f t="shared" si="152"/>
        <v>30</v>
      </c>
      <c r="AV200" s="148">
        <f t="shared" si="125"/>
        <v>43936</v>
      </c>
      <c r="AW200" s="41">
        <f t="shared" ca="1" si="126"/>
        <v>6743</v>
      </c>
      <c r="AX200" s="100">
        <f>VLOOKUP($A200,[1]!CurveTable,MATCH(AX$4,[1]!CurveType,0))</f>
        <v>6.0669056028284998E-2</v>
      </c>
      <c r="AY200" s="149">
        <f ca="1">1/(1+CHOOSE(F$3,(AX201+(Inputs!$B$14/10000))/2,(AX200+(Inputs!$B$14/10000))/2))^(2*AW200/365.25)</f>
        <v>0.33174806546957403</v>
      </c>
      <c r="AZ200" s="41">
        <f t="shared" si="153"/>
        <v>0</v>
      </c>
      <c r="BA200" s="72">
        <f t="shared" si="154"/>
        <v>0</v>
      </c>
      <c r="BC200" s="65">
        <f t="shared" ca="1" si="133"/>
        <v>0</v>
      </c>
      <c r="BD200" s="65">
        <f t="shared" ca="1" si="134"/>
        <v>0</v>
      </c>
      <c r="BE200" s="65">
        <f t="shared" ca="1" si="135"/>
        <v>0</v>
      </c>
      <c r="BF200" s="65">
        <f t="shared" ca="1" si="136"/>
        <v>0</v>
      </c>
      <c r="BG200" s="65">
        <f t="shared" ca="1" si="137"/>
        <v>0</v>
      </c>
      <c r="BH200" s="65">
        <f t="shared" ca="1" si="138"/>
        <v>0</v>
      </c>
      <c r="BI200" s="65">
        <f t="shared" ca="1" si="139"/>
        <v>0</v>
      </c>
      <c r="BJ200" s="65">
        <f t="shared" ca="1" si="140"/>
        <v>0</v>
      </c>
      <c r="BK200" s="65">
        <f t="shared" ca="1" si="141"/>
        <v>0</v>
      </c>
      <c r="BL200" s="65">
        <f t="shared" ca="1" si="142"/>
        <v>0</v>
      </c>
      <c r="BM200" s="65">
        <f t="shared" ca="1" si="143"/>
        <v>0</v>
      </c>
      <c r="BN200" s="65">
        <f t="shared" ca="1" si="144"/>
        <v>0</v>
      </c>
      <c r="BO200" s="65">
        <f t="shared" ca="1" si="145"/>
        <v>0</v>
      </c>
      <c r="BP200" s="65">
        <f t="shared" ca="1" si="146"/>
        <v>0</v>
      </c>
      <c r="BQ200" s="65">
        <f t="shared" ca="1" si="147"/>
        <v>0</v>
      </c>
      <c r="BR200" s="65">
        <f t="shared" ca="1" si="148"/>
        <v>0</v>
      </c>
      <c r="BS200" s="65">
        <f t="shared" ca="1" si="149"/>
        <v>0</v>
      </c>
      <c r="BT200" s="65">
        <f t="shared" ca="1" si="150"/>
        <v>0</v>
      </c>
      <c r="BU200" s="65">
        <f t="shared" ca="1" si="127"/>
        <v>0</v>
      </c>
    </row>
    <row r="201" spans="1:73">
      <c r="A201" s="42">
        <f t="shared" si="128"/>
        <v>43952</v>
      </c>
      <c r="B201" s="30">
        <f>Inputs!$B$8</f>
        <v>50000</v>
      </c>
      <c r="C201" s="17">
        <f t="shared" si="118"/>
        <v>0</v>
      </c>
      <c r="D201" s="17">
        <f t="shared" ca="1" si="119"/>
        <v>0</v>
      </c>
      <c r="E201" s="25">
        <f>VLOOKUP($A201,[1]!CurveTable,MATCH($E$4,[1]!CurveType,0))</f>
        <v>5.2720000000000002</v>
      </c>
      <c r="F201" s="31">
        <f>E201-Inputs!$B$16</f>
        <v>5.327</v>
      </c>
      <c r="G201" s="43">
        <f t="shared" si="165"/>
        <v>5.327</v>
      </c>
      <c r="H201" s="25">
        <f>VLOOKUP($A201,[1]!CurveTable,MATCH($H$4,[1]!CurveType,0))</f>
        <v>0.7</v>
      </c>
      <c r="I201" s="31">
        <f>H201+Inputs!$B$22</f>
        <v>0.7</v>
      </c>
      <c r="J201" s="44">
        <f t="shared" si="166"/>
        <v>0.7</v>
      </c>
      <c r="K201" s="25">
        <f>VLOOKUP($A201,[1]!CurveTable,MATCH($K$4,[1]!CurveType,0))</f>
        <v>0</v>
      </c>
      <c r="L201" s="31">
        <v>0</v>
      </c>
      <c r="M201" s="45">
        <f t="shared" si="167"/>
        <v>0</v>
      </c>
      <c r="N201" s="25">
        <f>VLOOKUP($A201,[1]!CurveTable,MATCH($N$4,[1]!CurveType,0))</f>
        <v>2.6500000000000003E-2</v>
      </c>
      <c r="O201" s="31">
        <f>N201+Inputs!$E$22</f>
        <v>2.6500000000000003E-2</v>
      </c>
      <c r="P201" s="45">
        <f t="shared" si="168"/>
        <v>2.6500000000000003E-2</v>
      </c>
      <c r="Q201" s="25">
        <f>VLOOKUP($A201,[1]!CurveTable,MATCH($Q$4,[1]!CurveType,0))</f>
        <v>0.01</v>
      </c>
      <c r="R201" s="31">
        <v>0</v>
      </c>
      <c r="S201" s="45">
        <f t="shared" si="169"/>
        <v>0</v>
      </c>
      <c r="T201" s="4"/>
      <c r="U201" s="159">
        <f t="shared" si="129"/>
        <v>6.0270000000000001</v>
      </c>
      <c r="V201" s="160"/>
      <c r="W201" s="100">
        <f>VLOOKUP($A201,[1]!CurveTable,MATCH($W$4,[1]!CurveType,0))+$W$9</f>
        <v>0.34</v>
      </c>
      <c r="X201" s="100">
        <f>VLOOKUP($A201,[1]!CurveTable,MATCH($X$4,[1]!CurveType,0))+$X$9</f>
        <v>0.34500000000000003</v>
      </c>
      <c r="Y201" s="158">
        <f t="shared" ca="1" si="120"/>
        <v>0.34617876976520018</v>
      </c>
      <c r="Z201" s="4"/>
      <c r="AA201" s="159">
        <f t="shared" si="130"/>
        <v>5.3535000000000004</v>
      </c>
      <c r="AB201" s="160"/>
      <c r="AC201" s="100">
        <f>VLOOKUP($A201,[1]!CurveTable,MATCH($AC$4,[1]!CurveType,0))+$AC$9</f>
        <v>0.17</v>
      </c>
      <c r="AD201" s="100">
        <f>VLOOKUP($A201,[1]!CurveTable,MATCH($AD$4,[1]!CurveType,0))+$AD$9</f>
        <v>0.17500000000000002</v>
      </c>
      <c r="AE201" s="158">
        <f t="shared" ca="1" si="121"/>
        <v>0.17559239169227703</v>
      </c>
      <c r="AF201" s="4"/>
      <c r="AG201" s="52">
        <f ca="1">((Inputs!$F$20*(X201*AD201)*(A201-$C$3))+(Inputs!$F$19*W201*AC201*(DAY(EOMONTH(A201,0))/2)))/(AN201*Y201*AE201)</f>
        <v>0.74999983029325701</v>
      </c>
      <c r="AH201" s="4"/>
      <c r="AI201" s="18">
        <f>Inputs!$B$15</f>
        <v>0.06</v>
      </c>
      <c r="AJ201" s="46"/>
      <c r="AK201" s="18">
        <f t="shared" si="122"/>
        <v>0.61349999999999971</v>
      </c>
      <c r="AL201" s="46"/>
      <c r="AM201" s="62">
        <f t="shared" si="123"/>
        <v>43921</v>
      </c>
      <c r="AN201" s="63">
        <f t="shared" ca="1" si="124"/>
        <v>6728</v>
      </c>
      <c r="AO201" s="63">
        <f t="shared" si="151"/>
        <v>1</v>
      </c>
      <c r="AP201" s="19"/>
      <c r="AQ201" s="74">
        <f ca="1">_xll.SPRDOPT(U201,AA201,AI201,AX201,X201,AD201,AG201,AN201,AO201,0)</f>
        <v>0.84959806050008901</v>
      </c>
      <c r="AR201" s="47">
        <f t="shared" ca="1" si="131"/>
        <v>0</v>
      </c>
      <c r="AS201" s="135">
        <f t="shared" ca="1" si="132"/>
        <v>0.2360980605000893</v>
      </c>
      <c r="AU201" s="5">
        <f t="shared" si="152"/>
        <v>31</v>
      </c>
      <c r="AV201" s="148">
        <f t="shared" si="125"/>
        <v>43966</v>
      </c>
      <c r="AW201" s="41">
        <f t="shared" ca="1" si="126"/>
        <v>6773</v>
      </c>
      <c r="AX201" s="100">
        <f>VLOOKUP($A201,[1]!CurveTable,MATCH(AX$4,[1]!CurveType,0))</f>
        <v>6.0725391006562802E-2</v>
      </c>
      <c r="AY201" s="149">
        <f ca="1">1/(1+CHOOSE(F$3,(AX202+(Inputs!$B$14/10000))/2,(AX201+(Inputs!$B$14/10000))/2))^(2*AW201/365.25)</f>
        <v>0.32978897050992678</v>
      </c>
      <c r="AZ201" s="41">
        <f t="shared" si="153"/>
        <v>0</v>
      </c>
      <c r="BA201" s="72">
        <f t="shared" si="154"/>
        <v>0</v>
      </c>
      <c r="BC201" s="65">
        <f t="shared" ca="1" si="133"/>
        <v>0</v>
      </c>
      <c r="BD201" s="65">
        <f t="shared" ca="1" si="134"/>
        <v>0</v>
      </c>
      <c r="BE201" s="65">
        <f t="shared" ca="1" si="135"/>
        <v>0</v>
      </c>
      <c r="BF201" s="65">
        <f t="shared" ca="1" si="136"/>
        <v>0</v>
      </c>
      <c r="BG201" s="65">
        <f t="shared" ca="1" si="137"/>
        <v>0</v>
      </c>
      <c r="BH201" s="65">
        <f t="shared" ca="1" si="138"/>
        <v>0</v>
      </c>
      <c r="BI201" s="65">
        <f t="shared" ca="1" si="139"/>
        <v>0</v>
      </c>
      <c r="BJ201" s="65">
        <f t="shared" ca="1" si="140"/>
        <v>0</v>
      </c>
      <c r="BK201" s="65">
        <f t="shared" ca="1" si="141"/>
        <v>0</v>
      </c>
      <c r="BL201" s="65">
        <f t="shared" ca="1" si="142"/>
        <v>0</v>
      </c>
      <c r="BM201" s="65">
        <f t="shared" ca="1" si="143"/>
        <v>0</v>
      </c>
      <c r="BN201" s="65">
        <f t="shared" ca="1" si="144"/>
        <v>0</v>
      </c>
      <c r="BO201" s="65">
        <f t="shared" ca="1" si="145"/>
        <v>0</v>
      </c>
      <c r="BP201" s="65">
        <f t="shared" ca="1" si="146"/>
        <v>0</v>
      </c>
      <c r="BQ201" s="65">
        <f t="shared" ca="1" si="147"/>
        <v>0</v>
      </c>
      <c r="BR201" s="65">
        <f t="shared" ca="1" si="148"/>
        <v>0</v>
      </c>
      <c r="BS201" s="65">
        <f t="shared" ca="1" si="149"/>
        <v>0</v>
      </c>
      <c r="BT201" s="65">
        <f t="shared" ca="1" si="150"/>
        <v>0</v>
      </c>
      <c r="BU201" s="65">
        <f t="shared" ca="1" si="127"/>
        <v>0</v>
      </c>
    </row>
    <row r="202" spans="1:73">
      <c r="A202" s="42">
        <f t="shared" si="128"/>
        <v>43983</v>
      </c>
      <c r="B202" s="30">
        <f>Inputs!$B$8</f>
        <v>50000</v>
      </c>
      <c r="C202" s="17">
        <f t="shared" ref="C202:C256" si="170">IF(AZ202=0,0,IF(AND(AZ202=1,$H$3=1),B202*AU202,IF($H$3=2,B202,"N/A")))</f>
        <v>0</v>
      </c>
      <c r="D202" s="17">
        <f t="shared" ref="D202:D256" ca="1" si="171">C202*AY202</f>
        <v>0</v>
      </c>
      <c r="E202" s="25">
        <f>VLOOKUP($A202,[1]!CurveTable,MATCH($E$4,[1]!CurveType,0))</f>
        <v>5.31</v>
      </c>
      <c r="F202" s="31">
        <f>E202-Inputs!$B$16</f>
        <v>5.3649999999999993</v>
      </c>
      <c r="G202" s="43">
        <f t="shared" si="165"/>
        <v>5.3649999999999993</v>
      </c>
      <c r="H202" s="25">
        <f>VLOOKUP($A202,[1]!CurveTable,MATCH($H$4,[1]!CurveType,0))</f>
        <v>0.8</v>
      </c>
      <c r="I202" s="31">
        <f>H202+Inputs!$B$22</f>
        <v>0.8</v>
      </c>
      <c r="J202" s="44">
        <f t="shared" si="166"/>
        <v>0.8</v>
      </c>
      <c r="K202" s="25">
        <f>VLOOKUP($A202,[1]!CurveTable,MATCH($K$4,[1]!CurveType,0))</f>
        <v>0</v>
      </c>
      <c r="L202" s="31">
        <v>0</v>
      </c>
      <c r="M202" s="45">
        <f t="shared" si="167"/>
        <v>0</v>
      </c>
      <c r="N202" s="25">
        <f>VLOOKUP($A202,[1]!CurveTable,MATCH($N$4,[1]!CurveType,0))</f>
        <v>2.4E-2</v>
      </c>
      <c r="O202" s="31">
        <f>N202+Inputs!$E$22</f>
        <v>2.4E-2</v>
      </c>
      <c r="P202" s="45">
        <f t="shared" si="168"/>
        <v>2.4E-2</v>
      </c>
      <c r="Q202" s="25">
        <f>VLOOKUP($A202,[1]!CurveTable,MATCH($Q$4,[1]!CurveType,0))</f>
        <v>0.01</v>
      </c>
      <c r="R202" s="31">
        <v>0</v>
      </c>
      <c r="S202" s="45">
        <f t="shared" si="169"/>
        <v>0</v>
      </c>
      <c r="T202" s="4"/>
      <c r="U202" s="159">
        <f t="shared" si="129"/>
        <v>6.1649999999999991</v>
      </c>
      <c r="V202" s="160"/>
      <c r="W202" s="100">
        <f>VLOOKUP($A202,[1]!CurveTable,MATCH($W$4,[1]!CurveType,0))+$W$9</f>
        <v>0.34</v>
      </c>
      <c r="X202" s="100">
        <f>VLOOKUP($A202,[1]!CurveTable,MATCH($X$4,[1]!CurveType,0))+$X$9</f>
        <v>0.34500000000000003</v>
      </c>
      <c r="Y202" s="158">
        <f t="shared" ref="Y202:Y265" ca="1" si="172">SQRT((X202^2*($A202-$C$3)+W202^2*(DAY(EOMONTH(A202,0))/2))/$AN202)</f>
        <v>0.34618663100448949</v>
      </c>
      <c r="Z202" s="4"/>
      <c r="AA202" s="159">
        <f t="shared" si="130"/>
        <v>5.3889999999999993</v>
      </c>
      <c r="AB202" s="160"/>
      <c r="AC202" s="100">
        <f>VLOOKUP($A202,[1]!CurveTable,MATCH($AC$4,[1]!CurveType,0))+$AC$9</f>
        <v>0.17</v>
      </c>
      <c r="AD202" s="100">
        <f>VLOOKUP($A202,[1]!CurveTable,MATCH($AD$4,[1]!CurveType,0))+$AD$9</f>
        <v>0.17500000000000002</v>
      </c>
      <c r="AE202" s="158">
        <f t="shared" ref="AE202:AE265" ca="1" si="173">SQRT((AD202^2*($A202-$C$3)+AC202^2*(DAY(EOMONTH(A202,0))/2))/$AN202)</f>
        <v>0.17559658172825948</v>
      </c>
      <c r="AF202" s="4"/>
      <c r="AG202" s="52">
        <f ca="1">((Inputs!$F$20*(X202*AD202)*(A202-$C$3))+(Inputs!$F$19*W202*AC202*(DAY(EOMONTH(A202,0))/2)))/(AN202*Y202*AE202)</f>
        <v>0.74999983649120228</v>
      </c>
      <c r="AH202" s="4"/>
      <c r="AI202" s="18">
        <f>Inputs!$B$15</f>
        <v>0.06</v>
      </c>
      <c r="AJ202" s="46"/>
      <c r="AK202" s="18">
        <f t="shared" ref="AK202:AK256" si="174">IF((U202-AA202-AI202)&lt;0,0,(U202-AA202-AI202))</f>
        <v>0.71599999999999975</v>
      </c>
      <c r="AL202" s="46"/>
      <c r="AM202" s="62">
        <f t="shared" ref="AM202:AM256" si="175">WORKDAY(EOMONTH(A202-1,-1),0)</f>
        <v>43951</v>
      </c>
      <c r="AN202" s="63">
        <f t="shared" ref="AN202:AN256" ca="1" si="176">AM202-$C$3</f>
        <v>6758</v>
      </c>
      <c r="AO202" s="63">
        <f t="shared" si="151"/>
        <v>1</v>
      </c>
      <c r="AP202" s="19"/>
      <c r="AQ202" s="74">
        <f ca="1">_xll.SPRDOPT(U202,AA202,AI202,AX202,X202,AD202,AG202,AN202,AO202,0)</f>
        <v>0.87506729199210009</v>
      </c>
      <c r="AR202" s="47">
        <f t="shared" ca="1" si="131"/>
        <v>0</v>
      </c>
      <c r="AS202" s="135">
        <f t="shared" ca="1" si="132"/>
        <v>0.15906729199210035</v>
      </c>
      <c r="AU202" s="5">
        <f t="shared" si="152"/>
        <v>30</v>
      </c>
      <c r="AV202" s="148">
        <f t="shared" ref="AV202:AV256" si="177">CHOOSE(F$3,A203+24,A202+14)</f>
        <v>43997</v>
      </c>
      <c r="AW202" s="41">
        <f t="shared" ref="AW202:AW256" ca="1" si="178">AV202-C$3</f>
        <v>6804</v>
      </c>
      <c r="AX202" s="100">
        <f>VLOOKUP($A202,[1]!CurveTable,MATCH(AX$4,[1]!CurveType,0))</f>
        <v>6.07836038185572E-2</v>
      </c>
      <c r="AY202" s="149">
        <f ca="1">1/(1+CHOOSE(F$3,(AX203+(Inputs!$B$14/10000))/2,(AX202+(Inputs!$B$14/10000))/2))^(2*AW202/365.25)</f>
        <v>0.32777364244637347</v>
      </c>
      <c r="AZ202" s="41">
        <f t="shared" si="153"/>
        <v>0</v>
      </c>
      <c r="BA202" s="72">
        <f t="shared" si="154"/>
        <v>0</v>
      </c>
      <c r="BC202" s="65">
        <f t="shared" ca="1" si="133"/>
        <v>0</v>
      </c>
      <c r="BD202" s="65">
        <f t="shared" ca="1" si="134"/>
        <v>0</v>
      </c>
      <c r="BE202" s="65">
        <f t="shared" ca="1" si="135"/>
        <v>0</v>
      </c>
      <c r="BF202" s="65">
        <f t="shared" ca="1" si="136"/>
        <v>0</v>
      </c>
      <c r="BG202" s="65">
        <f t="shared" ca="1" si="137"/>
        <v>0</v>
      </c>
      <c r="BH202" s="65">
        <f t="shared" ca="1" si="138"/>
        <v>0</v>
      </c>
      <c r="BI202" s="65">
        <f t="shared" ca="1" si="139"/>
        <v>0</v>
      </c>
      <c r="BJ202" s="65">
        <f t="shared" ca="1" si="140"/>
        <v>0</v>
      </c>
      <c r="BK202" s="65">
        <f t="shared" ca="1" si="141"/>
        <v>0</v>
      </c>
      <c r="BL202" s="65">
        <f t="shared" ca="1" si="142"/>
        <v>0</v>
      </c>
      <c r="BM202" s="65">
        <f t="shared" ca="1" si="143"/>
        <v>0</v>
      </c>
      <c r="BN202" s="65">
        <f t="shared" ca="1" si="144"/>
        <v>0</v>
      </c>
      <c r="BO202" s="65">
        <f t="shared" ca="1" si="145"/>
        <v>0</v>
      </c>
      <c r="BP202" s="65">
        <f t="shared" ca="1" si="146"/>
        <v>0</v>
      </c>
      <c r="BQ202" s="65">
        <f t="shared" ca="1" si="147"/>
        <v>0</v>
      </c>
      <c r="BR202" s="65">
        <f t="shared" ca="1" si="148"/>
        <v>0</v>
      </c>
      <c r="BS202" s="65">
        <f t="shared" ca="1" si="149"/>
        <v>0</v>
      </c>
      <c r="BT202" s="65">
        <f t="shared" ca="1" si="150"/>
        <v>0</v>
      </c>
      <c r="BU202" s="65">
        <f t="shared" ref="BU202:BU256" ca="1" si="179">AK202*D202</f>
        <v>0</v>
      </c>
    </row>
    <row r="203" spans="1:73">
      <c r="A203" s="42">
        <f t="shared" ref="A203:A266" si="180">EDATE(A202,1)</f>
        <v>44013</v>
      </c>
      <c r="B203" s="30">
        <f>Inputs!$B$8</f>
        <v>50000</v>
      </c>
      <c r="C203" s="17">
        <f t="shared" si="170"/>
        <v>0</v>
      </c>
      <c r="D203" s="17">
        <f t="shared" ca="1" si="171"/>
        <v>0</v>
      </c>
      <c r="E203" s="25">
        <f>VLOOKUP($A203,[1]!CurveTable,MATCH($E$4,[1]!CurveType,0))</f>
        <v>5.3550000000000004</v>
      </c>
      <c r="F203" s="31">
        <f>E203-Inputs!$B$16</f>
        <v>5.41</v>
      </c>
      <c r="G203" s="43">
        <f t="shared" si="165"/>
        <v>5.41</v>
      </c>
      <c r="H203" s="25">
        <f>VLOOKUP($A203,[1]!CurveTable,MATCH($H$4,[1]!CurveType,0))</f>
        <v>1</v>
      </c>
      <c r="I203" s="31">
        <f>H203+Inputs!$B$22</f>
        <v>1</v>
      </c>
      <c r="J203" s="44">
        <f t="shared" si="166"/>
        <v>1</v>
      </c>
      <c r="K203" s="25">
        <f>VLOOKUP($A203,[1]!CurveTable,MATCH($K$4,[1]!CurveType,0))</f>
        <v>0</v>
      </c>
      <c r="L203" s="31">
        <v>0</v>
      </c>
      <c r="M203" s="45">
        <f t="shared" si="167"/>
        <v>0</v>
      </c>
      <c r="N203" s="25">
        <f>VLOOKUP($A203,[1]!CurveTable,MATCH($N$4,[1]!CurveType,0))</f>
        <v>2.1500000000000002E-2</v>
      </c>
      <c r="O203" s="31">
        <f>N203+Inputs!$E$22</f>
        <v>2.1500000000000002E-2</v>
      </c>
      <c r="P203" s="45">
        <f t="shared" si="168"/>
        <v>2.1500000000000002E-2</v>
      </c>
      <c r="Q203" s="25">
        <f>VLOOKUP($A203,[1]!CurveTable,MATCH($Q$4,[1]!CurveType,0))</f>
        <v>0.01</v>
      </c>
      <c r="R203" s="31">
        <v>0</v>
      </c>
      <c r="S203" s="45">
        <f t="shared" si="169"/>
        <v>0</v>
      </c>
      <c r="T203" s="4"/>
      <c r="U203" s="159">
        <f t="shared" ref="U203:U256" si="181">G203+J203</f>
        <v>6.41</v>
      </c>
      <c r="V203" s="160"/>
      <c r="W203" s="100">
        <f>VLOOKUP($A203,[1]!CurveTable,MATCH($W$4,[1]!CurveType,0))+$W$9</f>
        <v>0.34</v>
      </c>
      <c r="X203" s="100">
        <f>VLOOKUP($A203,[1]!CurveTable,MATCH($X$4,[1]!CurveType,0))+$X$9</f>
        <v>0.34500000000000003</v>
      </c>
      <c r="Y203" s="158">
        <f t="shared" ca="1" si="172"/>
        <v>0.34616819624472178</v>
      </c>
      <c r="Z203" s="4"/>
      <c r="AA203" s="159">
        <f t="shared" ref="AA203:AA256" si="182">G203+P203+S203</f>
        <v>5.4314999999999998</v>
      </c>
      <c r="AB203" s="160"/>
      <c r="AC203" s="100">
        <f>VLOOKUP($A203,[1]!CurveTable,MATCH($AC$4,[1]!CurveType,0))+$AC$9</f>
        <v>0.17</v>
      </c>
      <c r="AD203" s="100">
        <f>VLOOKUP($A203,[1]!CurveTable,MATCH($AD$4,[1]!CurveType,0))+$AD$9</f>
        <v>0.17500000000000002</v>
      </c>
      <c r="AE203" s="158">
        <f t="shared" ca="1" si="173"/>
        <v>0.17558707787820899</v>
      </c>
      <c r="AF203" s="4"/>
      <c r="AG203" s="52">
        <f ca="1">((Inputs!$F$20*(X203*AD203)*(A203-$C$3))+(Inputs!$F$19*W203*AC203*(DAY(EOMONTH(A203,0))/2)))/(AN203*Y203*AE203)</f>
        <v>0.74999983180457042</v>
      </c>
      <c r="AH203" s="4"/>
      <c r="AI203" s="18">
        <f>Inputs!$B$15</f>
        <v>0.06</v>
      </c>
      <c r="AJ203" s="46"/>
      <c r="AK203" s="18">
        <f t="shared" si="174"/>
        <v>0.91850000000000032</v>
      </c>
      <c r="AL203" s="46"/>
      <c r="AM203" s="62">
        <f t="shared" si="175"/>
        <v>43982</v>
      </c>
      <c r="AN203" s="63">
        <f t="shared" ca="1" si="176"/>
        <v>6789</v>
      </c>
      <c r="AO203" s="63">
        <f t="shared" si="151"/>
        <v>1</v>
      </c>
      <c r="AP203" s="19"/>
      <c r="AQ203" s="74">
        <f ca="1">_xll.SPRDOPT(U203,AA203,AI203,AX203,X203,AD203,AG203,AN203,AO203,0)</f>
        <v>0.92531900117781196</v>
      </c>
      <c r="AR203" s="47">
        <f t="shared" ref="AR203:AR256" ca="1" si="183">AQ203*C203</f>
        <v>0</v>
      </c>
      <c r="AS203" s="135">
        <f t="shared" ref="AS203:AS256" ca="1" si="184">AQ203-AK203</f>
        <v>6.8190011778116455E-3</v>
      </c>
      <c r="AU203" s="5">
        <f t="shared" si="152"/>
        <v>31</v>
      </c>
      <c r="AV203" s="148">
        <f t="shared" si="177"/>
        <v>44027</v>
      </c>
      <c r="AW203" s="41">
        <f t="shared" ca="1" si="178"/>
        <v>6834</v>
      </c>
      <c r="AX203" s="100">
        <f>VLOOKUP($A203,[1]!CurveTable,MATCH(AX$4,[1]!CurveType,0))</f>
        <v>6.0839938798978602E-2</v>
      </c>
      <c r="AY203" s="149">
        <f ca="1">1/(1+CHOOSE(F$3,(AX204+(Inputs!$B$14/10000))/2,(AX203+(Inputs!$B$14/10000))/2))^(2*AW203/365.25)</f>
        <v>0.32583208587290963</v>
      </c>
      <c r="AZ203" s="41">
        <f t="shared" si="153"/>
        <v>0</v>
      </c>
      <c r="BA203" s="72">
        <f t="shared" si="154"/>
        <v>0</v>
      </c>
      <c r="BC203" s="65">
        <f t="shared" ref="BC203:BC256" ca="1" si="185">E203*$D203</f>
        <v>0</v>
      </c>
      <c r="BD203" s="65">
        <f t="shared" ref="BD203:BD256" ca="1" si="186">F203*$D203</f>
        <v>0</v>
      </c>
      <c r="BE203" s="65">
        <f t="shared" ref="BE203:BE256" ca="1" si="187">G203*$D203</f>
        <v>0</v>
      </c>
      <c r="BF203" s="65">
        <f t="shared" ref="BF203:BF256" ca="1" si="188">H203*$D203</f>
        <v>0</v>
      </c>
      <c r="BG203" s="65">
        <f t="shared" ref="BG203:BG256" ca="1" si="189">I203*$D203</f>
        <v>0</v>
      </c>
      <c r="BH203" s="65">
        <f t="shared" ref="BH203:BH256" ca="1" si="190">J203*$D203</f>
        <v>0</v>
      </c>
      <c r="BI203" s="65">
        <f t="shared" ref="BI203:BI256" ca="1" si="191">K203*$D203</f>
        <v>0</v>
      </c>
      <c r="BJ203" s="65">
        <f t="shared" ref="BJ203:BJ256" ca="1" si="192">L203*$D203</f>
        <v>0</v>
      </c>
      <c r="BK203" s="65">
        <f t="shared" ref="BK203:BK256" ca="1" si="193">M203*$D203</f>
        <v>0</v>
      </c>
      <c r="BL203" s="65">
        <f t="shared" ref="BL203:BL256" ca="1" si="194">N203*$D203</f>
        <v>0</v>
      </c>
      <c r="BM203" s="65">
        <f t="shared" ref="BM203:BM256" ca="1" si="195">O203*$D203</f>
        <v>0</v>
      </c>
      <c r="BN203" s="65">
        <f t="shared" ref="BN203:BN256" ca="1" si="196">P203*$D203</f>
        <v>0</v>
      </c>
      <c r="BO203" s="65">
        <f t="shared" ref="BO203:BO256" ca="1" si="197">Q203*$D203</f>
        <v>0</v>
      </c>
      <c r="BP203" s="65">
        <f t="shared" ref="BP203:BP256" ca="1" si="198">R203*$D203</f>
        <v>0</v>
      </c>
      <c r="BQ203" s="65">
        <f t="shared" ref="BQ203:BQ256" ca="1" si="199">S203*$D203</f>
        <v>0</v>
      </c>
      <c r="BR203" s="65">
        <f t="shared" ref="BR203:BR256" ca="1" si="200">U203*$D203</f>
        <v>0</v>
      </c>
      <c r="BS203" s="65">
        <f t="shared" ref="BS203:BS256" ca="1" si="201">AA203*$D203</f>
        <v>0</v>
      </c>
      <c r="BT203" s="65">
        <f t="shared" ref="BT203:BT256" ca="1" si="202">AI203*$D203</f>
        <v>0</v>
      </c>
      <c r="BU203" s="65">
        <f t="shared" ca="1" si="179"/>
        <v>0</v>
      </c>
    </row>
    <row r="204" spans="1:73">
      <c r="A204" s="42">
        <f t="shared" si="180"/>
        <v>44044</v>
      </c>
      <c r="B204" s="30">
        <f>Inputs!$B$8</f>
        <v>50000</v>
      </c>
      <c r="C204" s="17">
        <f t="shared" si="170"/>
        <v>0</v>
      </c>
      <c r="D204" s="17">
        <f t="shared" ca="1" si="171"/>
        <v>0</v>
      </c>
      <c r="E204" s="25">
        <f>VLOOKUP($A204,[1]!CurveTable,MATCH($E$4,[1]!CurveType,0))</f>
        <v>5.3930000000000007</v>
      </c>
      <c r="F204" s="31">
        <f>E204-Inputs!$B$16</f>
        <v>5.4480000000000004</v>
      </c>
      <c r="G204" s="43">
        <f t="shared" si="165"/>
        <v>5.4480000000000004</v>
      </c>
      <c r="H204" s="25">
        <f>VLOOKUP($A204,[1]!CurveTable,MATCH($H$4,[1]!CurveType,0))</f>
        <v>1</v>
      </c>
      <c r="I204" s="31">
        <f>H204+Inputs!$B$22</f>
        <v>1</v>
      </c>
      <c r="J204" s="44">
        <f t="shared" si="166"/>
        <v>1</v>
      </c>
      <c r="K204" s="25">
        <f>VLOOKUP($A204,[1]!CurveTable,MATCH($K$4,[1]!CurveType,0))</f>
        <v>0</v>
      </c>
      <c r="L204" s="31">
        <v>0</v>
      </c>
      <c r="M204" s="45">
        <f t="shared" si="167"/>
        <v>0</v>
      </c>
      <c r="N204" s="25">
        <f>VLOOKUP($A204,[1]!CurveTable,MATCH($N$4,[1]!CurveType,0))</f>
        <v>2.1500000000000002E-2</v>
      </c>
      <c r="O204" s="31">
        <f>N204+Inputs!$E$22</f>
        <v>2.1500000000000002E-2</v>
      </c>
      <c r="P204" s="45">
        <f t="shared" si="168"/>
        <v>2.1500000000000002E-2</v>
      </c>
      <c r="Q204" s="25">
        <f>VLOOKUP($A204,[1]!CurveTable,MATCH($Q$4,[1]!CurveType,0))</f>
        <v>0.01</v>
      </c>
      <c r="R204" s="31">
        <v>0</v>
      </c>
      <c r="S204" s="45">
        <f t="shared" si="169"/>
        <v>0</v>
      </c>
      <c r="T204" s="4"/>
      <c r="U204" s="159">
        <f t="shared" si="181"/>
        <v>6.4480000000000004</v>
      </c>
      <c r="V204" s="160"/>
      <c r="W204" s="100">
        <f>VLOOKUP($A204,[1]!CurveTable,MATCH($W$4,[1]!CurveType,0))+$W$9</f>
        <v>0.34</v>
      </c>
      <c r="X204" s="100">
        <f>VLOOKUP($A204,[1]!CurveTable,MATCH($X$4,[1]!CurveType,0))+$X$9</f>
        <v>0.34500000000000003</v>
      </c>
      <c r="Y204" s="158">
        <f t="shared" ca="1" si="172"/>
        <v>0.34618827648347711</v>
      </c>
      <c r="Z204" s="4"/>
      <c r="AA204" s="159">
        <f t="shared" si="182"/>
        <v>5.4695</v>
      </c>
      <c r="AB204" s="160"/>
      <c r="AC204" s="100">
        <f>VLOOKUP($A204,[1]!CurveTable,MATCH($AC$4,[1]!CurveType,0))+$AC$9</f>
        <v>0.17</v>
      </c>
      <c r="AD204" s="100">
        <f>VLOOKUP($A204,[1]!CurveTable,MATCH($AD$4,[1]!CurveType,0))+$AD$9</f>
        <v>0.17500000000000002</v>
      </c>
      <c r="AE204" s="158">
        <f t="shared" ca="1" si="173"/>
        <v>0.17559728795673965</v>
      </c>
      <c r="AF204" s="4"/>
      <c r="AG204" s="52">
        <f ca="1">((Inputs!$F$20*(X204*AD204)*(A204-$C$3))+(Inputs!$F$19*W204*AC204*(DAY(EOMONTH(A204,0))/2)))/(AN204*Y204*AE204)</f>
        <v>0.7499998325623457</v>
      </c>
      <c r="AH204" s="4"/>
      <c r="AI204" s="18">
        <f>Inputs!$B$15</f>
        <v>0.06</v>
      </c>
      <c r="AJ204" s="46"/>
      <c r="AK204" s="18">
        <f t="shared" si="174"/>
        <v>0.91850000000000032</v>
      </c>
      <c r="AL204" s="46"/>
      <c r="AM204" s="62">
        <f t="shared" si="175"/>
        <v>44012</v>
      </c>
      <c r="AN204" s="63">
        <f t="shared" ca="1" si="176"/>
        <v>6819</v>
      </c>
      <c r="AO204" s="63">
        <f t="shared" ref="AO204:AO256" si="203">AO203</f>
        <v>1</v>
      </c>
      <c r="AP204" s="19"/>
      <c r="AQ204" s="74">
        <f ca="1">_xll.SPRDOPT(U204,AA204,AI204,AX204,X204,AD204,AG204,AN204,AO204,0)</f>
        <v>0.92605664276405031</v>
      </c>
      <c r="AR204" s="47">
        <f t="shared" ca="1" si="183"/>
        <v>0</v>
      </c>
      <c r="AS204" s="135">
        <f t="shared" ca="1" si="184"/>
        <v>7.5566427640499922E-3</v>
      </c>
      <c r="AU204" s="5">
        <f t="shared" si="152"/>
        <v>31</v>
      </c>
      <c r="AV204" s="148">
        <f t="shared" si="177"/>
        <v>44058</v>
      </c>
      <c r="AW204" s="41">
        <f t="shared" ca="1" si="178"/>
        <v>6865</v>
      </c>
      <c r="AX204" s="100">
        <f>VLOOKUP($A204,[1]!CurveTable,MATCH(AX$4,[1]!CurveType,0))</f>
        <v>6.08981516131877E-2</v>
      </c>
      <c r="AY204" s="149">
        <f ca="1">1/(1+CHOOSE(F$3,(AX205+(Inputs!$B$14/10000))/2,(AX204+(Inputs!$B$14/10000))/2))^(2*AW204/365.25)</f>
        <v>0.32383484622258618</v>
      </c>
      <c r="AZ204" s="41">
        <f t="shared" si="153"/>
        <v>0</v>
      </c>
      <c r="BA204" s="72">
        <f t="shared" si="154"/>
        <v>0</v>
      </c>
      <c r="BC204" s="65">
        <f t="shared" ca="1" si="185"/>
        <v>0</v>
      </c>
      <c r="BD204" s="65">
        <f t="shared" ca="1" si="186"/>
        <v>0</v>
      </c>
      <c r="BE204" s="65">
        <f t="shared" ca="1" si="187"/>
        <v>0</v>
      </c>
      <c r="BF204" s="65">
        <f t="shared" ca="1" si="188"/>
        <v>0</v>
      </c>
      <c r="BG204" s="65">
        <f t="shared" ca="1" si="189"/>
        <v>0</v>
      </c>
      <c r="BH204" s="65">
        <f t="shared" ca="1" si="190"/>
        <v>0</v>
      </c>
      <c r="BI204" s="65">
        <f t="shared" ca="1" si="191"/>
        <v>0</v>
      </c>
      <c r="BJ204" s="65">
        <f t="shared" ca="1" si="192"/>
        <v>0</v>
      </c>
      <c r="BK204" s="65">
        <f t="shared" ca="1" si="193"/>
        <v>0</v>
      </c>
      <c r="BL204" s="65">
        <f t="shared" ca="1" si="194"/>
        <v>0</v>
      </c>
      <c r="BM204" s="65">
        <f t="shared" ca="1" si="195"/>
        <v>0</v>
      </c>
      <c r="BN204" s="65">
        <f t="shared" ca="1" si="196"/>
        <v>0</v>
      </c>
      <c r="BO204" s="65">
        <f t="shared" ca="1" si="197"/>
        <v>0</v>
      </c>
      <c r="BP204" s="65">
        <f t="shared" ca="1" si="198"/>
        <v>0</v>
      </c>
      <c r="BQ204" s="65">
        <f t="shared" ca="1" si="199"/>
        <v>0</v>
      </c>
      <c r="BR204" s="65">
        <f t="shared" ca="1" si="200"/>
        <v>0</v>
      </c>
      <c r="BS204" s="65">
        <f t="shared" ca="1" si="201"/>
        <v>0</v>
      </c>
      <c r="BT204" s="65">
        <f t="shared" ca="1" si="202"/>
        <v>0</v>
      </c>
      <c r="BU204" s="65">
        <f t="shared" ca="1" si="179"/>
        <v>0</v>
      </c>
    </row>
    <row r="205" spans="1:73">
      <c r="A205" s="42">
        <f t="shared" si="180"/>
        <v>44075</v>
      </c>
      <c r="B205" s="30">
        <f>Inputs!$B$8</f>
        <v>50000</v>
      </c>
      <c r="C205" s="17">
        <f t="shared" si="170"/>
        <v>0</v>
      </c>
      <c r="D205" s="17">
        <f t="shared" ca="1" si="171"/>
        <v>0</v>
      </c>
      <c r="E205" s="25">
        <f>VLOOKUP($A205,[1]!CurveTable,MATCH($E$4,[1]!CurveType,0))</f>
        <v>5.3870000000000005</v>
      </c>
      <c r="F205" s="31">
        <f>E205-Inputs!$B$16</f>
        <v>5.4420000000000002</v>
      </c>
      <c r="G205" s="43">
        <f t="shared" si="165"/>
        <v>5.4420000000000002</v>
      </c>
      <c r="H205" s="25">
        <f>VLOOKUP($A205,[1]!CurveTable,MATCH($H$4,[1]!CurveType,0))</f>
        <v>0.6</v>
      </c>
      <c r="I205" s="31">
        <f>H205+Inputs!$B$22</f>
        <v>0.6</v>
      </c>
      <c r="J205" s="44">
        <f t="shared" si="166"/>
        <v>0.6</v>
      </c>
      <c r="K205" s="25">
        <f>VLOOKUP($A205,[1]!CurveTable,MATCH($K$4,[1]!CurveType,0))</f>
        <v>0</v>
      </c>
      <c r="L205" s="31">
        <v>0</v>
      </c>
      <c r="M205" s="45">
        <f t="shared" si="167"/>
        <v>0</v>
      </c>
      <c r="N205" s="25">
        <f>VLOOKUP($A205,[1]!CurveTable,MATCH($N$4,[1]!CurveType,0))</f>
        <v>2.1500000000000002E-2</v>
      </c>
      <c r="O205" s="31">
        <f>N205+Inputs!$E$22</f>
        <v>2.1500000000000002E-2</v>
      </c>
      <c r="P205" s="45">
        <f t="shared" si="168"/>
        <v>2.1500000000000002E-2</v>
      </c>
      <c r="Q205" s="25">
        <f>VLOOKUP($A205,[1]!CurveTable,MATCH($Q$4,[1]!CurveType,0))</f>
        <v>0.01</v>
      </c>
      <c r="R205" s="31">
        <v>0</v>
      </c>
      <c r="S205" s="45">
        <f t="shared" si="169"/>
        <v>0</v>
      </c>
      <c r="T205" s="4"/>
      <c r="U205" s="159">
        <f t="shared" si="181"/>
        <v>6.0419999999999998</v>
      </c>
      <c r="V205" s="160"/>
      <c r="W205" s="100">
        <f>VLOOKUP($A205,[1]!CurveTable,MATCH($W$4,[1]!CurveType,0))+$W$9</f>
        <v>0.34</v>
      </c>
      <c r="X205" s="100">
        <f>VLOOKUP($A205,[1]!CurveTable,MATCH($X$4,[1]!CurveType,0))+$X$9</f>
        <v>0.34500000000000003</v>
      </c>
      <c r="Y205" s="158">
        <f t="shared" ca="1" si="172"/>
        <v>0.34617072071914418</v>
      </c>
      <c r="Z205" s="4"/>
      <c r="AA205" s="159">
        <f t="shared" si="182"/>
        <v>5.4634999999999998</v>
      </c>
      <c r="AB205" s="160"/>
      <c r="AC205" s="100">
        <f>VLOOKUP($A205,[1]!CurveTable,MATCH($AC$4,[1]!CurveType,0))+$AC$9</f>
        <v>0.17</v>
      </c>
      <c r="AD205" s="100">
        <f>VLOOKUP($A205,[1]!CurveTable,MATCH($AD$4,[1]!CurveType,0))+$AD$9</f>
        <v>0.17500000000000002</v>
      </c>
      <c r="AE205" s="158">
        <f t="shared" ca="1" si="173"/>
        <v>0.17558858267257443</v>
      </c>
      <c r="AF205" s="4"/>
      <c r="AG205" s="52">
        <f ca="1">((Inputs!$F$20*(X205*AD205)*(A205-$C$3))+(Inputs!$F$19*W205*AC205*(DAY(EOMONTH(A205,0))/2)))/(AN205*Y205*AE205)</f>
        <v>0.74999983866791775</v>
      </c>
      <c r="AH205" s="4"/>
      <c r="AI205" s="18">
        <f>Inputs!$B$15</f>
        <v>0.06</v>
      </c>
      <c r="AJ205" s="46"/>
      <c r="AK205" s="18">
        <f t="shared" si="174"/>
        <v>0.51849999999999996</v>
      </c>
      <c r="AL205" s="46"/>
      <c r="AM205" s="62">
        <f t="shared" si="175"/>
        <v>44043</v>
      </c>
      <c r="AN205" s="63">
        <f t="shared" ca="1" si="176"/>
        <v>6850</v>
      </c>
      <c r="AO205" s="63">
        <f t="shared" si="203"/>
        <v>1</v>
      </c>
      <c r="AP205" s="19"/>
      <c r="AQ205" s="74">
        <f ca="1">_xll.SPRDOPT(U205,AA205,AI205,AX205,X205,AD205,AG205,AN205,AO205,0)</f>
        <v>0.82670353591744339</v>
      </c>
      <c r="AR205" s="47">
        <f t="shared" ca="1" si="183"/>
        <v>0</v>
      </c>
      <c r="AS205" s="135">
        <f t="shared" ca="1" si="184"/>
        <v>0.30820353591744343</v>
      </c>
      <c r="AU205" s="5">
        <f t="shared" si="152"/>
        <v>30</v>
      </c>
      <c r="AV205" s="148">
        <f t="shared" si="177"/>
        <v>44089</v>
      </c>
      <c r="AW205" s="41">
        <f t="shared" ca="1" si="178"/>
        <v>6896</v>
      </c>
      <c r="AX205" s="100">
        <f>VLOOKUP($A205,[1]!CurveTable,MATCH(AX$4,[1]!CurveType,0))</f>
        <v>6.0956364428521599E-2</v>
      </c>
      <c r="AY205" s="149">
        <f ca="1">1/(1+CHOOSE(F$3,(AX206+(Inputs!$B$14/10000))/2,(AX205+(Inputs!$B$14/10000))/2))^(2*AW205/365.25)</f>
        <v>0.32184677226987268</v>
      </c>
      <c r="AZ205" s="41">
        <f t="shared" si="153"/>
        <v>0</v>
      </c>
      <c r="BA205" s="72">
        <f t="shared" si="154"/>
        <v>0</v>
      </c>
      <c r="BC205" s="65">
        <f t="shared" ca="1" si="185"/>
        <v>0</v>
      </c>
      <c r="BD205" s="65">
        <f t="shared" ca="1" si="186"/>
        <v>0</v>
      </c>
      <c r="BE205" s="65">
        <f t="shared" ca="1" si="187"/>
        <v>0</v>
      </c>
      <c r="BF205" s="65">
        <f t="shared" ca="1" si="188"/>
        <v>0</v>
      </c>
      <c r="BG205" s="65">
        <f t="shared" ca="1" si="189"/>
        <v>0</v>
      </c>
      <c r="BH205" s="65">
        <f t="shared" ca="1" si="190"/>
        <v>0</v>
      </c>
      <c r="BI205" s="65">
        <f t="shared" ca="1" si="191"/>
        <v>0</v>
      </c>
      <c r="BJ205" s="65">
        <f t="shared" ca="1" si="192"/>
        <v>0</v>
      </c>
      <c r="BK205" s="65">
        <f t="shared" ca="1" si="193"/>
        <v>0</v>
      </c>
      <c r="BL205" s="65">
        <f t="shared" ca="1" si="194"/>
        <v>0</v>
      </c>
      <c r="BM205" s="65">
        <f t="shared" ca="1" si="195"/>
        <v>0</v>
      </c>
      <c r="BN205" s="65">
        <f t="shared" ca="1" si="196"/>
        <v>0</v>
      </c>
      <c r="BO205" s="65">
        <f t="shared" ca="1" si="197"/>
        <v>0</v>
      </c>
      <c r="BP205" s="65">
        <f t="shared" ca="1" si="198"/>
        <v>0</v>
      </c>
      <c r="BQ205" s="65">
        <f t="shared" ca="1" si="199"/>
        <v>0</v>
      </c>
      <c r="BR205" s="65">
        <f t="shared" ca="1" si="200"/>
        <v>0</v>
      </c>
      <c r="BS205" s="65">
        <f t="shared" ca="1" si="201"/>
        <v>0</v>
      </c>
      <c r="BT205" s="65">
        <f t="shared" ca="1" si="202"/>
        <v>0</v>
      </c>
      <c r="BU205" s="65">
        <f t="shared" ca="1" si="179"/>
        <v>0</v>
      </c>
    </row>
    <row r="206" spans="1:73">
      <c r="A206" s="42">
        <f t="shared" si="180"/>
        <v>44105</v>
      </c>
      <c r="B206" s="30">
        <f>Inputs!$B$8</f>
        <v>50000</v>
      </c>
      <c r="C206" s="17">
        <f t="shared" si="170"/>
        <v>0</v>
      </c>
      <c r="D206" s="17">
        <f t="shared" ca="1" si="171"/>
        <v>0</v>
      </c>
      <c r="E206" s="25">
        <f>VLOOKUP($A206,[1]!CurveTable,MATCH($E$4,[1]!CurveType,0))</f>
        <v>5.3870000000000005</v>
      </c>
      <c r="F206" s="31">
        <f>E206-Inputs!$B$16</f>
        <v>5.4420000000000002</v>
      </c>
      <c r="G206" s="43">
        <f t="shared" si="165"/>
        <v>5.4420000000000002</v>
      </c>
      <c r="H206" s="25">
        <f>VLOOKUP($A206,[1]!CurveTable,MATCH($H$4,[1]!CurveType,0))</f>
        <v>0.3</v>
      </c>
      <c r="I206" s="31">
        <f>H206+Inputs!$B$22</f>
        <v>0.3</v>
      </c>
      <c r="J206" s="44">
        <f t="shared" si="166"/>
        <v>0.3</v>
      </c>
      <c r="K206" s="25">
        <f>VLOOKUP($A206,[1]!CurveTable,MATCH($K$4,[1]!CurveType,0))</f>
        <v>0</v>
      </c>
      <c r="L206" s="31">
        <v>0</v>
      </c>
      <c r="M206" s="45">
        <f t="shared" si="167"/>
        <v>0</v>
      </c>
      <c r="N206" s="25">
        <f>VLOOKUP($A206,[1]!CurveTable,MATCH($N$4,[1]!CurveType,0))</f>
        <v>0.02</v>
      </c>
      <c r="O206" s="31">
        <f>N206+Inputs!$E$22</f>
        <v>0.02</v>
      </c>
      <c r="P206" s="45">
        <f t="shared" si="168"/>
        <v>0.02</v>
      </c>
      <c r="Q206" s="25">
        <f>VLOOKUP($A206,[1]!CurveTable,MATCH($Q$4,[1]!CurveType,0))</f>
        <v>0.01</v>
      </c>
      <c r="R206" s="31">
        <v>0</v>
      </c>
      <c r="S206" s="45">
        <f t="shared" si="169"/>
        <v>0</v>
      </c>
      <c r="T206" s="4"/>
      <c r="U206" s="159">
        <f t="shared" si="181"/>
        <v>5.742</v>
      </c>
      <c r="V206" s="160"/>
      <c r="W206" s="100">
        <f>VLOOKUP($A206,[1]!CurveTable,MATCH($W$4,[1]!CurveType,0))+$W$9</f>
        <v>0.17</v>
      </c>
      <c r="X206" s="100">
        <f>VLOOKUP($A206,[1]!CurveTable,MATCH($X$4,[1]!CurveType,0))+$X$9</f>
        <v>0.17500000000000002</v>
      </c>
      <c r="Y206" s="158">
        <f t="shared" ca="1" si="172"/>
        <v>0.17557924150638693</v>
      </c>
      <c r="Z206" s="4"/>
      <c r="AA206" s="159">
        <f t="shared" si="182"/>
        <v>5.4619999999999997</v>
      </c>
      <c r="AB206" s="160"/>
      <c r="AC206" s="100">
        <f>VLOOKUP($A206,[1]!CurveTable,MATCH($AC$4,[1]!CurveType,0))+$AC$9</f>
        <v>0.17</v>
      </c>
      <c r="AD206" s="100">
        <f>VLOOKUP($A206,[1]!CurveTable,MATCH($AD$4,[1]!CurveType,0))+$AD$9</f>
        <v>0.17500000000000002</v>
      </c>
      <c r="AE206" s="158">
        <f t="shared" ca="1" si="173"/>
        <v>0.17557924150638693</v>
      </c>
      <c r="AF206" s="4"/>
      <c r="AG206" s="52">
        <f ca="1">((Inputs!$F$20*(X206*AD206)*(A206-$C$3))+(Inputs!$F$19*W206*AC206*(DAY(EOMONTH(A206,0))/2)))/(AN206*Y206*AE206)</f>
        <v>0.75000000000000011</v>
      </c>
      <c r="AH206" s="4"/>
      <c r="AI206" s="18">
        <f>Inputs!$B$15</f>
        <v>0.06</v>
      </c>
      <c r="AJ206" s="46"/>
      <c r="AK206" s="18">
        <f t="shared" si="174"/>
        <v>0.22000000000000025</v>
      </c>
      <c r="AL206" s="46"/>
      <c r="AM206" s="62">
        <f t="shared" si="175"/>
        <v>44074</v>
      </c>
      <c r="AN206" s="63">
        <f t="shared" ca="1" si="176"/>
        <v>6881</v>
      </c>
      <c r="AO206" s="63">
        <f t="shared" si="203"/>
        <v>1</v>
      </c>
      <c r="AP206" s="19"/>
      <c r="AQ206" s="74">
        <f ca="1">_xll.SPRDOPT(U206,AA206,AI206,AX206,X206,AD206,AG206,AN206,AO206,0)</f>
        <v>0.41163191977432539</v>
      </c>
      <c r="AR206" s="47">
        <f t="shared" ca="1" si="183"/>
        <v>0</v>
      </c>
      <c r="AS206" s="135">
        <f t="shared" ca="1" si="184"/>
        <v>0.19163191977432514</v>
      </c>
      <c r="AU206" s="5">
        <f t="shared" si="152"/>
        <v>31</v>
      </c>
      <c r="AV206" s="148">
        <f t="shared" si="177"/>
        <v>44119</v>
      </c>
      <c r="AW206" s="41">
        <f t="shared" ca="1" si="178"/>
        <v>6926</v>
      </c>
      <c r="AX206" s="100">
        <f>VLOOKUP($A206,[1]!CurveTable,MATCH(AX$4,[1]!CurveType,0))</f>
        <v>6.1012699412175103E-2</v>
      </c>
      <c r="AY206" s="149">
        <f ca="1">1/(1+CHOOSE(F$3,(AX207+(Inputs!$B$14/10000))/2,(AX206+(Inputs!$B$14/10000))/2))^(2*AW206/365.25)</f>
        <v>0.31993153951401287</v>
      </c>
      <c r="AZ206" s="41">
        <f t="shared" si="153"/>
        <v>0</v>
      </c>
      <c r="BA206" s="72">
        <f t="shared" si="154"/>
        <v>0</v>
      </c>
      <c r="BC206" s="65">
        <f t="shared" ca="1" si="185"/>
        <v>0</v>
      </c>
      <c r="BD206" s="65">
        <f t="shared" ca="1" si="186"/>
        <v>0</v>
      </c>
      <c r="BE206" s="65">
        <f t="shared" ca="1" si="187"/>
        <v>0</v>
      </c>
      <c r="BF206" s="65">
        <f t="shared" ca="1" si="188"/>
        <v>0</v>
      </c>
      <c r="BG206" s="65">
        <f t="shared" ca="1" si="189"/>
        <v>0</v>
      </c>
      <c r="BH206" s="65">
        <f t="shared" ca="1" si="190"/>
        <v>0</v>
      </c>
      <c r="BI206" s="65">
        <f t="shared" ca="1" si="191"/>
        <v>0</v>
      </c>
      <c r="BJ206" s="65">
        <f t="shared" ca="1" si="192"/>
        <v>0</v>
      </c>
      <c r="BK206" s="65">
        <f t="shared" ca="1" si="193"/>
        <v>0</v>
      </c>
      <c r="BL206" s="65">
        <f t="shared" ca="1" si="194"/>
        <v>0</v>
      </c>
      <c r="BM206" s="65">
        <f t="shared" ca="1" si="195"/>
        <v>0</v>
      </c>
      <c r="BN206" s="65">
        <f t="shared" ca="1" si="196"/>
        <v>0</v>
      </c>
      <c r="BO206" s="65">
        <f t="shared" ca="1" si="197"/>
        <v>0</v>
      </c>
      <c r="BP206" s="65">
        <f t="shared" ca="1" si="198"/>
        <v>0</v>
      </c>
      <c r="BQ206" s="65">
        <f t="shared" ca="1" si="199"/>
        <v>0</v>
      </c>
      <c r="BR206" s="65">
        <f t="shared" ca="1" si="200"/>
        <v>0</v>
      </c>
      <c r="BS206" s="65">
        <f t="shared" ca="1" si="201"/>
        <v>0</v>
      </c>
      <c r="BT206" s="65">
        <f t="shared" ca="1" si="202"/>
        <v>0</v>
      </c>
      <c r="BU206" s="65">
        <f t="shared" ca="1" si="179"/>
        <v>0</v>
      </c>
    </row>
    <row r="207" spans="1:73">
      <c r="A207" s="42">
        <f t="shared" si="180"/>
        <v>44136</v>
      </c>
      <c r="B207" s="30">
        <f>Inputs!$B$8</f>
        <v>50000</v>
      </c>
      <c r="C207" s="17">
        <f t="shared" si="170"/>
        <v>0</v>
      </c>
      <c r="D207" s="17">
        <f t="shared" ca="1" si="171"/>
        <v>0</v>
      </c>
      <c r="E207" s="25">
        <f>VLOOKUP($A207,[1]!CurveTable,MATCH($E$4,[1]!CurveType,0))</f>
        <v>5.5350000000000001</v>
      </c>
      <c r="F207" s="31">
        <f>E207-Inputs!$B$16</f>
        <v>5.59</v>
      </c>
      <c r="G207" s="43">
        <f t="shared" si="165"/>
        <v>5.59</v>
      </c>
      <c r="H207" s="25">
        <f>VLOOKUP($A207,[1]!CurveTable,MATCH($H$4,[1]!CurveType,0))</f>
        <v>0.23</v>
      </c>
      <c r="I207" s="31">
        <f>H207+Inputs!$B$22</f>
        <v>0.23</v>
      </c>
      <c r="J207" s="44">
        <f t="shared" si="166"/>
        <v>0.23</v>
      </c>
      <c r="K207" s="25">
        <f>VLOOKUP($A207,[1]!CurveTable,MATCH($K$4,[1]!CurveType,0))</f>
        <v>0</v>
      </c>
      <c r="L207" s="31">
        <v>0</v>
      </c>
      <c r="M207" s="45">
        <f t="shared" si="167"/>
        <v>0</v>
      </c>
      <c r="N207" s="25">
        <f>VLOOKUP($A207,[1]!CurveTable,MATCH($N$4,[1]!CurveType,0))</f>
        <v>2.1000000000000001E-2</v>
      </c>
      <c r="O207" s="31">
        <f>N207+Inputs!$E$22</f>
        <v>2.1000000000000001E-2</v>
      </c>
      <c r="P207" s="45">
        <f t="shared" si="168"/>
        <v>2.1000000000000001E-2</v>
      </c>
      <c r="Q207" s="25">
        <f>VLOOKUP($A207,[1]!CurveTable,MATCH($Q$4,[1]!CurveType,0))</f>
        <v>7.4999999999999997E-3</v>
      </c>
      <c r="R207" s="31">
        <v>0</v>
      </c>
      <c r="S207" s="45">
        <f t="shared" si="169"/>
        <v>0</v>
      </c>
      <c r="T207" s="4"/>
      <c r="U207" s="159">
        <f t="shared" si="181"/>
        <v>5.82</v>
      </c>
      <c r="V207" s="160"/>
      <c r="W207" s="100">
        <f>VLOOKUP($A207,[1]!CurveTable,MATCH($W$4,[1]!CurveType,0))+$W$9</f>
        <v>0.17</v>
      </c>
      <c r="X207" s="100">
        <f>VLOOKUP($A207,[1]!CurveTable,MATCH($X$4,[1]!CurveType,0))+$X$9</f>
        <v>0.17500000000000002</v>
      </c>
      <c r="Y207" s="158">
        <f t="shared" ca="1" si="172"/>
        <v>0.17558339617321581</v>
      </c>
      <c r="Z207" s="4"/>
      <c r="AA207" s="159">
        <f t="shared" si="182"/>
        <v>5.6109999999999998</v>
      </c>
      <c r="AB207" s="160"/>
      <c r="AC207" s="100">
        <f>VLOOKUP($A207,[1]!CurveTable,MATCH($AC$4,[1]!CurveType,0))+$AC$9</f>
        <v>0.17</v>
      </c>
      <c r="AD207" s="100">
        <f>VLOOKUP($A207,[1]!CurveTable,MATCH($AD$4,[1]!CurveType,0))+$AD$9</f>
        <v>0.17500000000000002</v>
      </c>
      <c r="AE207" s="158">
        <f t="shared" ca="1" si="173"/>
        <v>0.17558339617321581</v>
      </c>
      <c r="AF207" s="4"/>
      <c r="AG207" s="52">
        <f ca="1">((Inputs!$F$20*(X207*AD207)*(A207-$C$3))+(Inputs!$F$19*W207*AC207*(DAY(EOMONTH(A207,0))/2)))/(AN207*Y207*AE207)</f>
        <v>0.74999999999999989</v>
      </c>
      <c r="AH207" s="4"/>
      <c r="AI207" s="18">
        <f>Inputs!$B$15</f>
        <v>0.06</v>
      </c>
      <c r="AJ207" s="46"/>
      <c r="AK207" s="18">
        <f t="shared" si="174"/>
        <v>0.14900000000000052</v>
      </c>
      <c r="AL207" s="46"/>
      <c r="AM207" s="62">
        <f t="shared" si="175"/>
        <v>44104</v>
      </c>
      <c r="AN207" s="63">
        <f t="shared" ca="1" si="176"/>
        <v>6911</v>
      </c>
      <c r="AO207" s="63">
        <f t="shared" si="203"/>
        <v>1</v>
      </c>
      <c r="AP207" s="19"/>
      <c r="AQ207" s="74">
        <f ca="1">_xll.SPRDOPT(U207,AA207,AI207,AX207,X207,AD207,AG207,AN207,AO207,0)</f>
        <v>0.40579027384158356</v>
      </c>
      <c r="AR207" s="47">
        <f t="shared" ca="1" si="183"/>
        <v>0</v>
      </c>
      <c r="AS207" s="135">
        <f t="shared" ca="1" si="184"/>
        <v>0.25679027384158304</v>
      </c>
      <c r="AU207" s="5">
        <f t="shared" si="152"/>
        <v>30</v>
      </c>
      <c r="AV207" s="148">
        <f t="shared" si="177"/>
        <v>44150</v>
      </c>
      <c r="AW207" s="41">
        <f t="shared" ca="1" si="178"/>
        <v>6957</v>
      </c>
      <c r="AX207" s="100">
        <f>VLOOKUP($A207,[1]!CurveTable,MATCH(AX$4,[1]!CurveType,0))</f>
        <v>6.1070912229724203E-2</v>
      </c>
      <c r="AY207" s="149">
        <f ca="1">1/(1+CHOOSE(F$3,(AX208+(Inputs!$B$14/10000))/2,(AX207+(Inputs!$B$14/10000))/2))^(2*AW207/365.25)</f>
        <v>0.31796144786592306</v>
      </c>
      <c r="AZ207" s="41">
        <f t="shared" si="153"/>
        <v>0</v>
      </c>
      <c r="BA207" s="72">
        <f t="shared" si="154"/>
        <v>0</v>
      </c>
      <c r="BC207" s="65">
        <f t="shared" ca="1" si="185"/>
        <v>0</v>
      </c>
      <c r="BD207" s="65">
        <f t="shared" ca="1" si="186"/>
        <v>0</v>
      </c>
      <c r="BE207" s="65">
        <f t="shared" ca="1" si="187"/>
        <v>0</v>
      </c>
      <c r="BF207" s="65">
        <f t="shared" ca="1" si="188"/>
        <v>0</v>
      </c>
      <c r="BG207" s="65">
        <f t="shared" ca="1" si="189"/>
        <v>0</v>
      </c>
      <c r="BH207" s="65">
        <f t="shared" ca="1" si="190"/>
        <v>0</v>
      </c>
      <c r="BI207" s="65">
        <f t="shared" ca="1" si="191"/>
        <v>0</v>
      </c>
      <c r="BJ207" s="65">
        <f t="shared" ca="1" si="192"/>
        <v>0</v>
      </c>
      <c r="BK207" s="65">
        <f t="shared" ca="1" si="193"/>
        <v>0</v>
      </c>
      <c r="BL207" s="65">
        <f t="shared" ca="1" si="194"/>
        <v>0</v>
      </c>
      <c r="BM207" s="65">
        <f t="shared" ca="1" si="195"/>
        <v>0</v>
      </c>
      <c r="BN207" s="65">
        <f t="shared" ca="1" si="196"/>
        <v>0</v>
      </c>
      <c r="BO207" s="65">
        <f t="shared" ca="1" si="197"/>
        <v>0</v>
      </c>
      <c r="BP207" s="65">
        <f t="shared" ca="1" si="198"/>
        <v>0</v>
      </c>
      <c r="BQ207" s="65">
        <f t="shared" ca="1" si="199"/>
        <v>0</v>
      </c>
      <c r="BR207" s="65">
        <f t="shared" ca="1" si="200"/>
        <v>0</v>
      </c>
      <c r="BS207" s="65">
        <f t="shared" ca="1" si="201"/>
        <v>0</v>
      </c>
      <c r="BT207" s="65">
        <f t="shared" ca="1" si="202"/>
        <v>0</v>
      </c>
      <c r="BU207" s="65">
        <f t="shared" ca="1" si="179"/>
        <v>0</v>
      </c>
    </row>
    <row r="208" spans="1:73">
      <c r="A208" s="42">
        <f t="shared" si="180"/>
        <v>44166</v>
      </c>
      <c r="B208" s="30">
        <f>Inputs!$B$8</f>
        <v>50000</v>
      </c>
      <c r="C208" s="17">
        <f t="shared" si="170"/>
        <v>0</v>
      </c>
      <c r="D208" s="17">
        <f t="shared" ca="1" si="171"/>
        <v>0</v>
      </c>
      <c r="E208" s="25">
        <f>VLOOKUP($A208,[1]!CurveTable,MATCH($E$4,[1]!CurveType,0))</f>
        <v>5.6870000000000003</v>
      </c>
      <c r="F208" s="31">
        <f>E208-Inputs!$B$16</f>
        <v>5.742</v>
      </c>
      <c r="G208" s="43">
        <f t="shared" si="165"/>
        <v>5.742</v>
      </c>
      <c r="H208" s="25">
        <f>VLOOKUP($A208,[1]!CurveTable,MATCH($H$4,[1]!CurveType,0))</f>
        <v>0.26</v>
      </c>
      <c r="I208" s="31">
        <f>H208+Inputs!$B$22</f>
        <v>0.26</v>
      </c>
      <c r="J208" s="44">
        <f t="shared" si="166"/>
        <v>0.26</v>
      </c>
      <c r="K208" s="25">
        <f>VLOOKUP($A208,[1]!CurveTable,MATCH($K$4,[1]!CurveType,0))</f>
        <v>0</v>
      </c>
      <c r="L208" s="31">
        <v>0</v>
      </c>
      <c r="M208" s="45">
        <f t="shared" si="167"/>
        <v>0</v>
      </c>
      <c r="N208" s="25">
        <f>VLOOKUP($A208,[1]!CurveTable,MATCH($N$4,[1]!CurveType,0))</f>
        <v>2.1000000000000001E-2</v>
      </c>
      <c r="O208" s="31">
        <f>N208+Inputs!$E$22</f>
        <v>2.1000000000000001E-2</v>
      </c>
      <c r="P208" s="45">
        <f t="shared" si="168"/>
        <v>2.1000000000000001E-2</v>
      </c>
      <c r="Q208" s="25">
        <f>VLOOKUP($A208,[1]!CurveTable,MATCH($Q$4,[1]!CurveType,0))</f>
        <v>7.4999999999999997E-3</v>
      </c>
      <c r="R208" s="31">
        <v>0</v>
      </c>
      <c r="S208" s="45">
        <f t="shared" si="169"/>
        <v>0</v>
      </c>
      <c r="T208" s="4"/>
      <c r="U208" s="159">
        <f t="shared" si="181"/>
        <v>6.0019999999999998</v>
      </c>
      <c r="V208" s="160"/>
      <c r="W208" s="100">
        <f>VLOOKUP($A208,[1]!CurveTable,MATCH($W$4,[1]!CurveType,0))+$W$9</f>
        <v>0.17</v>
      </c>
      <c r="X208" s="100">
        <f>VLOOKUP($A208,[1]!CurveTable,MATCH($X$4,[1]!CurveType,0))+$X$9</f>
        <v>0.17500000000000002</v>
      </c>
      <c r="Y208" s="158">
        <f t="shared" ca="1" si="172"/>
        <v>0.17557415997962145</v>
      </c>
      <c r="Z208" s="4"/>
      <c r="AA208" s="159">
        <f t="shared" si="182"/>
        <v>5.7629999999999999</v>
      </c>
      <c r="AB208" s="160"/>
      <c r="AC208" s="100">
        <f>VLOOKUP($A208,[1]!CurveTable,MATCH($AC$4,[1]!CurveType,0))+$AC$9</f>
        <v>0.17</v>
      </c>
      <c r="AD208" s="100">
        <f>VLOOKUP($A208,[1]!CurveTable,MATCH($AD$4,[1]!CurveType,0))+$AD$9</f>
        <v>0.17500000000000002</v>
      </c>
      <c r="AE208" s="158">
        <f t="shared" ca="1" si="173"/>
        <v>0.17557415997962145</v>
      </c>
      <c r="AF208" s="4"/>
      <c r="AG208" s="52">
        <f ca="1">((Inputs!$F$20*(X208*AD208)*(A208-$C$3))+(Inputs!$F$19*W208*AC208*(DAY(EOMONTH(A208,0))/2)))/(AN208*Y208*AE208)</f>
        <v>0.74999999999999989</v>
      </c>
      <c r="AH208" s="4"/>
      <c r="AI208" s="18">
        <f>Inputs!$B$15</f>
        <v>0.06</v>
      </c>
      <c r="AJ208" s="46"/>
      <c r="AK208" s="18">
        <f t="shared" si="174"/>
        <v>0.17899999999999988</v>
      </c>
      <c r="AL208" s="46"/>
      <c r="AM208" s="62">
        <f t="shared" si="175"/>
        <v>44135</v>
      </c>
      <c r="AN208" s="63">
        <f t="shared" ca="1" si="176"/>
        <v>6942</v>
      </c>
      <c r="AO208" s="63">
        <f t="shared" si="203"/>
        <v>1</v>
      </c>
      <c r="AP208" s="19"/>
      <c r="AQ208" s="74">
        <f ca="1">_xll.SPRDOPT(U208,AA208,AI208,AX208,X208,AD208,AG208,AN208,AO208,0)</f>
        <v>0.42006584542590386</v>
      </c>
      <c r="AR208" s="47">
        <f t="shared" ca="1" si="183"/>
        <v>0</v>
      </c>
      <c r="AS208" s="135">
        <f t="shared" ca="1" si="184"/>
        <v>0.24106584542590398</v>
      </c>
      <c r="AU208" s="5">
        <f t="shared" ref="AU208:AU256" si="204">A209-A208</f>
        <v>31</v>
      </c>
      <c r="AV208" s="148">
        <f t="shared" si="177"/>
        <v>44180</v>
      </c>
      <c r="AW208" s="41">
        <f t="shared" ca="1" si="178"/>
        <v>6987</v>
      </c>
      <c r="AX208" s="100">
        <f>VLOOKUP($A208,[1]!CurveTable,MATCH(AX$4,[1]!CurveType,0))</f>
        <v>6.1127247215520902E-2</v>
      </c>
      <c r="AY208" s="149">
        <f ca="1">1/(1+CHOOSE(F$3,(AX209+(Inputs!$B$14/10000))/2,(AX208+(Inputs!$B$14/10000))/2))^(2*AW208/365.25)</f>
        <v>0.3160635827354682</v>
      </c>
      <c r="AZ208" s="41">
        <f t="shared" ref="AZ208:AZ256" si="205">IF(AND(mthbeg&lt;=A208,mthend&gt;=A208),1,0)</f>
        <v>0</v>
      </c>
      <c r="BA208" s="72">
        <f t="shared" ref="BA208:BA256" si="206">AU208*AZ208</f>
        <v>0</v>
      </c>
      <c r="BC208" s="65">
        <f t="shared" ca="1" si="185"/>
        <v>0</v>
      </c>
      <c r="BD208" s="65">
        <f t="shared" ca="1" si="186"/>
        <v>0</v>
      </c>
      <c r="BE208" s="65">
        <f t="shared" ca="1" si="187"/>
        <v>0</v>
      </c>
      <c r="BF208" s="65">
        <f t="shared" ca="1" si="188"/>
        <v>0</v>
      </c>
      <c r="BG208" s="65">
        <f t="shared" ca="1" si="189"/>
        <v>0</v>
      </c>
      <c r="BH208" s="65">
        <f t="shared" ca="1" si="190"/>
        <v>0</v>
      </c>
      <c r="BI208" s="65">
        <f t="shared" ca="1" si="191"/>
        <v>0</v>
      </c>
      <c r="BJ208" s="65">
        <f t="shared" ca="1" si="192"/>
        <v>0</v>
      </c>
      <c r="BK208" s="65">
        <f t="shared" ca="1" si="193"/>
        <v>0</v>
      </c>
      <c r="BL208" s="65">
        <f t="shared" ca="1" si="194"/>
        <v>0</v>
      </c>
      <c r="BM208" s="65">
        <f t="shared" ca="1" si="195"/>
        <v>0</v>
      </c>
      <c r="BN208" s="65">
        <f t="shared" ca="1" si="196"/>
        <v>0</v>
      </c>
      <c r="BO208" s="65">
        <f t="shared" ca="1" si="197"/>
        <v>0</v>
      </c>
      <c r="BP208" s="65">
        <f t="shared" ca="1" si="198"/>
        <v>0</v>
      </c>
      <c r="BQ208" s="65">
        <f t="shared" ca="1" si="199"/>
        <v>0</v>
      </c>
      <c r="BR208" s="65">
        <f t="shared" ca="1" si="200"/>
        <v>0</v>
      </c>
      <c r="BS208" s="65">
        <f t="shared" ca="1" si="201"/>
        <v>0</v>
      </c>
      <c r="BT208" s="65">
        <f t="shared" ca="1" si="202"/>
        <v>0</v>
      </c>
      <c r="BU208" s="65">
        <f t="shared" ca="1" si="179"/>
        <v>0</v>
      </c>
    </row>
    <row r="209" spans="1:73">
      <c r="A209" s="42">
        <f t="shared" si="180"/>
        <v>44197</v>
      </c>
      <c r="B209" s="30">
        <f>Inputs!$B$8</f>
        <v>50000</v>
      </c>
      <c r="C209" s="17">
        <f t="shared" si="170"/>
        <v>0</v>
      </c>
      <c r="D209" s="17">
        <f t="shared" ca="1" si="171"/>
        <v>0</v>
      </c>
      <c r="E209" s="25">
        <f>VLOOKUP($A209,[1]!CurveTable,MATCH($E$4,[1]!CurveType,0))</f>
        <v>5.7645</v>
      </c>
      <c r="F209" s="31">
        <f>E209-Inputs!$B$16</f>
        <v>5.8194999999999997</v>
      </c>
      <c r="G209" s="43">
        <f t="shared" si="165"/>
        <v>5.8194999999999997</v>
      </c>
      <c r="H209" s="25">
        <f>VLOOKUP($A209,[1]!CurveTable,MATCH($H$4,[1]!CurveType,0))</f>
        <v>8.5000000000000006E-2</v>
      </c>
      <c r="I209" s="31">
        <f>H209+Inputs!$B$22</f>
        <v>8.5000000000000006E-2</v>
      </c>
      <c r="J209" s="44">
        <f t="shared" si="166"/>
        <v>8.5000000000000006E-2</v>
      </c>
      <c r="K209" s="25">
        <f>VLOOKUP($A209,[1]!CurveTable,MATCH($K$4,[1]!CurveType,0))</f>
        <v>0</v>
      </c>
      <c r="L209" s="31">
        <v>0</v>
      </c>
      <c r="M209" s="45">
        <f t="shared" si="167"/>
        <v>0</v>
      </c>
      <c r="N209" s="25">
        <f>VLOOKUP($A209,[1]!CurveTable,MATCH($N$4,[1]!CurveType,0))</f>
        <v>2.1000000000000001E-2</v>
      </c>
      <c r="O209" s="31">
        <f>N209+Inputs!$E$22</f>
        <v>2.1000000000000001E-2</v>
      </c>
      <c r="P209" s="45">
        <f t="shared" si="168"/>
        <v>2.1000000000000001E-2</v>
      </c>
      <c r="Q209" s="25">
        <f>VLOOKUP($A209,[1]!CurveTable,MATCH($Q$4,[1]!CurveType,0))</f>
        <v>7.4999999999999997E-3</v>
      </c>
      <c r="R209" s="31">
        <v>0</v>
      </c>
      <c r="S209" s="45">
        <f t="shared" si="169"/>
        <v>0</v>
      </c>
      <c r="T209" s="4"/>
      <c r="U209" s="159">
        <f t="shared" si="181"/>
        <v>5.9044999999999996</v>
      </c>
      <c r="V209" s="160"/>
      <c r="W209" s="100">
        <f>VLOOKUP($A209,[1]!CurveTable,MATCH($W$4,[1]!CurveType,0))+$W$9</f>
        <v>0.17</v>
      </c>
      <c r="X209" s="100">
        <f>VLOOKUP($A209,[1]!CurveTable,MATCH($X$4,[1]!CurveType,0))+$X$9</f>
        <v>0.17500000000000002</v>
      </c>
      <c r="Y209" s="158">
        <f t="shared" ca="1" si="172"/>
        <v>0.17558420232345825</v>
      </c>
      <c r="Z209" s="4"/>
      <c r="AA209" s="159">
        <f t="shared" si="182"/>
        <v>5.8404999999999996</v>
      </c>
      <c r="AB209" s="160"/>
      <c r="AC209" s="100">
        <f>VLOOKUP($A209,[1]!CurveTable,MATCH($AC$4,[1]!CurveType,0))+$AC$9</f>
        <v>0.17</v>
      </c>
      <c r="AD209" s="100">
        <f>VLOOKUP($A209,[1]!CurveTable,MATCH($AD$4,[1]!CurveType,0))+$AD$9</f>
        <v>0.17500000000000002</v>
      </c>
      <c r="AE209" s="158">
        <f t="shared" ca="1" si="173"/>
        <v>0.17558420232345825</v>
      </c>
      <c r="AF209" s="4"/>
      <c r="AG209" s="52">
        <f ca="1">((Inputs!$F$20*(X209*AD209)*(A209-$C$3))+(Inputs!$F$19*W209*AC209*(DAY(EOMONTH(A209,0))/2)))/(AN209*Y209*AE209)</f>
        <v>0.75</v>
      </c>
      <c r="AH209" s="4"/>
      <c r="AI209" s="18">
        <f>Inputs!$B$15</f>
        <v>0.06</v>
      </c>
      <c r="AJ209" s="46"/>
      <c r="AK209" s="18">
        <f t="shared" si="174"/>
        <v>4.0000000000000591E-3</v>
      </c>
      <c r="AL209" s="46"/>
      <c r="AM209" s="62">
        <f t="shared" si="175"/>
        <v>44165</v>
      </c>
      <c r="AN209" s="63">
        <f t="shared" ca="1" si="176"/>
        <v>6972</v>
      </c>
      <c r="AO209" s="63">
        <f t="shared" si="203"/>
        <v>1</v>
      </c>
      <c r="AP209" s="19"/>
      <c r="AQ209" s="74">
        <f ca="1">_xll.SPRDOPT(U209,AA209,AI209,AX209,X209,AD209,AG209,AN209,AO209,0)</f>
        <v>0.38985252015190547</v>
      </c>
      <c r="AR209" s="47">
        <f t="shared" ca="1" si="183"/>
        <v>0</v>
      </c>
      <c r="AS209" s="135">
        <f t="shared" ca="1" si="184"/>
        <v>0.38585252015190541</v>
      </c>
      <c r="AU209" s="5">
        <f t="shared" si="204"/>
        <v>31</v>
      </c>
      <c r="AV209" s="148">
        <f t="shared" si="177"/>
        <v>44211</v>
      </c>
      <c r="AW209" s="41">
        <f t="shared" ca="1" si="178"/>
        <v>7018</v>
      </c>
      <c r="AX209" s="100">
        <f>VLOOKUP($A209,[1]!CurveTable,MATCH(AX$4,[1]!CurveType,0))</f>
        <v>6.1185460035284099E-2</v>
      </c>
      <c r="AY209" s="149">
        <f ca="1">1/(1+CHOOSE(F$3,(AX210+(Inputs!$B$14/10000))/2,(AX209+(Inputs!$B$14/10000))/2))^(2*AW209/365.25)</f>
        <v>0.3141114015891614</v>
      </c>
      <c r="AZ209" s="41">
        <f t="shared" si="205"/>
        <v>0</v>
      </c>
      <c r="BA209" s="72">
        <f t="shared" si="206"/>
        <v>0</v>
      </c>
      <c r="BC209" s="65">
        <f t="shared" ca="1" si="185"/>
        <v>0</v>
      </c>
      <c r="BD209" s="65">
        <f t="shared" ca="1" si="186"/>
        <v>0</v>
      </c>
      <c r="BE209" s="65">
        <f t="shared" ca="1" si="187"/>
        <v>0</v>
      </c>
      <c r="BF209" s="65">
        <f t="shared" ca="1" si="188"/>
        <v>0</v>
      </c>
      <c r="BG209" s="65">
        <f t="shared" ca="1" si="189"/>
        <v>0</v>
      </c>
      <c r="BH209" s="65">
        <f t="shared" ca="1" si="190"/>
        <v>0</v>
      </c>
      <c r="BI209" s="65">
        <f t="shared" ca="1" si="191"/>
        <v>0</v>
      </c>
      <c r="BJ209" s="65">
        <f t="shared" ca="1" si="192"/>
        <v>0</v>
      </c>
      <c r="BK209" s="65">
        <f t="shared" ca="1" si="193"/>
        <v>0</v>
      </c>
      <c r="BL209" s="65">
        <f t="shared" ca="1" si="194"/>
        <v>0</v>
      </c>
      <c r="BM209" s="65">
        <f t="shared" ca="1" si="195"/>
        <v>0</v>
      </c>
      <c r="BN209" s="65">
        <f t="shared" ca="1" si="196"/>
        <v>0</v>
      </c>
      <c r="BO209" s="65">
        <f t="shared" ca="1" si="197"/>
        <v>0</v>
      </c>
      <c r="BP209" s="65">
        <f t="shared" ca="1" si="198"/>
        <v>0</v>
      </c>
      <c r="BQ209" s="65">
        <f t="shared" ca="1" si="199"/>
        <v>0</v>
      </c>
      <c r="BR209" s="65">
        <f t="shared" ca="1" si="200"/>
        <v>0</v>
      </c>
      <c r="BS209" s="65">
        <f t="shared" ca="1" si="201"/>
        <v>0</v>
      </c>
      <c r="BT209" s="65">
        <f t="shared" ca="1" si="202"/>
        <v>0</v>
      </c>
      <c r="BU209" s="65">
        <f t="shared" ca="1" si="179"/>
        <v>0</v>
      </c>
    </row>
    <row r="210" spans="1:73">
      <c r="A210" s="42">
        <f t="shared" si="180"/>
        <v>44228</v>
      </c>
      <c r="B210" s="30">
        <f>Inputs!$B$8</f>
        <v>50000</v>
      </c>
      <c r="C210" s="17">
        <f t="shared" si="170"/>
        <v>0</v>
      </c>
      <c r="D210" s="17">
        <f t="shared" ca="1" si="171"/>
        <v>0</v>
      </c>
      <c r="E210" s="25">
        <f>VLOOKUP($A210,[1]!CurveTable,MATCH($E$4,[1]!CurveType,0))</f>
        <v>5.6775000000000002</v>
      </c>
      <c r="F210" s="31">
        <f>E210-Inputs!$B$16</f>
        <v>5.7324999999999999</v>
      </c>
      <c r="G210" s="43">
        <f t="shared" ref="G210:G229" si="207">F210</f>
        <v>5.7324999999999999</v>
      </c>
      <c r="H210" s="25">
        <f>VLOOKUP($A210,[1]!CurveTable,MATCH($H$4,[1]!CurveType,0))</f>
        <v>7.4999999999999997E-2</v>
      </c>
      <c r="I210" s="31">
        <f>H210+Inputs!$B$22</f>
        <v>7.4999999999999997E-2</v>
      </c>
      <c r="J210" s="44">
        <f t="shared" ref="J210:J229" si="208">I210</f>
        <v>7.4999999999999997E-2</v>
      </c>
      <c r="K210" s="25">
        <f>VLOOKUP($A210,[1]!CurveTable,MATCH($K$4,[1]!CurveType,0))</f>
        <v>0</v>
      </c>
      <c r="L210" s="31">
        <v>0</v>
      </c>
      <c r="M210" s="45">
        <f t="shared" ref="M210:M229" si="209">L210</f>
        <v>0</v>
      </c>
      <c r="N210" s="25">
        <f>VLOOKUP($A210,[1]!CurveTable,MATCH($N$4,[1]!CurveType,0))</f>
        <v>2.1000000000000001E-2</v>
      </c>
      <c r="O210" s="31">
        <f>N210+Inputs!$E$22</f>
        <v>2.1000000000000001E-2</v>
      </c>
      <c r="P210" s="45">
        <f t="shared" ref="P210:P229" si="210">O210</f>
        <v>2.1000000000000001E-2</v>
      </c>
      <c r="Q210" s="25">
        <f>VLOOKUP($A210,[1]!CurveTable,MATCH($Q$4,[1]!CurveType,0))</f>
        <v>7.4999999999999997E-3</v>
      </c>
      <c r="R210" s="31">
        <v>0</v>
      </c>
      <c r="S210" s="45">
        <f t="shared" ref="S210:S229" si="211">R210</f>
        <v>0</v>
      </c>
      <c r="T210" s="4"/>
      <c r="U210" s="159">
        <f t="shared" si="181"/>
        <v>5.8075000000000001</v>
      </c>
      <c r="V210" s="160"/>
      <c r="W210" s="100">
        <f>VLOOKUP($A210,[1]!CurveTable,MATCH($W$4,[1]!CurveType,0))+$W$9</f>
        <v>0.17</v>
      </c>
      <c r="X210" s="100">
        <f>VLOOKUP($A210,[1]!CurveTable,MATCH($X$4,[1]!CurveType,0))+$X$9</f>
        <v>0.17500000000000002</v>
      </c>
      <c r="Y210" s="158">
        <f t="shared" ca="1" si="172"/>
        <v>0.17556399193708966</v>
      </c>
      <c r="Z210" s="4"/>
      <c r="AA210" s="159">
        <f t="shared" si="182"/>
        <v>5.7534999999999998</v>
      </c>
      <c r="AB210" s="160"/>
      <c r="AC210" s="100">
        <f>VLOOKUP($A210,[1]!CurveTable,MATCH($AC$4,[1]!CurveType,0))+$AC$9</f>
        <v>0.17</v>
      </c>
      <c r="AD210" s="100">
        <f>VLOOKUP($A210,[1]!CurveTable,MATCH($AD$4,[1]!CurveType,0))+$AD$9</f>
        <v>0.17500000000000002</v>
      </c>
      <c r="AE210" s="158">
        <f t="shared" ca="1" si="173"/>
        <v>0.17556399193708966</v>
      </c>
      <c r="AF210" s="4"/>
      <c r="AG210" s="52">
        <f ca="1">((Inputs!$F$20*(X210*AD210)*(A210-$C$3))+(Inputs!$F$19*W210*AC210*(DAY(EOMONTH(A210,0))/2)))/(AN210*Y210*AE210)</f>
        <v>0.74999999999999989</v>
      </c>
      <c r="AH210" s="4"/>
      <c r="AI210" s="18">
        <f>Inputs!$B$15</f>
        <v>0.06</v>
      </c>
      <c r="AJ210" s="46"/>
      <c r="AK210" s="18">
        <f t="shared" si="174"/>
        <v>0</v>
      </c>
      <c r="AL210" s="46"/>
      <c r="AM210" s="62">
        <f t="shared" si="175"/>
        <v>44196</v>
      </c>
      <c r="AN210" s="63">
        <f t="shared" ca="1" si="176"/>
        <v>7003</v>
      </c>
      <c r="AO210" s="63">
        <f t="shared" si="203"/>
        <v>1</v>
      </c>
      <c r="AP210" s="19"/>
      <c r="AQ210" s="74">
        <f ca="1">_xll.SPRDOPT(U210,AA210,AI210,AX210,X210,AD210,AG210,AN210,AO210,0)</f>
        <v>0.38062377069186532</v>
      </c>
      <c r="AR210" s="47">
        <f t="shared" ca="1" si="183"/>
        <v>0</v>
      </c>
      <c r="AS210" s="135">
        <f t="shared" ca="1" si="184"/>
        <v>0.38062377069186532</v>
      </c>
      <c r="AU210" s="5">
        <f t="shared" si="204"/>
        <v>28</v>
      </c>
      <c r="AV210" s="148">
        <f t="shared" si="177"/>
        <v>44242</v>
      </c>
      <c r="AW210" s="41">
        <f t="shared" ca="1" si="178"/>
        <v>7049</v>
      </c>
      <c r="AX210" s="100">
        <f>VLOOKUP($A210,[1]!CurveTable,MATCH(AX$4,[1]!CurveType,0))</f>
        <v>6.1243672856173201E-2</v>
      </c>
      <c r="AY210" s="149">
        <f ca="1">1/(1+CHOOSE(F$3,(AX211+(Inputs!$B$14/10000))/2,(AX210+(Inputs!$B$14/10000))/2))^(2*AW210/365.25)</f>
        <v>0.31216829462242596</v>
      </c>
      <c r="AZ210" s="41">
        <f t="shared" si="205"/>
        <v>0</v>
      </c>
      <c r="BA210" s="72">
        <f t="shared" si="206"/>
        <v>0</v>
      </c>
      <c r="BC210" s="65">
        <f t="shared" ca="1" si="185"/>
        <v>0</v>
      </c>
      <c r="BD210" s="65">
        <f t="shared" ca="1" si="186"/>
        <v>0</v>
      </c>
      <c r="BE210" s="65">
        <f t="shared" ca="1" si="187"/>
        <v>0</v>
      </c>
      <c r="BF210" s="65">
        <f t="shared" ca="1" si="188"/>
        <v>0</v>
      </c>
      <c r="BG210" s="65">
        <f t="shared" ca="1" si="189"/>
        <v>0</v>
      </c>
      <c r="BH210" s="65">
        <f t="shared" ca="1" si="190"/>
        <v>0</v>
      </c>
      <c r="BI210" s="65">
        <f t="shared" ca="1" si="191"/>
        <v>0</v>
      </c>
      <c r="BJ210" s="65">
        <f t="shared" ca="1" si="192"/>
        <v>0</v>
      </c>
      <c r="BK210" s="65">
        <f t="shared" ca="1" si="193"/>
        <v>0</v>
      </c>
      <c r="BL210" s="65">
        <f t="shared" ca="1" si="194"/>
        <v>0</v>
      </c>
      <c r="BM210" s="65">
        <f t="shared" ca="1" si="195"/>
        <v>0</v>
      </c>
      <c r="BN210" s="65">
        <f t="shared" ca="1" si="196"/>
        <v>0</v>
      </c>
      <c r="BO210" s="65">
        <f t="shared" ca="1" si="197"/>
        <v>0</v>
      </c>
      <c r="BP210" s="65">
        <f t="shared" ca="1" si="198"/>
        <v>0</v>
      </c>
      <c r="BQ210" s="65">
        <f t="shared" ca="1" si="199"/>
        <v>0</v>
      </c>
      <c r="BR210" s="65">
        <f t="shared" ca="1" si="200"/>
        <v>0</v>
      </c>
      <c r="BS210" s="65">
        <f t="shared" ca="1" si="201"/>
        <v>0</v>
      </c>
      <c r="BT210" s="65">
        <f t="shared" ca="1" si="202"/>
        <v>0</v>
      </c>
      <c r="BU210" s="65">
        <f t="shared" ca="1" si="179"/>
        <v>0</v>
      </c>
    </row>
    <row r="211" spans="1:73">
      <c r="A211" s="42">
        <f t="shared" si="180"/>
        <v>44256</v>
      </c>
      <c r="B211" s="30">
        <f>Inputs!$B$8</f>
        <v>50000</v>
      </c>
      <c r="C211" s="17">
        <f t="shared" si="170"/>
        <v>0</v>
      </c>
      <c r="D211" s="17">
        <f t="shared" ca="1" si="171"/>
        <v>0</v>
      </c>
      <c r="E211" s="25">
        <f>VLOOKUP($A211,[1]!CurveTable,MATCH($E$4,[1]!CurveType,0))</f>
        <v>5.5385</v>
      </c>
      <c r="F211" s="31">
        <f>E211-Inputs!$B$16</f>
        <v>5.5934999999999997</v>
      </c>
      <c r="G211" s="43">
        <f t="shared" si="207"/>
        <v>5.5934999999999997</v>
      </c>
      <c r="H211" s="25">
        <f>VLOOKUP($A211,[1]!CurveTable,MATCH($H$4,[1]!CurveType,0))</f>
        <v>0.115</v>
      </c>
      <c r="I211" s="31">
        <f>H211+Inputs!$B$22</f>
        <v>0.115</v>
      </c>
      <c r="J211" s="44">
        <f t="shared" si="208"/>
        <v>0.115</v>
      </c>
      <c r="K211" s="25">
        <f>VLOOKUP($A211,[1]!CurveTable,MATCH($K$4,[1]!CurveType,0))</f>
        <v>0</v>
      </c>
      <c r="L211" s="31">
        <v>0</v>
      </c>
      <c r="M211" s="45">
        <f t="shared" si="209"/>
        <v>0</v>
      </c>
      <c r="N211" s="25">
        <f>VLOOKUP($A211,[1]!CurveTable,MATCH($N$4,[1]!CurveType,0))</f>
        <v>2.5000000000000001E-2</v>
      </c>
      <c r="O211" s="31">
        <f>N211+Inputs!$E$22</f>
        <v>2.5000000000000001E-2</v>
      </c>
      <c r="P211" s="45">
        <f t="shared" si="210"/>
        <v>2.5000000000000001E-2</v>
      </c>
      <c r="Q211" s="25">
        <f>VLOOKUP($A211,[1]!CurveTable,MATCH($Q$4,[1]!CurveType,0))</f>
        <v>7.4999999999999997E-3</v>
      </c>
      <c r="R211" s="31">
        <v>0</v>
      </c>
      <c r="S211" s="45">
        <f t="shared" si="211"/>
        <v>0</v>
      </c>
      <c r="T211" s="4"/>
      <c r="U211" s="159">
        <f t="shared" si="181"/>
        <v>5.7084999999999999</v>
      </c>
      <c r="V211" s="160"/>
      <c r="W211" s="100">
        <f>VLOOKUP($A211,[1]!CurveTable,MATCH($W$4,[1]!CurveType,0))+$W$9</f>
        <v>0.17</v>
      </c>
      <c r="X211" s="100">
        <f>VLOOKUP($A211,[1]!CurveTable,MATCH($X$4,[1]!CurveType,0))+$X$9</f>
        <v>0.17500000000000002</v>
      </c>
      <c r="Y211" s="158">
        <f t="shared" ca="1" si="172"/>
        <v>0.17554186186164139</v>
      </c>
      <c r="Z211" s="4"/>
      <c r="AA211" s="159">
        <f t="shared" si="182"/>
        <v>5.6185</v>
      </c>
      <c r="AB211" s="160"/>
      <c r="AC211" s="100">
        <f>VLOOKUP($A211,[1]!CurveTable,MATCH($AC$4,[1]!CurveType,0))+$AC$9</f>
        <v>0.17</v>
      </c>
      <c r="AD211" s="100">
        <f>VLOOKUP($A211,[1]!CurveTable,MATCH($AD$4,[1]!CurveType,0))+$AD$9</f>
        <v>0.17500000000000002</v>
      </c>
      <c r="AE211" s="158">
        <f t="shared" ca="1" si="173"/>
        <v>0.17554186186164139</v>
      </c>
      <c r="AF211" s="4"/>
      <c r="AG211" s="52">
        <f ca="1">((Inputs!$F$20*(X211*AD211)*(A211-$C$3))+(Inputs!$F$19*W211*AC211*(DAY(EOMONTH(A211,0))/2)))/(AN211*Y211*AE211)</f>
        <v>0.74999999999999967</v>
      </c>
      <c r="AH211" s="4"/>
      <c r="AI211" s="18">
        <f>Inputs!$B$15</f>
        <v>0.06</v>
      </c>
      <c r="AJ211" s="46"/>
      <c r="AK211" s="18">
        <f t="shared" si="174"/>
        <v>2.999999999999986E-2</v>
      </c>
      <c r="AL211" s="46"/>
      <c r="AM211" s="62">
        <f t="shared" si="175"/>
        <v>44227</v>
      </c>
      <c r="AN211" s="63">
        <f t="shared" ca="1" si="176"/>
        <v>7034</v>
      </c>
      <c r="AO211" s="63">
        <f t="shared" si="203"/>
        <v>1</v>
      </c>
      <c r="AP211" s="19"/>
      <c r="AQ211" s="74">
        <f ca="1">_xll.SPRDOPT(U211,AA211,AI211,AX211,X211,AD211,AG211,AN211,AO211,0)</f>
        <v>0.37693784397428559</v>
      </c>
      <c r="AR211" s="47">
        <f t="shared" ca="1" si="183"/>
        <v>0</v>
      </c>
      <c r="AS211" s="135">
        <f t="shared" ca="1" si="184"/>
        <v>0.34693784397428573</v>
      </c>
      <c r="AU211" s="5">
        <f t="shared" si="204"/>
        <v>31</v>
      </c>
      <c r="AV211" s="148">
        <f t="shared" si="177"/>
        <v>44270</v>
      </c>
      <c r="AW211" s="41">
        <f t="shared" ca="1" si="178"/>
        <v>7077</v>
      </c>
      <c r="AX211" s="100">
        <f>VLOOKUP($A211,[1]!CurveTable,MATCH(AX$4,[1]!CurveType,0))</f>
        <v>6.1296252179233499E-2</v>
      </c>
      <c r="AY211" s="149">
        <f ca="1">1/(1+CHOOSE(F$3,(AX212+(Inputs!$B$14/10000))/2,(AX211+(Inputs!$B$14/10000))/2))^(2*AW211/365.25)</f>
        <v>0.31042101393127464</v>
      </c>
      <c r="AZ211" s="41">
        <f t="shared" si="205"/>
        <v>0</v>
      </c>
      <c r="BA211" s="72">
        <f t="shared" si="206"/>
        <v>0</v>
      </c>
      <c r="BC211" s="65">
        <f t="shared" ca="1" si="185"/>
        <v>0</v>
      </c>
      <c r="BD211" s="65">
        <f t="shared" ca="1" si="186"/>
        <v>0</v>
      </c>
      <c r="BE211" s="65">
        <f t="shared" ca="1" si="187"/>
        <v>0</v>
      </c>
      <c r="BF211" s="65">
        <f t="shared" ca="1" si="188"/>
        <v>0</v>
      </c>
      <c r="BG211" s="65">
        <f t="shared" ca="1" si="189"/>
        <v>0</v>
      </c>
      <c r="BH211" s="65">
        <f t="shared" ca="1" si="190"/>
        <v>0</v>
      </c>
      <c r="BI211" s="65">
        <f t="shared" ca="1" si="191"/>
        <v>0</v>
      </c>
      <c r="BJ211" s="65">
        <f t="shared" ca="1" si="192"/>
        <v>0</v>
      </c>
      <c r="BK211" s="65">
        <f t="shared" ca="1" si="193"/>
        <v>0</v>
      </c>
      <c r="BL211" s="65">
        <f t="shared" ca="1" si="194"/>
        <v>0</v>
      </c>
      <c r="BM211" s="65">
        <f t="shared" ca="1" si="195"/>
        <v>0</v>
      </c>
      <c r="BN211" s="65">
        <f t="shared" ca="1" si="196"/>
        <v>0</v>
      </c>
      <c r="BO211" s="65">
        <f t="shared" ca="1" si="197"/>
        <v>0</v>
      </c>
      <c r="BP211" s="65">
        <f t="shared" ca="1" si="198"/>
        <v>0</v>
      </c>
      <c r="BQ211" s="65">
        <f t="shared" ca="1" si="199"/>
        <v>0</v>
      </c>
      <c r="BR211" s="65">
        <f t="shared" ca="1" si="200"/>
        <v>0</v>
      </c>
      <c r="BS211" s="65">
        <f t="shared" ca="1" si="201"/>
        <v>0</v>
      </c>
      <c r="BT211" s="65">
        <f t="shared" ca="1" si="202"/>
        <v>0</v>
      </c>
      <c r="BU211" s="65">
        <f t="shared" ca="1" si="179"/>
        <v>0</v>
      </c>
    </row>
    <row r="212" spans="1:73">
      <c r="A212" s="42">
        <f t="shared" si="180"/>
        <v>44287</v>
      </c>
      <c r="B212" s="30">
        <f>Inputs!$B$8</f>
        <v>50000</v>
      </c>
      <c r="C212" s="17">
        <f t="shared" si="170"/>
        <v>0</v>
      </c>
      <c r="D212" s="17">
        <f t="shared" ca="1" si="171"/>
        <v>0</v>
      </c>
      <c r="E212" s="25">
        <f>VLOOKUP($A212,[1]!CurveTable,MATCH($E$4,[1]!CurveType,0))</f>
        <v>5.3845000000000001</v>
      </c>
      <c r="F212" s="31">
        <f>E212-Inputs!$B$16</f>
        <v>5.4394999999999998</v>
      </c>
      <c r="G212" s="43">
        <f t="shared" si="207"/>
        <v>5.4394999999999998</v>
      </c>
      <c r="H212" s="25">
        <f>VLOOKUP($A212,[1]!CurveTable,MATCH($H$4,[1]!CurveType,0))</f>
        <v>0.55000000000000004</v>
      </c>
      <c r="I212" s="31">
        <f>H212+Inputs!$B$22</f>
        <v>0.55000000000000004</v>
      </c>
      <c r="J212" s="44">
        <f t="shared" si="208"/>
        <v>0.55000000000000004</v>
      </c>
      <c r="K212" s="25">
        <f>VLOOKUP($A212,[1]!CurveTable,MATCH($K$4,[1]!CurveType,0))</f>
        <v>0</v>
      </c>
      <c r="L212" s="31">
        <v>0</v>
      </c>
      <c r="M212" s="45">
        <f t="shared" si="209"/>
        <v>0</v>
      </c>
      <c r="N212" s="25">
        <f>VLOOKUP($A212,[1]!CurveTable,MATCH($N$4,[1]!CurveType,0))</f>
        <v>2.5000000000000001E-2</v>
      </c>
      <c r="O212" s="31">
        <f>N212+Inputs!$E$22</f>
        <v>2.5000000000000001E-2</v>
      </c>
      <c r="P212" s="45">
        <f t="shared" si="210"/>
        <v>2.5000000000000001E-2</v>
      </c>
      <c r="Q212" s="25">
        <f>VLOOKUP($A212,[1]!CurveTable,MATCH($Q$4,[1]!CurveType,0))</f>
        <v>0.01</v>
      </c>
      <c r="R212" s="31">
        <v>0</v>
      </c>
      <c r="S212" s="45">
        <f t="shared" si="211"/>
        <v>0</v>
      </c>
      <c r="T212" s="4"/>
      <c r="U212" s="159">
        <f t="shared" si="181"/>
        <v>5.9894999999999996</v>
      </c>
      <c r="V212" s="160"/>
      <c r="W212" s="100">
        <f>VLOOKUP($A212,[1]!CurveTable,MATCH($W$4,[1]!CurveType,0))+$W$9</f>
        <v>0.17</v>
      </c>
      <c r="X212" s="100">
        <f>VLOOKUP($A212,[1]!CurveTable,MATCH($X$4,[1]!CurveType,0))+$X$9</f>
        <v>0.17500000000000002</v>
      </c>
      <c r="Y212" s="158">
        <f t="shared" ca="1" si="172"/>
        <v>0.1755709422519566</v>
      </c>
      <c r="Z212" s="4"/>
      <c r="AA212" s="159">
        <f t="shared" si="182"/>
        <v>5.4645000000000001</v>
      </c>
      <c r="AB212" s="160"/>
      <c r="AC212" s="100">
        <f>VLOOKUP($A212,[1]!CurveTable,MATCH($AC$4,[1]!CurveType,0))+$AC$9</f>
        <v>0.17</v>
      </c>
      <c r="AD212" s="100">
        <f>VLOOKUP($A212,[1]!CurveTable,MATCH($AD$4,[1]!CurveType,0))+$AD$9</f>
        <v>0.17500000000000002</v>
      </c>
      <c r="AE212" s="158">
        <f t="shared" ca="1" si="173"/>
        <v>0.1755709422519566</v>
      </c>
      <c r="AF212" s="4"/>
      <c r="AG212" s="52">
        <f ca="1">((Inputs!$F$20*(X212*AD212)*(A212-$C$3))+(Inputs!$F$19*W212*AC212*(DAY(EOMONTH(A212,0))/2)))/(AN212*Y212*AE212)</f>
        <v>0.75000000000000011</v>
      </c>
      <c r="AH212" s="4"/>
      <c r="AI212" s="18">
        <f>Inputs!$B$15</f>
        <v>0.06</v>
      </c>
      <c r="AJ212" s="46"/>
      <c r="AK212" s="18">
        <f t="shared" si="174"/>
        <v>0.46499999999999947</v>
      </c>
      <c r="AL212" s="46"/>
      <c r="AM212" s="62">
        <f t="shared" si="175"/>
        <v>44255</v>
      </c>
      <c r="AN212" s="63">
        <f t="shared" ca="1" si="176"/>
        <v>7062</v>
      </c>
      <c r="AO212" s="63">
        <f t="shared" si="203"/>
        <v>1</v>
      </c>
      <c r="AP212" s="19"/>
      <c r="AQ212" s="74">
        <f ca="1">_xll.SPRDOPT(U212,AA212,AI212,AX212,X212,AD212,AG212,AN212,AO212,0)</f>
        <v>0.450052229839215</v>
      </c>
      <c r="AR212" s="47">
        <f t="shared" ca="1" si="183"/>
        <v>0</v>
      </c>
      <c r="AS212" s="135">
        <f t="shared" ca="1" si="184"/>
        <v>-1.4947770160784468E-2</v>
      </c>
      <c r="AU212" s="5">
        <f t="shared" si="204"/>
        <v>30</v>
      </c>
      <c r="AV212" s="148">
        <f t="shared" si="177"/>
        <v>44301</v>
      </c>
      <c r="AW212" s="41">
        <f t="shared" ca="1" si="178"/>
        <v>7108</v>
      </c>
      <c r="AX212" s="100">
        <f>VLOOKUP($A212,[1]!CurveTable,MATCH(AX$4,[1]!CurveType,0))</f>
        <v>6.1354465002263901E-2</v>
      </c>
      <c r="AY212" s="149">
        <f ca="1">1/(1+CHOOSE(F$3,(AX213+(Inputs!$B$14/10000))/2,(AX212+(Inputs!$B$14/10000))/2))^(2*AW212/365.25)</f>
        <v>0.30849512461931894</v>
      </c>
      <c r="AZ212" s="41">
        <f t="shared" si="205"/>
        <v>0</v>
      </c>
      <c r="BA212" s="72">
        <f t="shared" si="206"/>
        <v>0</v>
      </c>
      <c r="BC212" s="65">
        <f t="shared" ca="1" si="185"/>
        <v>0</v>
      </c>
      <c r="BD212" s="65">
        <f t="shared" ca="1" si="186"/>
        <v>0</v>
      </c>
      <c r="BE212" s="65">
        <f t="shared" ca="1" si="187"/>
        <v>0</v>
      </c>
      <c r="BF212" s="65">
        <f t="shared" ca="1" si="188"/>
        <v>0</v>
      </c>
      <c r="BG212" s="65">
        <f t="shared" ca="1" si="189"/>
        <v>0</v>
      </c>
      <c r="BH212" s="65">
        <f t="shared" ca="1" si="190"/>
        <v>0</v>
      </c>
      <c r="BI212" s="65">
        <f t="shared" ca="1" si="191"/>
        <v>0</v>
      </c>
      <c r="BJ212" s="65">
        <f t="shared" ca="1" si="192"/>
        <v>0</v>
      </c>
      <c r="BK212" s="65">
        <f t="shared" ca="1" si="193"/>
        <v>0</v>
      </c>
      <c r="BL212" s="65">
        <f t="shared" ca="1" si="194"/>
        <v>0</v>
      </c>
      <c r="BM212" s="65">
        <f t="shared" ca="1" si="195"/>
        <v>0</v>
      </c>
      <c r="BN212" s="65">
        <f t="shared" ca="1" si="196"/>
        <v>0</v>
      </c>
      <c r="BO212" s="65">
        <f t="shared" ca="1" si="197"/>
        <v>0</v>
      </c>
      <c r="BP212" s="65">
        <f t="shared" ca="1" si="198"/>
        <v>0</v>
      </c>
      <c r="BQ212" s="65">
        <f t="shared" ca="1" si="199"/>
        <v>0</v>
      </c>
      <c r="BR212" s="65">
        <f t="shared" ca="1" si="200"/>
        <v>0</v>
      </c>
      <c r="BS212" s="65">
        <f t="shared" ca="1" si="201"/>
        <v>0</v>
      </c>
      <c r="BT212" s="65">
        <f t="shared" ca="1" si="202"/>
        <v>0</v>
      </c>
      <c r="BU212" s="65">
        <f t="shared" ca="1" si="179"/>
        <v>0</v>
      </c>
    </row>
    <row r="213" spans="1:73">
      <c r="A213" s="42">
        <f t="shared" si="180"/>
        <v>44317</v>
      </c>
      <c r="B213" s="30">
        <f>Inputs!$B$8</f>
        <v>50000</v>
      </c>
      <c r="C213" s="17">
        <f t="shared" si="170"/>
        <v>0</v>
      </c>
      <c r="D213" s="17">
        <f t="shared" ca="1" si="171"/>
        <v>0</v>
      </c>
      <c r="E213" s="25">
        <f>VLOOKUP($A213,[1]!CurveTable,MATCH($E$4,[1]!CurveType,0))</f>
        <v>5.3895</v>
      </c>
      <c r="F213" s="31">
        <f>E213-Inputs!$B$16</f>
        <v>5.4444999999999997</v>
      </c>
      <c r="G213" s="43">
        <f t="shared" si="207"/>
        <v>5.4444999999999997</v>
      </c>
      <c r="H213" s="25">
        <f>VLOOKUP($A213,[1]!CurveTable,MATCH($H$4,[1]!CurveType,0))</f>
        <v>0.7</v>
      </c>
      <c r="I213" s="31">
        <f>H213+Inputs!$B$22</f>
        <v>0.7</v>
      </c>
      <c r="J213" s="44">
        <f t="shared" si="208"/>
        <v>0.7</v>
      </c>
      <c r="K213" s="25">
        <f>VLOOKUP($A213,[1]!CurveTable,MATCH($K$4,[1]!CurveType,0))</f>
        <v>0</v>
      </c>
      <c r="L213" s="31">
        <v>0</v>
      </c>
      <c r="M213" s="45">
        <f t="shared" si="209"/>
        <v>0</v>
      </c>
      <c r="N213" s="25">
        <f>VLOOKUP($A213,[1]!CurveTable,MATCH($N$4,[1]!CurveType,0))</f>
        <v>2.75E-2</v>
      </c>
      <c r="O213" s="31">
        <f>N213+Inputs!$E$22</f>
        <v>2.75E-2</v>
      </c>
      <c r="P213" s="45">
        <f t="shared" si="210"/>
        <v>2.75E-2</v>
      </c>
      <c r="Q213" s="25">
        <f>VLOOKUP($A213,[1]!CurveTable,MATCH($Q$4,[1]!CurveType,0))</f>
        <v>0.01</v>
      </c>
      <c r="R213" s="31">
        <v>0</v>
      </c>
      <c r="S213" s="45">
        <f t="shared" si="211"/>
        <v>0</v>
      </c>
      <c r="T213" s="4"/>
      <c r="U213" s="159">
        <f t="shared" si="181"/>
        <v>6.1444999999999999</v>
      </c>
      <c r="V213" s="160"/>
      <c r="W213" s="100">
        <f>VLOOKUP($A213,[1]!CurveTable,MATCH($W$4,[1]!CurveType,0))+$W$9</f>
        <v>0.34</v>
      </c>
      <c r="X213" s="100">
        <f>VLOOKUP($A213,[1]!CurveTable,MATCH($X$4,[1]!CurveType,0))+$X$9</f>
        <v>0.34500000000000003</v>
      </c>
      <c r="Y213" s="158">
        <f t="shared" ca="1" si="172"/>
        <v>0.34611820921028358</v>
      </c>
      <c r="Z213" s="4"/>
      <c r="AA213" s="159">
        <f t="shared" si="182"/>
        <v>5.4719999999999995</v>
      </c>
      <c r="AB213" s="160"/>
      <c r="AC213" s="100">
        <f>VLOOKUP($A213,[1]!CurveTable,MATCH($AC$4,[1]!CurveType,0))+$AC$9</f>
        <v>0.17</v>
      </c>
      <c r="AD213" s="100">
        <f>VLOOKUP($A213,[1]!CurveTable,MATCH($AD$4,[1]!CurveType,0))+$AD$9</f>
        <v>0.17500000000000002</v>
      </c>
      <c r="AE213" s="158">
        <f t="shared" ca="1" si="173"/>
        <v>0.17556195648242326</v>
      </c>
      <c r="AF213" s="4"/>
      <c r="AG213" s="52">
        <f ca="1">((Inputs!$F$20*(X213*AD213)*(A213-$C$3))+(Inputs!$F$19*W213*AC213*(DAY(EOMONTH(A213,0))/2)))/(AN213*Y213*AE213)</f>
        <v>0.74999983895207434</v>
      </c>
      <c r="AH213" s="4"/>
      <c r="AI213" s="18">
        <f>Inputs!$B$15</f>
        <v>0.06</v>
      </c>
      <c r="AJ213" s="46"/>
      <c r="AK213" s="18">
        <f t="shared" si="174"/>
        <v>0.61250000000000027</v>
      </c>
      <c r="AL213" s="46"/>
      <c r="AM213" s="62">
        <f t="shared" si="175"/>
        <v>44286</v>
      </c>
      <c r="AN213" s="63">
        <f t="shared" ca="1" si="176"/>
        <v>7093</v>
      </c>
      <c r="AO213" s="63">
        <f t="shared" si="203"/>
        <v>1</v>
      </c>
      <c r="AP213" s="19"/>
      <c r="AQ213" s="74">
        <f ca="1">_xll.SPRDOPT(U213,AA213,AI213,AX213,X213,AD213,AG213,AN213,AO213,0)</f>
        <v>0.82010315887496998</v>
      </c>
      <c r="AR213" s="47">
        <f t="shared" ca="1" si="183"/>
        <v>0</v>
      </c>
      <c r="AS213" s="135">
        <f t="shared" ca="1" si="184"/>
        <v>0.20760315887496972</v>
      </c>
      <c r="AU213" s="5">
        <f t="shared" si="204"/>
        <v>31</v>
      </c>
      <c r="AV213" s="148">
        <f t="shared" si="177"/>
        <v>44331</v>
      </c>
      <c r="AW213" s="41">
        <f t="shared" ca="1" si="178"/>
        <v>7138</v>
      </c>
      <c r="AX213" s="100">
        <f>VLOOKUP($A213,[1]!CurveTable,MATCH(AX$4,[1]!CurveType,0))</f>
        <v>6.1410799993364802E-2</v>
      </c>
      <c r="AY213" s="149">
        <f ca="1">1/(1+CHOOSE(F$3,(AX214+(Inputs!$B$14/10000))/2,(AX213+(Inputs!$B$14/10000))/2))^(2*AW213/365.25)</f>
        <v>0.30663994795109217</v>
      </c>
      <c r="AZ213" s="41">
        <f t="shared" si="205"/>
        <v>0</v>
      </c>
      <c r="BA213" s="72">
        <f t="shared" si="206"/>
        <v>0</v>
      </c>
      <c r="BC213" s="65">
        <f t="shared" ca="1" si="185"/>
        <v>0</v>
      </c>
      <c r="BD213" s="65">
        <f t="shared" ca="1" si="186"/>
        <v>0</v>
      </c>
      <c r="BE213" s="65">
        <f t="shared" ca="1" si="187"/>
        <v>0</v>
      </c>
      <c r="BF213" s="65">
        <f t="shared" ca="1" si="188"/>
        <v>0</v>
      </c>
      <c r="BG213" s="65">
        <f t="shared" ca="1" si="189"/>
        <v>0</v>
      </c>
      <c r="BH213" s="65">
        <f t="shared" ca="1" si="190"/>
        <v>0</v>
      </c>
      <c r="BI213" s="65">
        <f t="shared" ca="1" si="191"/>
        <v>0</v>
      </c>
      <c r="BJ213" s="65">
        <f t="shared" ca="1" si="192"/>
        <v>0</v>
      </c>
      <c r="BK213" s="65">
        <f t="shared" ca="1" si="193"/>
        <v>0</v>
      </c>
      <c r="BL213" s="65">
        <f t="shared" ca="1" si="194"/>
        <v>0</v>
      </c>
      <c r="BM213" s="65">
        <f t="shared" ca="1" si="195"/>
        <v>0</v>
      </c>
      <c r="BN213" s="65">
        <f t="shared" ca="1" si="196"/>
        <v>0</v>
      </c>
      <c r="BO213" s="65">
        <f t="shared" ca="1" si="197"/>
        <v>0</v>
      </c>
      <c r="BP213" s="65">
        <f t="shared" ca="1" si="198"/>
        <v>0</v>
      </c>
      <c r="BQ213" s="65">
        <f t="shared" ca="1" si="199"/>
        <v>0</v>
      </c>
      <c r="BR213" s="65">
        <f t="shared" ca="1" si="200"/>
        <v>0</v>
      </c>
      <c r="BS213" s="65">
        <f t="shared" ca="1" si="201"/>
        <v>0</v>
      </c>
      <c r="BT213" s="65">
        <f t="shared" ca="1" si="202"/>
        <v>0</v>
      </c>
      <c r="BU213" s="65">
        <f t="shared" ca="1" si="179"/>
        <v>0</v>
      </c>
    </row>
    <row r="214" spans="1:73">
      <c r="A214" s="42">
        <f t="shared" si="180"/>
        <v>44348</v>
      </c>
      <c r="B214" s="30">
        <f>Inputs!$B$8</f>
        <v>50000</v>
      </c>
      <c r="C214" s="17">
        <f t="shared" si="170"/>
        <v>0</v>
      </c>
      <c r="D214" s="17">
        <f t="shared" ca="1" si="171"/>
        <v>0</v>
      </c>
      <c r="E214" s="25">
        <f>VLOOKUP($A214,[1]!CurveTable,MATCH($E$4,[1]!CurveType,0))</f>
        <v>5.4275000000000002</v>
      </c>
      <c r="F214" s="31">
        <f>E214-Inputs!$B$16</f>
        <v>5.4824999999999999</v>
      </c>
      <c r="G214" s="43">
        <f t="shared" si="207"/>
        <v>5.4824999999999999</v>
      </c>
      <c r="H214" s="25">
        <f>VLOOKUP($A214,[1]!CurveTable,MATCH($H$4,[1]!CurveType,0))</f>
        <v>0.8</v>
      </c>
      <c r="I214" s="31">
        <f>H214+Inputs!$B$22</f>
        <v>0.8</v>
      </c>
      <c r="J214" s="44">
        <f t="shared" si="208"/>
        <v>0.8</v>
      </c>
      <c r="K214" s="25">
        <f>VLOOKUP($A214,[1]!CurveTable,MATCH($K$4,[1]!CurveType,0))</f>
        <v>0</v>
      </c>
      <c r="L214" s="31">
        <v>0</v>
      </c>
      <c r="M214" s="45">
        <f t="shared" si="209"/>
        <v>0</v>
      </c>
      <c r="N214" s="25">
        <f>VLOOKUP($A214,[1]!CurveTable,MATCH($N$4,[1]!CurveType,0))</f>
        <v>2.5000000000000001E-2</v>
      </c>
      <c r="O214" s="31">
        <f>N214+Inputs!$E$22</f>
        <v>2.5000000000000001E-2</v>
      </c>
      <c r="P214" s="45">
        <f t="shared" si="210"/>
        <v>2.5000000000000001E-2</v>
      </c>
      <c r="Q214" s="25">
        <f>VLOOKUP($A214,[1]!CurveTable,MATCH($Q$4,[1]!CurveType,0))</f>
        <v>0.01</v>
      </c>
      <c r="R214" s="31">
        <v>0</v>
      </c>
      <c r="S214" s="45">
        <f t="shared" si="211"/>
        <v>0</v>
      </c>
      <c r="T214" s="4"/>
      <c r="U214" s="159">
        <f t="shared" si="181"/>
        <v>6.2824999999999998</v>
      </c>
      <c r="V214" s="160"/>
      <c r="W214" s="100">
        <f>VLOOKUP($A214,[1]!CurveTable,MATCH($W$4,[1]!CurveType,0))+$W$9</f>
        <v>0.34</v>
      </c>
      <c r="X214" s="100">
        <f>VLOOKUP($A214,[1]!CurveTable,MATCH($X$4,[1]!CurveType,0))+$X$9</f>
        <v>0.34500000000000003</v>
      </c>
      <c r="Y214" s="158">
        <f t="shared" ca="1" si="172"/>
        <v>0.34612592400982511</v>
      </c>
      <c r="Z214" s="4"/>
      <c r="AA214" s="159">
        <f t="shared" si="182"/>
        <v>5.5075000000000003</v>
      </c>
      <c r="AB214" s="160"/>
      <c r="AC214" s="100">
        <f>VLOOKUP($A214,[1]!CurveTable,MATCH($AC$4,[1]!CurveType,0))+$AC$9</f>
        <v>0.17</v>
      </c>
      <c r="AD214" s="100">
        <f>VLOOKUP($A214,[1]!CurveTable,MATCH($AD$4,[1]!CurveType,0))+$AD$9</f>
        <v>0.17500000000000002</v>
      </c>
      <c r="AE214" s="158">
        <f t="shared" ca="1" si="173"/>
        <v>0.17556606069464734</v>
      </c>
      <c r="AF214" s="4"/>
      <c r="AG214" s="52">
        <f ca="1">((Inputs!$F$20*(X214*AD214)*(A214-$C$3))+(Inputs!$F$19*W214*AC214*(DAY(EOMONTH(A214,0))/2)))/(AN214*Y214*AE214)</f>
        <v>0.74999984479890291</v>
      </c>
      <c r="AH214" s="4"/>
      <c r="AI214" s="18">
        <f>Inputs!$B$15</f>
        <v>0.06</v>
      </c>
      <c r="AJ214" s="46"/>
      <c r="AK214" s="18">
        <f t="shared" si="174"/>
        <v>0.71499999999999941</v>
      </c>
      <c r="AL214" s="46"/>
      <c r="AM214" s="62">
        <f t="shared" si="175"/>
        <v>44316</v>
      </c>
      <c r="AN214" s="63">
        <f t="shared" ca="1" si="176"/>
        <v>7123</v>
      </c>
      <c r="AO214" s="63">
        <f t="shared" si="203"/>
        <v>1</v>
      </c>
      <c r="AP214" s="19"/>
      <c r="AQ214" s="74">
        <f ca="1">_xll.SPRDOPT(U214,AA214,AI214,AX214,X214,AD214,AG214,AN214,AO214,0)</f>
        <v>0.8436468326327643</v>
      </c>
      <c r="AR214" s="47">
        <f t="shared" ca="1" si="183"/>
        <v>0</v>
      </c>
      <c r="AS214" s="135">
        <f t="shared" ca="1" si="184"/>
        <v>0.12864683263276488</v>
      </c>
      <c r="AU214" s="5">
        <f t="shared" si="204"/>
        <v>30</v>
      </c>
      <c r="AV214" s="148">
        <f t="shared" si="177"/>
        <v>44362</v>
      </c>
      <c r="AW214" s="41">
        <f t="shared" ca="1" si="178"/>
        <v>7169</v>
      </c>
      <c r="AX214" s="100">
        <f>VLOOKUP($A214,[1]!CurveTable,MATCH(AX$4,[1]!CurveType,0))</f>
        <v>6.1469012818609503E-2</v>
      </c>
      <c r="AY214" s="149">
        <f ca="1">1/(1+CHOOSE(F$3,(AX215+(Inputs!$B$14/10000))/2,(AX214+(Inputs!$B$14/10000))/2))^(2*AW214/365.25)</f>
        <v>0.30473178660908984</v>
      </c>
      <c r="AZ214" s="41">
        <f t="shared" si="205"/>
        <v>0</v>
      </c>
      <c r="BA214" s="72">
        <f t="shared" si="206"/>
        <v>0</v>
      </c>
      <c r="BC214" s="65">
        <f t="shared" ca="1" si="185"/>
        <v>0</v>
      </c>
      <c r="BD214" s="65">
        <f t="shared" ca="1" si="186"/>
        <v>0</v>
      </c>
      <c r="BE214" s="65">
        <f t="shared" ca="1" si="187"/>
        <v>0</v>
      </c>
      <c r="BF214" s="65">
        <f t="shared" ca="1" si="188"/>
        <v>0</v>
      </c>
      <c r="BG214" s="65">
        <f t="shared" ca="1" si="189"/>
        <v>0</v>
      </c>
      <c r="BH214" s="65">
        <f t="shared" ca="1" si="190"/>
        <v>0</v>
      </c>
      <c r="BI214" s="65">
        <f t="shared" ca="1" si="191"/>
        <v>0</v>
      </c>
      <c r="BJ214" s="65">
        <f t="shared" ca="1" si="192"/>
        <v>0</v>
      </c>
      <c r="BK214" s="65">
        <f t="shared" ca="1" si="193"/>
        <v>0</v>
      </c>
      <c r="BL214" s="65">
        <f t="shared" ca="1" si="194"/>
        <v>0</v>
      </c>
      <c r="BM214" s="65">
        <f t="shared" ca="1" si="195"/>
        <v>0</v>
      </c>
      <c r="BN214" s="65">
        <f t="shared" ca="1" si="196"/>
        <v>0</v>
      </c>
      <c r="BO214" s="65">
        <f t="shared" ca="1" si="197"/>
        <v>0</v>
      </c>
      <c r="BP214" s="65">
        <f t="shared" ca="1" si="198"/>
        <v>0</v>
      </c>
      <c r="BQ214" s="65">
        <f t="shared" ca="1" si="199"/>
        <v>0</v>
      </c>
      <c r="BR214" s="65">
        <f t="shared" ca="1" si="200"/>
        <v>0</v>
      </c>
      <c r="BS214" s="65">
        <f t="shared" ca="1" si="201"/>
        <v>0</v>
      </c>
      <c r="BT214" s="65">
        <f t="shared" ca="1" si="202"/>
        <v>0</v>
      </c>
      <c r="BU214" s="65">
        <f t="shared" ca="1" si="179"/>
        <v>0</v>
      </c>
    </row>
    <row r="215" spans="1:73">
      <c r="A215" s="42">
        <f t="shared" si="180"/>
        <v>44378</v>
      </c>
      <c r="B215" s="30">
        <f>Inputs!$B$8</f>
        <v>50000</v>
      </c>
      <c r="C215" s="17">
        <f t="shared" si="170"/>
        <v>0</v>
      </c>
      <c r="D215" s="17">
        <f t="shared" ca="1" si="171"/>
        <v>0</v>
      </c>
      <c r="E215" s="25">
        <f>VLOOKUP($A215,[1]!CurveTable,MATCH($E$4,[1]!CurveType,0))</f>
        <v>5.4725000000000001</v>
      </c>
      <c r="F215" s="31">
        <f>E215-Inputs!$B$16</f>
        <v>5.5274999999999999</v>
      </c>
      <c r="G215" s="43">
        <f t="shared" si="207"/>
        <v>5.5274999999999999</v>
      </c>
      <c r="H215" s="25">
        <f>VLOOKUP($A215,[1]!CurveTable,MATCH($H$4,[1]!CurveType,0))</f>
        <v>1</v>
      </c>
      <c r="I215" s="31">
        <f>H215+Inputs!$B$22</f>
        <v>1</v>
      </c>
      <c r="J215" s="44">
        <f t="shared" si="208"/>
        <v>1</v>
      </c>
      <c r="K215" s="25">
        <f>VLOOKUP($A215,[1]!CurveTable,MATCH($K$4,[1]!CurveType,0))</f>
        <v>0</v>
      </c>
      <c r="L215" s="31">
        <v>0</v>
      </c>
      <c r="M215" s="45">
        <f t="shared" si="209"/>
        <v>0</v>
      </c>
      <c r="N215" s="25">
        <f>VLOOKUP($A215,[1]!CurveTable,MATCH($N$4,[1]!CurveType,0))</f>
        <v>2.2499999999999999E-2</v>
      </c>
      <c r="O215" s="31">
        <f>N215+Inputs!$E$22</f>
        <v>2.2499999999999999E-2</v>
      </c>
      <c r="P215" s="45">
        <f t="shared" si="210"/>
        <v>2.2499999999999999E-2</v>
      </c>
      <c r="Q215" s="25">
        <f>VLOOKUP($A215,[1]!CurveTable,MATCH($Q$4,[1]!CurveType,0))</f>
        <v>0.01</v>
      </c>
      <c r="R215" s="31">
        <v>0</v>
      </c>
      <c r="S215" s="45">
        <f t="shared" si="211"/>
        <v>0</v>
      </c>
      <c r="T215" s="4"/>
      <c r="U215" s="159">
        <f t="shared" si="181"/>
        <v>6.5274999999999999</v>
      </c>
      <c r="V215" s="160"/>
      <c r="W215" s="100">
        <f>VLOOKUP($A215,[1]!CurveTable,MATCH($W$4,[1]!CurveType,0))+$W$9</f>
        <v>0.34</v>
      </c>
      <c r="X215" s="100">
        <f>VLOOKUP($A215,[1]!CurveTable,MATCH($X$4,[1]!CurveType,0))+$X$9</f>
        <v>0.34500000000000003</v>
      </c>
      <c r="Y215" s="158">
        <f t="shared" ca="1" si="172"/>
        <v>0.34610868984858734</v>
      </c>
      <c r="Z215" s="4"/>
      <c r="AA215" s="159">
        <f t="shared" si="182"/>
        <v>5.55</v>
      </c>
      <c r="AB215" s="160"/>
      <c r="AC215" s="100">
        <f>VLOOKUP($A215,[1]!CurveTable,MATCH($AC$4,[1]!CurveType,0))+$AC$9</f>
        <v>0.17</v>
      </c>
      <c r="AD215" s="100">
        <f>VLOOKUP($A215,[1]!CurveTable,MATCH($AD$4,[1]!CurveType,0))+$AD$9</f>
        <v>0.17500000000000002</v>
      </c>
      <c r="AE215" s="158">
        <f t="shared" ca="1" si="173"/>
        <v>0.17555717245260216</v>
      </c>
      <c r="AF215" s="4"/>
      <c r="AG215" s="52">
        <f ca="1">((Inputs!$F$20*(X215*AD215)*(A215-$C$3))+(Inputs!$F$19*W215*AC215*(DAY(EOMONTH(A215,0))/2)))/(AN215*Y215*AE215)</f>
        <v>0.74999984031372058</v>
      </c>
      <c r="AH215" s="4"/>
      <c r="AI215" s="18">
        <f>Inputs!$B$15</f>
        <v>0.06</v>
      </c>
      <c r="AJ215" s="46"/>
      <c r="AK215" s="18">
        <f t="shared" si="174"/>
        <v>0.91749999999999998</v>
      </c>
      <c r="AL215" s="46"/>
      <c r="AM215" s="62">
        <f t="shared" si="175"/>
        <v>44347</v>
      </c>
      <c r="AN215" s="63">
        <f t="shared" ca="1" si="176"/>
        <v>7154</v>
      </c>
      <c r="AO215" s="63">
        <f t="shared" si="203"/>
        <v>1</v>
      </c>
      <c r="AP215" s="19"/>
      <c r="AQ215" s="74">
        <f ca="1">_xll.SPRDOPT(U215,AA215,AI215,AX215,X215,AD215,AG215,AN215,AO215,0)</f>
        <v>0.8902735442844838</v>
      </c>
      <c r="AR215" s="47">
        <f t="shared" ca="1" si="183"/>
        <v>0</v>
      </c>
      <c r="AS215" s="135">
        <f t="shared" ca="1" si="184"/>
        <v>-2.7226455715516185E-2</v>
      </c>
      <c r="AU215" s="5">
        <f t="shared" si="204"/>
        <v>31</v>
      </c>
      <c r="AV215" s="148">
        <f t="shared" si="177"/>
        <v>44392</v>
      </c>
      <c r="AW215" s="41">
        <f t="shared" ca="1" si="178"/>
        <v>7199</v>
      </c>
      <c r="AX215" s="100">
        <f>VLOOKUP($A215,[1]!CurveTable,MATCH(AX$4,[1]!CurveType,0))</f>
        <v>6.1525347811852704E-2</v>
      </c>
      <c r="AY215" s="149">
        <f ca="1">1/(1+CHOOSE(F$3,(AX216+(Inputs!$B$14/10000))/2,(AX215+(Inputs!$B$14/10000))/2))^(2*AW215/365.25)</f>
        <v>0.30289372958367183</v>
      </c>
      <c r="AZ215" s="41">
        <f t="shared" si="205"/>
        <v>0</v>
      </c>
      <c r="BA215" s="72">
        <f t="shared" si="206"/>
        <v>0</v>
      </c>
      <c r="BC215" s="65">
        <f t="shared" ca="1" si="185"/>
        <v>0</v>
      </c>
      <c r="BD215" s="65">
        <f t="shared" ca="1" si="186"/>
        <v>0</v>
      </c>
      <c r="BE215" s="65">
        <f t="shared" ca="1" si="187"/>
        <v>0</v>
      </c>
      <c r="BF215" s="65">
        <f t="shared" ca="1" si="188"/>
        <v>0</v>
      </c>
      <c r="BG215" s="65">
        <f t="shared" ca="1" si="189"/>
        <v>0</v>
      </c>
      <c r="BH215" s="65">
        <f t="shared" ca="1" si="190"/>
        <v>0</v>
      </c>
      <c r="BI215" s="65">
        <f t="shared" ca="1" si="191"/>
        <v>0</v>
      </c>
      <c r="BJ215" s="65">
        <f t="shared" ca="1" si="192"/>
        <v>0</v>
      </c>
      <c r="BK215" s="65">
        <f t="shared" ca="1" si="193"/>
        <v>0</v>
      </c>
      <c r="BL215" s="65">
        <f t="shared" ca="1" si="194"/>
        <v>0</v>
      </c>
      <c r="BM215" s="65">
        <f t="shared" ca="1" si="195"/>
        <v>0</v>
      </c>
      <c r="BN215" s="65">
        <f t="shared" ca="1" si="196"/>
        <v>0</v>
      </c>
      <c r="BO215" s="65">
        <f t="shared" ca="1" si="197"/>
        <v>0</v>
      </c>
      <c r="BP215" s="65">
        <f t="shared" ca="1" si="198"/>
        <v>0</v>
      </c>
      <c r="BQ215" s="65">
        <f t="shared" ca="1" si="199"/>
        <v>0</v>
      </c>
      <c r="BR215" s="65">
        <f t="shared" ca="1" si="200"/>
        <v>0</v>
      </c>
      <c r="BS215" s="65">
        <f t="shared" ca="1" si="201"/>
        <v>0</v>
      </c>
      <c r="BT215" s="65">
        <f t="shared" ca="1" si="202"/>
        <v>0</v>
      </c>
      <c r="BU215" s="65">
        <f t="shared" ca="1" si="179"/>
        <v>0</v>
      </c>
    </row>
    <row r="216" spans="1:73">
      <c r="A216" s="42">
        <f t="shared" si="180"/>
        <v>44409</v>
      </c>
      <c r="B216" s="30">
        <f>Inputs!$B$8</f>
        <v>50000</v>
      </c>
      <c r="C216" s="17">
        <f t="shared" si="170"/>
        <v>0</v>
      </c>
      <c r="D216" s="17">
        <f t="shared" ca="1" si="171"/>
        <v>0</v>
      </c>
      <c r="E216" s="25">
        <f>VLOOKUP($A216,[1]!CurveTable,MATCH($E$4,[1]!CurveType,0))</f>
        <v>5.5105000000000004</v>
      </c>
      <c r="F216" s="31">
        <f>E216-Inputs!$B$16</f>
        <v>5.5655000000000001</v>
      </c>
      <c r="G216" s="43">
        <f t="shared" si="207"/>
        <v>5.5655000000000001</v>
      </c>
      <c r="H216" s="25">
        <f>VLOOKUP($A216,[1]!CurveTable,MATCH($H$4,[1]!CurveType,0))</f>
        <v>1</v>
      </c>
      <c r="I216" s="31">
        <f>H216+Inputs!$B$22</f>
        <v>1</v>
      </c>
      <c r="J216" s="44">
        <f t="shared" si="208"/>
        <v>1</v>
      </c>
      <c r="K216" s="25">
        <f>VLOOKUP($A216,[1]!CurveTable,MATCH($K$4,[1]!CurveType,0))</f>
        <v>0</v>
      </c>
      <c r="L216" s="31">
        <v>0</v>
      </c>
      <c r="M216" s="45">
        <f t="shared" si="209"/>
        <v>0</v>
      </c>
      <c r="N216" s="25">
        <f>VLOOKUP($A216,[1]!CurveTable,MATCH($N$4,[1]!CurveType,0))</f>
        <v>2.2499999999999999E-2</v>
      </c>
      <c r="O216" s="31">
        <f>N216+Inputs!$E$22</f>
        <v>2.2499999999999999E-2</v>
      </c>
      <c r="P216" s="45">
        <f t="shared" si="210"/>
        <v>2.2499999999999999E-2</v>
      </c>
      <c r="Q216" s="25">
        <f>VLOOKUP($A216,[1]!CurveTable,MATCH($Q$4,[1]!CurveType,0))</f>
        <v>0.01</v>
      </c>
      <c r="R216" s="31">
        <v>0</v>
      </c>
      <c r="S216" s="45">
        <f t="shared" si="211"/>
        <v>0</v>
      </c>
      <c r="T216" s="4"/>
      <c r="U216" s="159">
        <f t="shared" si="181"/>
        <v>6.5655000000000001</v>
      </c>
      <c r="V216" s="160"/>
      <c r="W216" s="100">
        <f>VLOOKUP($A216,[1]!CurveTable,MATCH($W$4,[1]!CurveType,0))+$W$9</f>
        <v>0.34</v>
      </c>
      <c r="X216" s="100">
        <f>VLOOKUP($A216,[1]!CurveTable,MATCH($X$4,[1]!CurveType,0))+$X$9</f>
        <v>0.34500000000000003</v>
      </c>
      <c r="Y216" s="158">
        <f t="shared" ca="1" si="172"/>
        <v>0.34612800167163982</v>
      </c>
      <c r="Z216" s="4"/>
      <c r="AA216" s="159">
        <f t="shared" si="182"/>
        <v>5.5880000000000001</v>
      </c>
      <c r="AB216" s="160"/>
      <c r="AC216" s="100">
        <f>VLOOKUP($A216,[1]!CurveTable,MATCH($AC$4,[1]!CurveType,0))+$AC$9</f>
        <v>0.17</v>
      </c>
      <c r="AD216" s="100">
        <f>VLOOKUP($A216,[1]!CurveTable,MATCH($AD$4,[1]!CurveType,0))+$AD$9</f>
        <v>0.17500000000000002</v>
      </c>
      <c r="AE216" s="158">
        <f t="shared" ca="1" si="173"/>
        <v>0.17556699033636242</v>
      </c>
      <c r="AF216" s="4"/>
      <c r="AG216" s="52">
        <f ca="1">((Inputs!$F$20*(X216*AD216)*(A216-$C$3))+(Inputs!$F$19*W216*AC216*(DAY(EOMONTH(A216,0))/2)))/(AN216*Y216*AE216)</f>
        <v>0.7499998409969183</v>
      </c>
      <c r="AH216" s="4"/>
      <c r="AI216" s="18">
        <f>Inputs!$B$15</f>
        <v>0.06</v>
      </c>
      <c r="AJ216" s="46"/>
      <c r="AK216" s="18">
        <f t="shared" si="174"/>
        <v>0.91749999999999998</v>
      </c>
      <c r="AL216" s="46"/>
      <c r="AM216" s="62">
        <f t="shared" si="175"/>
        <v>44377</v>
      </c>
      <c r="AN216" s="63">
        <f t="shared" ca="1" si="176"/>
        <v>7184</v>
      </c>
      <c r="AO216" s="63">
        <f t="shared" si="203"/>
        <v>1</v>
      </c>
      <c r="AP216" s="19"/>
      <c r="AQ216" s="74">
        <f ca="1">_xll.SPRDOPT(U216,AA216,AI216,AX216,X216,AD216,AG216,AN216,AO216,0)</f>
        <v>0.89076143110125872</v>
      </c>
      <c r="AR216" s="47">
        <f t="shared" ca="1" si="183"/>
        <v>0</v>
      </c>
      <c r="AS216" s="135">
        <f t="shared" ca="1" si="184"/>
        <v>-2.6738568898741266E-2</v>
      </c>
      <c r="AU216" s="5">
        <f t="shared" si="204"/>
        <v>31</v>
      </c>
      <c r="AV216" s="148">
        <f t="shared" si="177"/>
        <v>44423</v>
      </c>
      <c r="AW216" s="41">
        <f t="shared" ca="1" si="178"/>
        <v>7230</v>
      </c>
      <c r="AX216" s="100">
        <f>VLOOKUP($A216,[1]!CurveTable,MATCH(AX$4,[1]!CurveType,0))</f>
        <v>6.15835606393111E-2</v>
      </c>
      <c r="AY216" s="149">
        <f ca="1">1/(1+CHOOSE(F$3,(AX217+(Inputs!$B$14/10000))/2,(AX216+(Inputs!$B$14/10000))/2))^(2*AW216/365.25)</f>
        <v>0.30100322060227003</v>
      </c>
      <c r="AZ216" s="41">
        <f t="shared" si="205"/>
        <v>0</v>
      </c>
      <c r="BA216" s="72">
        <f t="shared" si="206"/>
        <v>0</v>
      </c>
      <c r="BC216" s="65">
        <f t="shared" ca="1" si="185"/>
        <v>0</v>
      </c>
      <c r="BD216" s="65">
        <f t="shared" ca="1" si="186"/>
        <v>0</v>
      </c>
      <c r="BE216" s="65">
        <f t="shared" ca="1" si="187"/>
        <v>0</v>
      </c>
      <c r="BF216" s="65">
        <f t="shared" ca="1" si="188"/>
        <v>0</v>
      </c>
      <c r="BG216" s="65">
        <f t="shared" ca="1" si="189"/>
        <v>0</v>
      </c>
      <c r="BH216" s="65">
        <f t="shared" ca="1" si="190"/>
        <v>0</v>
      </c>
      <c r="BI216" s="65">
        <f t="shared" ca="1" si="191"/>
        <v>0</v>
      </c>
      <c r="BJ216" s="65">
        <f t="shared" ca="1" si="192"/>
        <v>0</v>
      </c>
      <c r="BK216" s="65">
        <f t="shared" ca="1" si="193"/>
        <v>0</v>
      </c>
      <c r="BL216" s="65">
        <f t="shared" ca="1" si="194"/>
        <v>0</v>
      </c>
      <c r="BM216" s="65">
        <f t="shared" ca="1" si="195"/>
        <v>0</v>
      </c>
      <c r="BN216" s="65">
        <f t="shared" ca="1" si="196"/>
        <v>0</v>
      </c>
      <c r="BO216" s="65">
        <f t="shared" ca="1" si="197"/>
        <v>0</v>
      </c>
      <c r="BP216" s="65">
        <f t="shared" ca="1" si="198"/>
        <v>0</v>
      </c>
      <c r="BQ216" s="65">
        <f t="shared" ca="1" si="199"/>
        <v>0</v>
      </c>
      <c r="BR216" s="65">
        <f t="shared" ca="1" si="200"/>
        <v>0</v>
      </c>
      <c r="BS216" s="65">
        <f t="shared" ca="1" si="201"/>
        <v>0</v>
      </c>
      <c r="BT216" s="65">
        <f t="shared" ca="1" si="202"/>
        <v>0</v>
      </c>
      <c r="BU216" s="65">
        <f t="shared" ca="1" si="179"/>
        <v>0</v>
      </c>
    </row>
    <row r="217" spans="1:73">
      <c r="A217" s="42">
        <f t="shared" si="180"/>
        <v>44440</v>
      </c>
      <c r="B217" s="30">
        <f>Inputs!$B$8</f>
        <v>50000</v>
      </c>
      <c r="C217" s="17">
        <f t="shared" si="170"/>
        <v>0</v>
      </c>
      <c r="D217" s="17">
        <f t="shared" ca="1" si="171"/>
        <v>0</v>
      </c>
      <c r="E217" s="25">
        <f>VLOOKUP($A217,[1]!CurveTable,MATCH($E$4,[1]!CurveType,0))</f>
        <v>5.5045000000000002</v>
      </c>
      <c r="F217" s="31">
        <f>E217-Inputs!$B$16</f>
        <v>5.5594999999999999</v>
      </c>
      <c r="G217" s="43">
        <f t="shared" si="207"/>
        <v>5.5594999999999999</v>
      </c>
      <c r="H217" s="25">
        <f>VLOOKUP($A217,[1]!CurveTable,MATCH($H$4,[1]!CurveType,0))</f>
        <v>0.6</v>
      </c>
      <c r="I217" s="31">
        <f>H217+Inputs!$B$22</f>
        <v>0.6</v>
      </c>
      <c r="J217" s="44">
        <f t="shared" si="208"/>
        <v>0.6</v>
      </c>
      <c r="K217" s="25">
        <f>VLOOKUP($A217,[1]!CurveTable,MATCH($K$4,[1]!CurveType,0))</f>
        <v>0</v>
      </c>
      <c r="L217" s="31">
        <v>0</v>
      </c>
      <c r="M217" s="45">
        <f t="shared" si="209"/>
        <v>0</v>
      </c>
      <c r="N217" s="25">
        <f>VLOOKUP($A217,[1]!CurveTable,MATCH($N$4,[1]!CurveType,0))</f>
        <v>2.2499999999999999E-2</v>
      </c>
      <c r="O217" s="31">
        <f>N217+Inputs!$E$22</f>
        <v>2.2499999999999999E-2</v>
      </c>
      <c r="P217" s="45">
        <f t="shared" si="210"/>
        <v>2.2499999999999999E-2</v>
      </c>
      <c r="Q217" s="25">
        <f>VLOOKUP($A217,[1]!CurveTable,MATCH($Q$4,[1]!CurveType,0))</f>
        <v>0.01</v>
      </c>
      <c r="R217" s="31">
        <v>0</v>
      </c>
      <c r="S217" s="45">
        <f t="shared" si="211"/>
        <v>0</v>
      </c>
      <c r="T217" s="4"/>
      <c r="U217" s="159">
        <f t="shared" si="181"/>
        <v>6.1594999999999995</v>
      </c>
      <c r="V217" s="160"/>
      <c r="W217" s="100">
        <f>VLOOKUP($A217,[1]!CurveTable,MATCH($W$4,[1]!CurveType,0))+$W$9</f>
        <v>0.34</v>
      </c>
      <c r="X217" s="100">
        <f>VLOOKUP($A217,[1]!CurveTable,MATCH($X$4,[1]!CurveType,0))+$X$9</f>
        <v>0.34500000000000003</v>
      </c>
      <c r="Y217" s="158">
        <f t="shared" ca="1" si="172"/>
        <v>0.34611159016743848</v>
      </c>
      <c r="Z217" s="4"/>
      <c r="AA217" s="159">
        <f t="shared" si="182"/>
        <v>5.5819999999999999</v>
      </c>
      <c r="AB217" s="160"/>
      <c r="AC217" s="100">
        <f>VLOOKUP($A217,[1]!CurveTable,MATCH($AC$4,[1]!CurveType,0))+$AC$9</f>
        <v>0.17</v>
      </c>
      <c r="AD217" s="100">
        <f>VLOOKUP($A217,[1]!CurveTable,MATCH($AD$4,[1]!CurveType,0))+$AD$9</f>
        <v>0.17500000000000002</v>
      </c>
      <c r="AE217" s="158">
        <f t="shared" ca="1" si="173"/>
        <v>0.17555885422248377</v>
      </c>
      <c r="AF217" s="4"/>
      <c r="AG217" s="52">
        <f ca="1">((Inputs!$F$20*(X217*AD217)*(A217-$C$3))+(Inputs!$F$19*W217*AC217*(DAY(EOMONTH(A217,0))/2)))/(AN217*Y217*AE217)</f>
        <v>0.74999984676137299</v>
      </c>
      <c r="AH217" s="4"/>
      <c r="AI217" s="18">
        <f>Inputs!$B$15</f>
        <v>0.06</v>
      </c>
      <c r="AJ217" s="46"/>
      <c r="AK217" s="18">
        <f t="shared" si="174"/>
        <v>0.51749999999999963</v>
      </c>
      <c r="AL217" s="46"/>
      <c r="AM217" s="62">
        <f t="shared" si="175"/>
        <v>44408</v>
      </c>
      <c r="AN217" s="63">
        <f t="shared" ca="1" si="176"/>
        <v>7215</v>
      </c>
      <c r="AO217" s="63">
        <f t="shared" si="203"/>
        <v>1</v>
      </c>
      <c r="AP217" s="19"/>
      <c r="AQ217" s="74">
        <f ca="1">_xll.SPRDOPT(U217,AA217,AI217,AX217,X217,AD217,AG217,AN217,AO217,0)</f>
        <v>0.79787737894733723</v>
      </c>
      <c r="AR217" s="47">
        <f t="shared" ca="1" si="183"/>
        <v>0</v>
      </c>
      <c r="AS217" s="135">
        <f t="shared" ca="1" si="184"/>
        <v>0.28037737894733761</v>
      </c>
      <c r="AU217" s="5">
        <f t="shared" si="204"/>
        <v>30</v>
      </c>
      <c r="AV217" s="148">
        <f t="shared" si="177"/>
        <v>44454</v>
      </c>
      <c r="AW217" s="41">
        <f t="shared" ca="1" si="178"/>
        <v>7261</v>
      </c>
      <c r="AX217" s="100">
        <f>VLOOKUP($A217,[1]!CurveTable,MATCH(AX$4,[1]!CurveType,0))</f>
        <v>6.16417734678949E-2</v>
      </c>
      <c r="AY217" s="149">
        <f ca="1">1/(1+CHOOSE(F$3,(AX218+(Inputs!$B$14/10000))/2,(AX217+(Inputs!$B$14/10000))/2))^(2*AW217/365.25)</f>
        <v>0.29912165318255041</v>
      </c>
      <c r="AZ217" s="41">
        <f t="shared" si="205"/>
        <v>0</v>
      </c>
      <c r="BA217" s="72">
        <f t="shared" si="206"/>
        <v>0</v>
      </c>
      <c r="BC217" s="65">
        <f t="shared" ca="1" si="185"/>
        <v>0</v>
      </c>
      <c r="BD217" s="65">
        <f t="shared" ca="1" si="186"/>
        <v>0</v>
      </c>
      <c r="BE217" s="65">
        <f t="shared" ca="1" si="187"/>
        <v>0</v>
      </c>
      <c r="BF217" s="65">
        <f t="shared" ca="1" si="188"/>
        <v>0</v>
      </c>
      <c r="BG217" s="65">
        <f t="shared" ca="1" si="189"/>
        <v>0</v>
      </c>
      <c r="BH217" s="65">
        <f t="shared" ca="1" si="190"/>
        <v>0</v>
      </c>
      <c r="BI217" s="65">
        <f t="shared" ca="1" si="191"/>
        <v>0</v>
      </c>
      <c r="BJ217" s="65">
        <f t="shared" ca="1" si="192"/>
        <v>0</v>
      </c>
      <c r="BK217" s="65">
        <f t="shared" ca="1" si="193"/>
        <v>0</v>
      </c>
      <c r="BL217" s="65">
        <f t="shared" ca="1" si="194"/>
        <v>0</v>
      </c>
      <c r="BM217" s="65">
        <f t="shared" ca="1" si="195"/>
        <v>0</v>
      </c>
      <c r="BN217" s="65">
        <f t="shared" ca="1" si="196"/>
        <v>0</v>
      </c>
      <c r="BO217" s="65">
        <f t="shared" ca="1" si="197"/>
        <v>0</v>
      </c>
      <c r="BP217" s="65">
        <f t="shared" ca="1" si="198"/>
        <v>0</v>
      </c>
      <c r="BQ217" s="65">
        <f t="shared" ca="1" si="199"/>
        <v>0</v>
      </c>
      <c r="BR217" s="65">
        <f t="shared" ca="1" si="200"/>
        <v>0</v>
      </c>
      <c r="BS217" s="65">
        <f t="shared" ca="1" si="201"/>
        <v>0</v>
      </c>
      <c r="BT217" s="65">
        <f t="shared" ca="1" si="202"/>
        <v>0</v>
      </c>
      <c r="BU217" s="65">
        <f t="shared" ca="1" si="179"/>
        <v>0</v>
      </c>
    </row>
    <row r="218" spans="1:73">
      <c r="A218" s="42">
        <f t="shared" si="180"/>
        <v>44470</v>
      </c>
      <c r="B218" s="30">
        <f>Inputs!$B$8</f>
        <v>50000</v>
      </c>
      <c r="C218" s="17">
        <f t="shared" si="170"/>
        <v>0</v>
      </c>
      <c r="D218" s="17">
        <f t="shared" ca="1" si="171"/>
        <v>0</v>
      </c>
      <c r="E218" s="25">
        <f>VLOOKUP($A218,[1]!CurveTable,MATCH($E$4,[1]!CurveType,0))</f>
        <v>5.5045000000000002</v>
      </c>
      <c r="F218" s="31">
        <f>E218-Inputs!$B$16</f>
        <v>5.5594999999999999</v>
      </c>
      <c r="G218" s="43">
        <f t="shared" si="207"/>
        <v>5.5594999999999999</v>
      </c>
      <c r="H218" s="25">
        <f>VLOOKUP($A218,[1]!CurveTable,MATCH($H$4,[1]!CurveType,0))</f>
        <v>0.3</v>
      </c>
      <c r="I218" s="31">
        <f>H218+Inputs!$B$22</f>
        <v>0.3</v>
      </c>
      <c r="J218" s="44">
        <f t="shared" si="208"/>
        <v>0.3</v>
      </c>
      <c r="K218" s="25">
        <f>VLOOKUP($A218,[1]!CurveTable,MATCH($K$4,[1]!CurveType,0))</f>
        <v>0</v>
      </c>
      <c r="L218" s="31">
        <v>0</v>
      </c>
      <c r="M218" s="45">
        <f t="shared" si="209"/>
        <v>0</v>
      </c>
      <c r="N218" s="25">
        <f>VLOOKUP($A218,[1]!CurveTable,MATCH($N$4,[1]!CurveType,0))</f>
        <v>2.1000000000000001E-2</v>
      </c>
      <c r="O218" s="31">
        <f>N218+Inputs!$E$22</f>
        <v>2.1000000000000001E-2</v>
      </c>
      <c r="P218" s="45">
        <f t="shared" si="210"/>
        <v>2.1000000000000001E-2</v>
      </c>
      <c r="Q218" s="25">
        <f>VLOOKUP($A218,[1]!CurveTable,MATCH($Q$4,[1]!CurveType,0))</f>
        <v>0.01</v>
      </c>
      <c r="R218" s="31">
        <v>0</v>
      </c>
      <c r="S218" s="45">
        <f t="shared" si="211"/>
        <v>0</v>
      </c>
      <c r="T218" s="4"/>
      <c r="U218" s="159">
        <f t="shared" si="181"/>
        <v>5.8594999999999997</v>
      </c>
      <c r="V218" s="160"/>
      <c r="W218" s="100">
        <f>VLOOKUP($A218,[1]!CurveTable,MATCH($W$4,[1]!CurveType,0))+$W$9</f>
        <v>0.17</v>
      </c>
      <c r="X218" s="100">
        <f>VLOOKUP($A218,[1]!CurveTable,MATCH($X$4,[1]!CurveType,0))+$X$9</f>
        <v>0.17500000000000002</v>
      </c>
      <c r="Y218" s="158">
        <f t="shared" ca="1" si="172"/>
        <v>0.17555010930707404</v>
      </c>
      <c r="Z218" s="4"/>
      <c r="AA218" s="159">
        <f t="shared" si="182"/>
        <v>5.5804999999999998</v>
      </c>
      <c r="AB218" s="160"/>
      <c r="AC218" s="100">
        <f>VLOOKUP($A218,[1]!CurveTable,MATCH($AC$4,[1]!CurveType,0))+$AC$9</f>
        <v>0.17</v>
      </c>
      <c r="AD218" s="100">
        <f>VLOOKUP($A218,[1]!CurveTable,MATCH($AD$4,[1]!CurveType,0))+$AD$9</f>
        <v>0.17500000000000002</v>
      </c>
      <c r="AE218" s="158">
        <f t="shared" ca="1" si="173"/>
        <v>0.17555010930707404</v>
      </c>
      <c r="AF218" s="4"/>
      <c r="AG218" s="52">
        <f ca="1">((Inputs!$F$20*(X218*AD218)*(A218-$C$3))+(Inputs!$F$19*W218*AC218*(DAY(EOMONTH(A218,0))/2)))/(AN218*Y218*AE218)</f>
        <v>0.75000000000000011</v>
      </c>
      <c r="AH218" s="4"/>
      <c r="AI218" s="18">
        <f>Inputs!$B$15</f>
        <v>0.06</v>
      </c>
      <c r="AJ218" s="46"/>
      <c r="AK218" s="18">
        <f t="shared" si="174"/>
        <v>0.21899999999999992</v>
      </c>
      <c r="AL218" s="46"/>
      <c r="AM218" s="62">
        <f t="shared" si="175"/>
        <v>44439</v>
      </c>
      <c r="AN218" s="63">
        <f t="shared" ca="1" si="176"/>
        <v>7246</v>
      </c>
      <c r="AO218" s="63">
        <f t="shared" si="203"/>
        <v>1</v>
      </c>
      <c r="AP218" s="19"/>
      <c r="AQ218" s="74">
        <f ca="1">_xll.SPRDOPT(U218,AA218,AI218,AX218,X218,AD218,AG218,AN218,AO218,0)</f>
        <v>0.39829547633375434</v>
      </c>
      <c r="AR218" s="47">
        <f t="shared" ca="1" si="183"/>
        <v>0</v>
      </c>
      <c r="AS218" s="135">
        <f t="shared" ca="1" si="184"/>
        <v>0.17929547633375442</v>
      </c>
      <c r="AU218" s="5">
        <f t="shared" si="204"/>
        <v>31</v>
      </c>
      <c r="AV218" s="148">
        <f t="shared" si="177"/>
        <v>44484</v>
      </c>
      <c r="AW218" s="41">
        <f t="shared" ca="1" si="178"/>
        <v>7291</v>
      </c>
      <c r="AX218" s="100">
        <f>VLOOKUP($A218,[1]!CurveTable,MATCH(AX$4,[1]!CurveType,0))</f>
        <v>6.1698108464369301E-2</v>
      </c>
      <c r="AY218" s="149">
        <f ca="1">1/(1+CHOOSE(F$3,(AX219+(Inputs!$B$14/10000))/2,(AX218+(Inputs!$B$14/10000))/2))^(2*AW218/365.25)</f>
        <v>0.29730927627241954</v>
      </c>
      <c r="AZ218" s="41">
        <f t="shared" si="205"/>
        <v>0</v>
      </c>
      <c r="BA218" s="72">
        <f t="shared" si="206"/>
        <v>0</v>
      </c>
      <c r="BC218" s="65">
        <f t="shared" ca="1" si="185"/>
        <v>0</v>
      </c>
      <c r="BD218" s="65">
        <f t="shared" ca="1" si="186"/>
        <v>0</v>
      </c>
      <c r="BE218" s="65">
        <f t="shared" ca="1" si="187"/>
        <v>0</v>
      </c>
      <c r="BF218" s="65">
        <f t="shared" ca="1" si="188"/>
        <v>0</v>
      </c>
      <c r="BG218" s="65">
        <f t="shared" ca="1" si="189"/>
        <v>0</v>
      </c>
      <c r="BH218" s="65">
        <f t="shared" ca="1" si="190"/>
        <v>0</v>
      </c>
      <c r="BI218" s="65">
        <f t="shared" ca="1" si="191"/>
        <v>0</v>
      </c>
      <c r="BJ218" s="65">
        <f t="shared" ca="1" si="192"/>
        <v>0</v>
      </c>
      <c r="BK218" s="65">
        <f t="shared" ca="1" si="193"/>
        <v>0</v>
      </c>
      <c r="BL218" s="65">
        <f t="shared" ca="1" si="194"/>
        <v>0</v>
      </c>
      <c r="BM218" s="65">
        <f t="shared" ca="1" si="195"/>
        <v>0</v>
      </c>
      <c r="BN218" s="65">
        <f t="shared" ca="1" si="196"/>
        <v>0</v>
      </c>
      <c r="BO218" s="65">
        <f t="shared" ca="1" si="197"/>
        <v>0</v>
      </c>
      <c r="BP218" s="65">
        <f t="shared" ca="1" si="198"/>
        <v>0</v>
      </c>
      <c r="BQ218" s="65">
        <f t="shared" ca="1" si="199"/>
        <v>0</v>
      </c>
      <c r="BR218" s="65">
        <f t="shared" ca="1" si="200"/>
        <v>0</v>
      </c>
      <c r="BS218" s="65">
        <f t="shared" ca="1" si="201"/>
        <v>0</v>
      </c>
      <c r="BT218" s="65">
        <f t="shared" ca="1" si="202"/>
        <v>0</v>
      </c>
      <c r="BU218" s="65">
        <f t="shared" ca="1" si="179"/>
        <v>0</v>
      </c>
    </row>
    <row r="219" spans="1:73">
      <c r="A219" s="42">
        <f t="shared" si="180"/>
        <v>44501</v>
      </c>
      <c r="B219" s="30">
        <f>Inputs!$B$8</f>
        <v>50000</v>
      </c>
      <c r="C219" s="17">
        <f t="shared" si="170"/>
        <v>0</v>
      </c>
      <c r="D219" s="17">
        <f t="shared" ca="1" si="171"/>
        <v>0</v>
      </c>
      <c r="E219" s="25">
        <f>VLOOKUP($A219,[1]!CurveTable,MATCH($E$4,[1]!CurveType,0))</f>
        <v>5.6524999999999999</v>
      </c>
      <c r="F219" s="31">
        <f>E219-Inputs!$B$16</f>
        <v>5.7074999999999996</v>
      </c>
      <c r="G219" s="43">
        <f t="shared" si="207"/>
        <v>5.7074999999999996</v>
      </c>
      <c r="H219" s="25">
        <f>VLOOKUP($A219,[1]!CurveTable,MATCH($H$4,[1]!CurveType,0))</f>
        <v>0.23</v>
      </c>
      <c r="I219" s="31">
        <f>H219+Inputs!$B$22</f>
        <v>0.23</v>
      </c>
      <c r="J219" s="44">
        <f t="shared" si="208"/>
        <v>0.23</v>
      </c>
      <c r="K219" s="25">
        <f>VLOOKUP($A219,[1]!CurveTable,MATCH($K$4,[1]!CurveType,0))</f>
        <v>0</v>
      </c>
      <c r="L219" s="31">
        <v>0</v>
      </c>
      <c r="M219" s="45">
        <f t="shared" si="209"/>
        <v>0</v>
      </c>
      <c r="N219" s="25">
        <f>VLOOKUP($A219,[1]!CurveTable,MATCH($N$4,[1]!CurveType,0))</f>
        <v>2.2000000000000002E-2</v>
      </c>
      <c r="O219" s="31">
        <f>N219+Inputs!$E$22</f>
        <v>2.2000000000000002E-2</v>
      </c>
      <c r="P219" s="45">
        <f t="shared" si="210"/>
        <v>2.2000000000000002E-2</v>
      </c>
      <c r="Q219" s="25">
        <f>VLOOKUP($A219,[1]!CurveTable,MATCH($Q$4,[1]!CurveType,0))</f>
        <v>7.4999999999999997E-3</v>
      </c>
      <c r="R219" s="31">
        <v>0</v>
      </c>
      <c r="S219" s="45">
        <f t="shared" si="211"/>
        <v>0</v>
      </c>
      <c r="T219" s="4"/>
      <c r="U219" s="159">
        <f t="shared" si="181"/>
        <v>5.9375</v>
      </c>
      <c r="V219" s="160"/>
      <c r="W219" s="100">
        <f>VLOOKUP($A219,[1]!CurveTable,MATCH($W$4,[1]!CurveType,0))+$W$9</f>
        <v>0.17</v>
      </c>
      <c r="X219" s="100">
        <f>VLOOKUP($A219,[1]!CurveTable,MATCH($X$4,[1]!CurveType,0))+$X$9</f>
        <v>0.17500000000000002</v>
      </c>
      <c r="Y219" s="158">
        <f t="shared" ca="1" si="172"/>
        <v>0.17555417633604431</v>
      </c>
      <c r="Z219" s="4"/>
      <c r="AA219" s="159">
        <f t="shared" si="182"/>
        <v>5.7294999999999998</v>
      </c>
      <c r="AB219" s="160"/>
      <c r="AC219" s="100">
        <f>VLOOKUP($A219,[1]!CurveTable,MATCH($AC$4,[1]!CurveType,0))+$AC$9</f>
        <v>0.17</v>
      </c>
      <c r="AD219" s="100">
        <f>VLOOKUP($A219,[1]!CurveTable,MATCH($AD$4,[1]!CurveType,0))+$AD$9</f>
        <v>0.17500000000000002</v>
      </c>
      <c r="AE219" s="158">
        <f t="shared" ca="1" si="173"/>
        <v>0.17555417633604431</v>
      </c>
      <c r="AF219" s="4"/>
      <c r="AG219" s="52">
        <f ca="1">((Inputs!$F$20*(X219*AD219)*(A219-$C$3))+(Inputs!$F$19*W219*AC219*(DAY(EOMONTH(A219,0))/2)))/(AN219*Y219*AE219)</f>
        <v>0.75000000000000011</v>
      </c>
      <c r="AH219" s="4"/>
      <c r="AI219" s="18">
        <f>Inputs!$B$15</f>
        <v>0.06</v>
      </c>
      <c r="AJ219" s="46"/>
      <c r="AK219" s="18">
        <f t="shared" si="174"/>
        <v>0.14800000000000019</v>
      </c>
      <c r="AL219" s="46"/>
      <c r="AM219" s="62">
        <f t="shared" si="175"/>
        <v>44469</v>
      </c>
      <c r="AN219" s="63">
        <f t="shared" ca="1" si="176"/>
        <v>7276</v>
      </c>
      <c r="AO219" s="63">
        <f t="shared" si="203"/>
        <v>1</v>
      </c>
      <c r="AP219" s="19"/>
      <c r="AQ219" s="74">
        <f ca="1">_xll.SPRDOPT(U219,AA219,AI219,AX219,X219,AD219,AG219,AN219,AO219,0)</f>
        <v>0.39302695697375178</v>
      </c>
      <c r="AR219" s="47">
        <f t="shared" ca="1" si="183"/>
        <v>0</v>
      </c>
      <c r="AS219" s="135">
        <f t="shared" ca="1" si="184"/>
        <v>0.2450269569737516</v>
      </c>
      <c r="AU219" s="5">
        <f t="shared" si="204"/>
        <v>30</v>
      </c>
      <c r="AV219" s="148">
        <f t="shared" si="177"/>
        <v>44515</v>
      </c>
      <c r="AW219" s="41">
        <f t="shared" ca="1" si="178"/>
        <v>7322</v>
      </c>
      <c r="AX219" s="100">
        <f>VLOOKUP($A219,[1]!CurveTable,MATCH(AX$4,[1]!CurveType,0))</f>
        <v>6.1743933775458198E-2</v>
      </c>
      <c r="AY219" s="149">
        <f ca="1">1/(1+CHOOSE(F$3,(AX220+(Inputs!$B$14/10000))/2,(AX219+(Inputs!$B$14/10000))/2))^(2*AW219/365.25)</f>
        <v>0.29551642344206391</v>
      </c>
      <c r="AZ219" s="41">
        <f t="shared" si="205"/>
        <v>0</v>
      </c>
      <c r="BA219" s="72">
        <f t="shared" si="206"/>
        <v>0</v>
      </c>
      <c r="BC219" s="65">
        <f t="shared" ca="1" si="185"/>
        <v>0</v>
      </c>
      <c r="BD219" s="65">
        <f t="shared" ca="1" si="186"/>
        <v>0</v>
      </c>
      <c r="BE219" s="65">
        <f t="shared" ca="1" si="187"/>
        <v>0</v>
      </c>
      <c r="BF219" s="65">
        <f t="shared" ca="1" si="188"/>
        <v>0</v>
      </c>
      <c r="BG219" s="65">
        <f t="shared" ca="1" si="189"/>
        <v>0</v>
      </c>
      <c r="BH219" s="65">
        <f t="shared" ca="1" si="190"/>
        <v>0</v>
      </c>
      <c r="BI219" s="65">
        <f t="shared" ca="1" si="191"/>
        <v>0</v>
      </c>
      <c r="BJ219" s="65">
        <f t="shared" ca="1" si="192"/>
        <v>0</v>
      </c>
      <c r="BK219" s="65">
        <f t="shared" ca="1" si="193"/>
        <v>0</v>
      </c>
      <c r="BL219" s="65">
        <f t="shared" ca="1" si="194"/>
        <v>0</v>
      </c>
      <c r="BM219" s="65">
        <f t="shared" ca="1" si="195"/>
        <v>0</v>
      </c>
      <c r="BN219" s="65">
        <f t="shared" ca="1" si="196"/>
        <v>0</v>
      </c>
      <c r="BO219" s="65">
        <f t="shared" ca="1" si="197"/>
        <v>0</v>
      </c>
      <c r="BP219" s="65">
        <f t="shared" ca="1" si="198"/>
        <v>0</v>
      </c>
      <c r="BQ219" s="65">
        <f t="shared" ca="1" si="199"/>
        <v>0</v>
      </c>
      <c r="BR219" s="65">
        <f t="shared" ca="1" si="200"/>
        <v>0</v>
      </c>
      <c r="BS219" s="65">
        <f t="shared" ca="1" si="201"/>
        <v>0</v>
      </c>
      <c r="BT219" s="65">
        <f t="shared" ca="1" si="202"/>
        <v>0</v>
      </c>
      <c r="BU219" s="65">
        <f t="shared" ca="1" si="179"/>
        <v>0</v>
      </c>
    </row>
    <row r="220" spans="1:73">
      <c r="A220" s="42">
        <f t="shared" si="180"/>
        <v>44531</v>
      </c>
      <c r="B220" s="30">
        <f>Inputs!$B$8</f>
        <v>50000</v>
      </c>
      <c r="C220" s="17">
        <f t="shared" si="170"/>
        <v>0</v>
      </c>
      <c r="D220" s="17">
        <f t="shared" ca="1" si="171"/>
        <v>0</v>
      </c>
      <c r="E220" s="25">
        <f>VLOOKUP($A220,[1]!CurveTable,MATCH($E$4,[1]!CurveType,0))</f>
        <v>5.8045</v>
      </c>
      <c r="F220" s="31">
        <f>E220-Inputs!$B$16</f>
        <v>5.8594999999999997</v>
      </c>
      <c r="G220" s="43">
        <f t="shared" si="207"/>
        <v>5.8594999999999997</v>
      </c>
      <c r="H220" s="25">
        <f>VLOOKUP($A220,[1]!CurveTable,MATCH($H$4,[1]!CurveType,0))</f>
        <v>0.26</v>
      </c>
      <c r="I220" s="31">
        <f>H220+Inputs!$B$22</f>
        <v>0.26</v>
      </c>
      <c r="J220" s="44">
        <f t="shared" si="208"/>
        <v>0.26</v>
      </c>
      <c r="K220" s="25">
        <f>VLOOKUP($A220,[1]!CurveTable,MATCH($K$4,[1]!CurveType,0))</f>
        <v>0</v>
      </c>
      <c r="L220" s="31">
        <v>0</v>
      </c>
      <c r="M220" s="45">
        <f t="shared" si="209"/>
        <v>0</v>
      </c>
      <c r="N220" s="25">
        <f>VLOOKUP($A220,[1]!CurveTable,MATCH($N$4,[1]!CurveType,0))</f>
        <v>2.2000000000000002E-2</v>
      </c>
      <c r="O220" s="31">
        <f>N220+Inputs!$E$22</f>
        <v>2.2000000000000002E-2</v>
      </c>
      <c r="P220" s="45">
        <f t="shared" si="210"/>
        <v>2.2000000000000002E-2</v>
      </c>
      <c r="Q220" s="25">
        <f>VLOOKUP($A220,[1]!CurveTable,MATCH($Q$4,[1]!CurveType,0))</f>
        <v>7.4999999999999997E-3</v>
      </c>
      <c r="R220" s="31">
        <v>0</v>
      </c>
      <c r="S220" s="45">
        <f t="shared" si="211"/>
        <v>0</v>
      </c>
      <c r="T220" s="4"/>
      <c r="U220" s="159">
        <f t="shared" si="181"/>
        <v>6.1194999999999995</v>
      </c>
      <c r="V220" s="160"/>
      <c r="W220" s="100">
        <f>VLOOKUP($A220,[1]!CurveTable,MATCH($W$4,[1]!CurveType,0))+$W$9</f>
        <v>0.17</v>
      </c>
      <c r="X220" s="100">
        <f>VLOOKUP($A220,[1]!CurveTable,MATCH($X$4,[1]!CurveType,0))+$X$9</f>
        <v>0.17500000000000002</v>
      </c>
      <c r="Y220" s="158">
        <f t="shared" ca="1" si="172"/>
        <v>0.17554552404250864</v>
      </c>
      <c r="Z220" s="4"/>
      <c r="AA220" s="159">
        <f t="shared" si="182"/>
        <v>5.8815</v>
      </c>
      <c r="AB220" s="160"/>
      <c r="AC220" s="100">
        <f>VLOOKUP($A220,[1]!CurveTable,MATCH($AC$4,[1]!CurveType,0))+$AC$9</f>
        <v>0.17</v>
      </c>
      <c r="AD220" s="100">
        <f>VLOOKUP($A220,[1]!CurveTable,MATCH($AD$4,[1]!CurveType,0))+$AD$9</f>
        <v>0.17500000000000002</v>
      </c>
      <c r="AE220" s="158">
        <f t="shared" ca="1" si="173"/>
        <v>0.17554552404250864</v>
      </c>
      <c r="AF220" s="4"/>
      <c r="AG220" s="52">
        <f ca="1">((Inputs!$F$20*(X220*AD220)*(A220-$C$3))+(Inputs!$F$19*W220*AC220*(DAY(EOMONTH(A220,0))/2)))/(AN220*Y220*AE220)</f>
        <v>0.74999999999999967</v>
      </c>
      <c r="AH220" s="4"/>
      <c r="AI220" s="18">
        <f>Inputs!$B$15</f>
        <v>0.06</v>
      </c>
      <c r="AJ220" s="46"/>
      <c r="AK220" s="18">
        <f t="shared" si="174"/>
        <v>0.17799999999999955</v>
      </c>
      <c r="AL220" s="46"/>
      <c r="AM220" s="62">
        <f t="shared" si="175"/>
        <v>44500</v>
      </c>
      <c r="AN220" s="63">
        <f t="shared" ca="1" si="176"/>
        <v>7307</v>
      </c>
      <c r="AO220" s="63">
        <f t="shared" si="203"/>
        <v>1</v>
      </c>
      <c r="AP220" s="19"/>
      <c r="AQ220" s="74">
        <f ca="1">_xll.SPRDOPT(U220,AA220,AI220,AX220,X220,AD220,AG220,AN220,AO220,0)</f>
        <v>0.40680981480644052</v>
      </c>
      <c r="AR220" s="47">
        <f t="shared" ca="1" si="183"/>
        <v>0</v>
      </c>
      <c r="AS220" s="135">
        <f t="shared" ca="1" si="184"/>
        <v>0.22880981480644097</v>
      </c>
      <c r="AU220" s="5">
        <f t="shared" si="204"/>
        <v>31</v>
      </c>
      <c r="AV220" s="148">
        <f t="shared" si="177"/>
        <v>44545</v>
      </c>
      <c r="AW220" s="41">
        <f t="shared" ca="1" si="178"/>
        <v>7352</v>
      </c>
      <c r="AX220" s="100">
        <f>VLOOKUP($A220,[1]!CurveTable,MATCH(AX$4,[1]!CurveType,0))</f>
        <v>6.1747179403248705E-2</v>
      </c>
      <c r="AY220" s="149">
        <f ca="1">1/(1+CHOOSE(F$3,(AX221+(Inputs!$B$14/10000))/2,(AX220+(Inputs!$B$14/10000))/2))^(2*AW220/365.25)</f>
        <v>0.29402546423540526</v>
      </c>
      <c r="AZ220" s="41">
        <f t="shared" si="205"/>
        <v>0</v>
      </c>
      <c r="BA220" s="72">
        <f t="shared" si="206"/>
        <v>0</v>
      </c>
      <c r="BC220" s="65">
        <f t="shared" ca="1" si="185"/>
        <v>0</v>
      </c>
      <c r="BD220" s="65">
        <f t="shared" ca="1" si="186"/>
        <v>0</v>
      </c>
      <c r="BE220" s="65">
        <f t="shared" ca="1" si="187"/>
        <v>0</v>
      </c>
      <c r="BF220" s="65">
        <f t="shared" ca="1" si="188"/>
        <v>0</v>
      </c>
      <c r="BG220" s="65">
        <f t="shared" ca="1" si="189"/>
        <v>0</v>
      </c>
      <c r="BH220" s="65">
        <f t="shared" ca="1" si="190"/>
        <v>0</v>
      </c>
      <c r="BI220" s="65">
        <f t="shared" ca="1" si="191"/>
        <v>0</v>
      </c>
      <c r="BJ220" s="65">
        <f t="shared" ca="1" si="192"/>
        <v>0</v>
      </c>
      <c r="BK220" s="65">
        <f t="shared" ca="1" si="193"/>
        <v>0</v>
      </c>
      <c r="BL220" s="65">
        <f t="shared" ca="1" si="194"/>
        <v>0</v>
      </c>
      <c r="BM220" s="65">
        <f t="shared" ca="1" si="195"/>
        <v>0</v>
      </c>
      <c r="BN220" s="65">
        <f t="shared" ca="1" si="196"/>
        <v>0</v>
      </c>
      <c r="BO220" s="65">
        <f t="shared" ca="1" si="197"/>
        <v>0</v>
      </c>
      <c r="BP220" s="65">
        <f t="shared" ca="1" si="198"/>
        <v>0</v>
      </c>
      <c r="BQ220" s="65">
        <f t="shared" ca="1" si="199"/>
        <v>0</v>
      </c>
      <c r="BR220" s="65">
        <f t="shared" ca="1" si="200"/>
        <v>0</v>
      </c>
      <c r="BS220" s="65">
        <f t="shared" ca="1" si="201"/>
        <v>0</v>
      </c>
      <c r="BT220" s="65">
        <f t="shared" ca="1" si="202"/>
        <v>0</v>
      </c>
      <c r="BU220" s="65">
        <f t="shared" ca="1" si="179"/>
        <v>0</v>
      </c>
    </row>
    <row r="221" spans="1:73">
      <c r="A221" s="42">
        <f t="shared" si="180"/>
        <v>44562</v>
      </c>
      <c r="B221" s="30">
        <f>Inputs!$B$8</f>
        <v>50000</v>
      </c>
      <c r="C221" s="17">
        <f t="shared" si="170"/>
        <v>0</v>
      </c>
      <c r="D221" s="17">
        <f t="shared" ca="1" si="171"/>
        <v>0</v>
      </c>
      <c r="E221" s="25">
        <f>VLOOKUP($A221,[1]!CurveTable,MATCH($E$4,[1]!CurveType,0))</f>
        <v>5.8820000000000006</v>
      </c>
      <c r="F221" s="31">
        <f>E221-Inputs!$B$16</f>
        <v>5.9370000000000003</v>
      </c>
      <c r="G221" s="43">
        <f t="shared" si="207"/>
        <v>5.9370000000000003</v>
      </c>
      <c r="H221" s="25">
        <f>VLOOKUP($A221,[1]!CurveTable,MATCH($H$4,[1]!CurveType,0))</f>
        <v>8.5000000000000006E-2</v>
      </c>
      <c r="I221" s="31">
        <f>H221+Inputs!$B$22</f>
        <v>8.5000000000000006E-2</v>
      </c>
      <c r="J221" s="44">
        <f t="shared" si="208"/>
        <v>8.5000000000000006E-2</v>
      </c>
      <c r="K221" s="25">
        <f>VLOOKUP($A221,[1]!CurveTable,MATCH($K$4,[1]!CurveType,0))</f>
        <v>0</v>
      </c>
      <c r="L221" s="31">
        <v>0</v>
      </c>
      <c r="M221" s="45">
        <f t="shared" si="209"/>
        <v>0</v>
      </c>
      <c r="N221" s="25">
        <f>VLOOKUP($A221,[1]!CurveTable,MATCH($N$4,[1]!CurveType,0))</f>
        <v>2.2000000000000002E-2</v>
      </c>
      <c r="O221" s="31">
        <f>N221+Inputs!$E$22</f>
        <v>2.2000000000000002E-2</v>
      </c>
      <c r="P221" s="45">
        <f t="shared" si="210"/>
        <v>2.2000000000000002E-2</v>
      </c>
      <c r="Q221" s="25">
        <f>VLOOKUP($A221,[1]!CurveTable,MATCH($Q$4,[1]!CurveType,0))</f>
        <v>7.4999999999999997E-3</v>
      </c>
      <c r="R221" s="31">
        <v>0</v>
      </c>
      <c r="S221" s="45">
        <f t="shared" si="211"/>
        <v>0</v>
      </c>
      <c r="T221" s="4"/>
      <c r="U221" s="159">
        <f t="shared" si="181"/>
        <v>6.0220000000000002</v>
      </c>
      <c r="V221" s="160"/>
      <c r="W221" s="100">
        <f>VLOOKUP($A221,[1]!CurveTable,MATCH($W$4,[1]!CurveType,0))+$W$9</f>
        <v>0.17</v>
      </c>
      <c r="X221" s="100">
        <f>VLOOKUP($A221,[1]!CurveTable,MATCH($X$4,[1]!CurveType,0))+$X$9</f>
        <v>0.17500000000000002</v>
      </c>
      <c r="Y221" s="158">
        <f t="shared" ca="1" si="172"/>
        <v>0.17555518546307305</v>
      </c>
      <c r="Z221" s="4"/>
      <c r="AA221" s="159">
        <f t="shared" si="182"/>
        <v>5.9590000000000005</v>
      </c>
      <c r="AB221" s="160"/>
      <c r="AC221" s="100">
        <f>VLOOKUP($A221,[1]!CurveTable,MATCH($AC$4,[1]!CurveType,0))+$AC$9</f>
        <v>0.17</v>
      </c>
      <c r="AD221" s="100">
        <f>VLOOKUP($A221,[1]!CurveTable,MATCH($AD$4,[1]!CurveType,0))+$AD$9</f>
        <v>0.17500000000000002</v>
      </c>
      <c r="AE221" s="158">
        <f t="shared" ca="1" si="173"/>
        <v>0.17555518546307305</v>
      </c>
      <c r="AF221" s="4"/>
      <c r="AG221" s="52">
        <f ca="1">((Inputs!$F$20*(X221*AD221)*(A221-$C$3))+(Inputs!$F$19*W221*AC221*(DAY(EOMONTH(A221,0))/2)))/(AN221*Y221*AE221)</f>
        <v>0.74999999999999989</v>
      </c>
      <c r="AH221" s="4"/>
      <c r="AI221" s="18">
        <f>Inputs!$B$15</f>
        <v>0.06</v>
      </c>
      <c r="AJ221" s="46"/>
      <c r="AK221" s="18">
        <f t="shared" si="174"/>
        <v>2.9999999999997251E-3</v>
      </c>
      <c r="AL221" s="46"/>
      <c r="AM221" s="62">
        <f t="shared" si="175"/>
        <v>44530</v>
      </c>
      <c r="AN221" s="63">
        <f t="shared" ca="1" si="176"/>
        <v>7337</v>
      </c>
      <c r="AO221" s="63">
        <f t="shared" si="203"/>
        <v>1</v>
      </c>
      <c r="AP221" s="19"/>
      <c r="AQ221" s="74">
        <f ca="1">_xll.SPRDOPT(U221,AA221,AI221,AX221,X221,AD221,AG221,AN221,AO221,0)</f>
        <v>0.3790229674061058</v>
      </c>
      <c r="AR221" s="47">
        <f t="shared" ca="1" si="183"/>
        <v>0</v>
      </c>
      <c r="AS221" s="135">
        <f t="shared" ca="1" si="184"/>
        <v>0.37602296740610608</v>
      </c>
      <c r="AU221" s="5">
        <f t="shared" si="204"/>
        <v>31</v>
      </c>
      <c r="AV221" s="148">
        <f t="shared" si="177"/>
        <v>44576</v>
      </c>
      <c r="AW221" s="41">
        <f t="shared" ca="1" si="178"/>
        <v>7383</v>
      </c>
      <c r="AX221" s="100">
        <f>VLOOKUP($A221,[1]!CurveTable,MATCH(AX$4,[1]!CurveType,0))</f>
        <v>6.1750533218635405E-2</v>
      </c>
      <c r="AY221" s="149">
        <f ca="1">1/(1+CHOOSE(F$3,(AX222+(Inputs!$B$14/10000))/2,(AX221+(Inputs!$B$14/10000))/2))^(2*AW221/365.25)</f>
        <v>0.29249254963247934</v>
      </c>
      <c r="AZ221" s="41">
        <f t="shared" si="205"/>
        <v>0</v>
      </c>
      <c r="BA221" s="72">
        <f t="shared" si="206"/>
        <v>0</v>
      </c>
      <c r="BC221" s="65">
        <f t="shared" ca="1" si="185"/>
        <v>0</v>
      </c>
      <c r="BD221" s="65">
        <f t="shared" ca="1" si="186"/>
        <v>0</v>
      </c>
      <c r="BE221" s="65">
        <f t="shared" ca="1" si="187"/>
        <v>0</v>
      </c>
      <c r="BF221" s="65">
        <f t="shared" ca="1" si="188"/>
        <v>0</v>
      </c>
      <c r="BG221" s="65">
        <f t="shared" ca="1" si="189"/>
        <v>0</v>
      </c>
      <c r="BH221" s="65">
        <f t="shared" ca="1" si="190"/>
        <v>0</v>
      </c>
      <c r="BI221" s="65">
        <f t="shared" ca="1" si="191"/>
        <v>0</v>
      </c>
      <c r="BJ221" s="65">
        <f t="shared" ca="1" si="192"/>
        <v>0</v>
      </c>
      <c r="BK221" s="65">
        <f t="shared" ca="1" si="193"/>
        <v>0</v>
      </c>
      <c r="BL221" s="65">
        <f t="shared" ca="1" si="194"/>
        <v>0</v>
      </c>
      <c r="BM221" s="65">
        <f t="shared" ca="1" si="195"/>
        <v>0</v>
      </c>
      <c r="BN221" s="65">
        <f t="shared" ca="1" si="196"/>
        <v>0</v>
      </c>
      <c r="BO221" s="65">
        <f t="shared" ca="1" si="197"/>
        <v>0</v>
      </c>
      <c r="BP221" s="65">
        <f t="shared" ca="1" si="198"/>
        <v>0</v>
      </c>
      <c r="BQ221" s="65">
        <f t="shared" ca="1" si="199"/>
        <v>0</v>
      </c>
      <c r="BR221" s="65">
        <f t="shared" ca="1" si="200"/>
        <v>0</v>
      </c>
      <c r="BS221" s="65">
        <f t="shared" ca="1" si="201"/>
        <v>0</v>
      </c>
      <c r="BT221" s="65">
        <f t="shared" ca="1" si="202"/>
        <v>0</v>
      </c>
      <c r="BU221" s="65">
        <f t="shared" ca="1" si="179"/>
        <v>0</v>
      </c>
    </row>
    <row r="222" spans="1:73">
      <c r="A222" s="42">
        <f t="shared" si="180"/>
        <v>44593</v>
      </c>
      <c r="B222" s="30">
        <f>Inputs!$B$8</f>
        <v>50000</v>
      </c>
      <c r="C222" s="17">
        <f t="shared" si="170"/>
        <v>0</v>
      </c>
      <c r="D222" s="17">
        <f t="shared" ca="1" si="171"/>
        <v>0</v>
      </c>
      <c r="E222" s="25">
        <f>VLOOKUP($A222,[1]!CurveTable,MATCH($E$4,[1]!CurveType,0))</f>
        <v>5.7949999999999999</v>
      </c>
      <c r="F222" s="31">
        <f>E222-Inputs!$B$16</f>
        <v>5.85</v>
      </c>
      <c r="G222" s="43">
        <f t="shared" si="207"/>
        <v>5.85</v>
      </c>
      <c r="H222" s="25">
        <f>VLOOKUP($A222,[1]!CurveTable,MATCH($H$4,[1]!CurveType,0))</f>
        <v>7.4999999999999997E-2</v>
      </c>
      <c r="I222" s="31">
        <f>H222+Inputs!$B$22</f>
        <v>7.4999999999999997E-2</v>
      </c>
      <c r="J222" s="44">
        <f t="shared" si="208"/>
        <v>7.4999999999999997E-2</v>
      </c>
      <c r="K222" s="25">
        <f>VLOOKUP($A222,[1]!CurveTable,MATCH($K$4,[1]!CurveType,0))</f>
        <v>0</v>
      </c>
      <c r="L222" s="31">
        <v>0</v>
      </c>
      <c r="M222" s="45">
        <f t="shared" si="209"/>
        <v>0</v>
      </c>
      <c r="N222" s="25">
        <f>VLOOKUP($A222,[1]!CurveTable,MATCH($N$4,[1]!CurveType,0))</f>
        <v>2.2000000000000002E-2</v>
      </c>
      <c r="O222" s="31">
        <f>N222+Inputs!$E$22</f>
        <v>2.2000000000000002E-2</v>
      </c>
      <c r="P222" s="45">
        <f t="shared" si="210"/>
        <v>2.2000000000000002E-2</v>
      </c>
      <c r="Q222" s="25">
        <f>VLOOKUP($A222,[1]!CurveTable,MATCH($Q$4,[1]!CurveType,0))</f>
        <v>7.4999999999999997E-3</v>
      </c>
      <c r="R222" s="31">
        <v>0</v>
      </c>
      <c r="S222" s="45">
        <f t="shared" si="211"/>
        <v>0</v>
      </c>
      <c r="T222" s="4"/>
      <c r="U222" s="159">
        <f t="shared" si="181"/>
        <v>5.9249999999999998</v>
      </c>
      <c r="V222" s="160"/>
      <c r="W222" s="100">
        <f>VLOOKUP($A222,[1]!CurveTable,MATCH($W$4,[1]!CurveType,0))+$W$9</f>
        <v>0.17</v>
      </c>
      <c r="X222" s="100">
        <f>VLOOKUP($A222,[1]!CurveTable,MATCH($X$4,[1]!CurveType,0))+$X$9</f>
        <v>0.17500000000000002</v>
      </c>
      <c r="Y222" s="158">
        <f t="shared" ca="1" si="172"/>
        <v>0.1755360952577216</v>
      </c>
      <c r="Z222" s="4"/>
      <c r="AA222" s="159">
        <f t="shared" si="182"/>
        <v>5.8719999999999999</v>
      </c>
      <c r="AB222" s="160"/>
      <c r="AC222" s="100">
        <f>VLOOKUP($A222,[1]!CurveTable,MATCH($AC$4,[1]!CurveType,0))+$AC$9</f>
        <v>0.17</v>
      </c>
      <c r="AD222" s="100">
        <f>VLOOKUP($A222,[1]!CurveTable,MATCH($AD$4,[1]!CurveType,0))+$AD$9</f>
        <v>0.17500000000000002</v>
      </c>
      <c r="AE222" s="158">
        <f t="shared" ca="1" si="173"/>
        <v>0.1755360952577216</v>
      </c>
      <c r="AF222" s="4"/>
      <c r="AG222" s="52">
        <f ca="1">((Inputs!$F$20*(X222*AD222)*(A222-$C$3))+(Inputs!$F$19*W222*AC222*(DAY(EOMONTH(A222,0))/2)))/(AN222*Y222*AE222)</f>
        <v>0.75000000000000011</v>
      </c>
      <c r="AH222" s="4"/>
      <c r="AI222" s="18">
        <f>Inputs!$B$15</f>
        <v>0.06</v>
      </c>
      <c r="AJ222" s="46"/>
      <c r="AK222" s="18">
        <f t="shared" si="174"/>
        <v>0</v>
      </c>
      <c r="AL222" s="46"/>
      <c r="AM222" s="62">
        <f t="shared" si="175"/>
        <v>44561</v>
      </c>
      <c r="AN222" s="63">
        <f t="shared" ca="1" si="176"/>
        <v>7368</v>
      </c>
      <c r="AO222" s="63">
        <f t="shared" si="203"/>
        <v>1</v>
      </c>
      <c r="AP222" s="19"/>
      <c r="AQ222" s="74">
        <f ca="1">_xll.SPRDOPT(U222,AA222,AI222,AX222,X222,AD222,AG222,AN222,AO222,0)</f>
        <v>0.37055966492938808</v>
      </c>
      <c r="AR222" s="47">
        <f t="shared" ca="1" si="183"/>
        <v>0</v>
      </c>
      <c r="AS222" s="135">
        <f t="shared" ca="1" si="184"/>
        <v>0.37055966492938808</v>
      </c>
      <c r="AU222" s="5">
        <f t="shared" si="204"/>
        <v>28</v>
      </c>
      <c r="AV222" s="148">
        <f t="shared" si="177"/>
        <v>44607</v>
      </c>
      <c r="AW222" s="41">
        <f t="shared" ca="1" si="178"/>
        <v>7414</v>
      </c>
      <c r="AX222" s="100">
        <f>VLOOKUP($A222,[1]!CurveTable,MATCH(AX$4,[1]!CurveType,0))</f>
        <v>6.1753887034025699E-2</v>
      </c>
      <c r="AY222" s="149">
        <f ca="1">1/(1+CHOOSE(F$3,(AX223+(Inputs!$B$14/10000))/2,(AX222+(Inputs!$B$14/10000))/2))^(2*AW222/365.25)</f>
        <v>0.29096746629153625</v>
      </c>
      <c r="AZ222" s="41">
        <f t="shared" si="205"/>
        <v>0</v>
      </c>
      <c r="BA222" s="72">
        <f t="shared" si="206"/>
        <v>0</v>
      </c>
      <c r="BC222" s="65">
        <f t="shared" ca="1" si="185"/>
        <v>0</v>
      </c>
      <c r="BD222" s="65">
        <f t="shared" ca="1" si="186"/>
        <v>0</v>
      </c>
      <c r="BE222" s="65">
        <f t="shared" ca="1" si="187"/>
        <v>0</v>
      </c>
      <c r="BF222" s="65">
        <f t="shared" ca="1" si="188"/>
        <v>0</v>
      </c>
      <c r="BG222" s="65">
        <f t="shared" ca="1" si="189"/>
        <v>0</v>
      </c>
      <c r="BH222" s="65">
        <f t="shared" ca="1" si="190"/>
        <v>0</v>
      </c>
      <c r="BI222" s="65">
        <f t="shared" ca="1" si="191"/>
        <v>0</v>
      </c>
      <c r="BJ222" s="65">
        <f t="shared" ca="1" si="192"/>
        <v>0</v>
      </c>
      <c r="BK222" s="65">
        <f t="shared" ca="1" si="193"/>
        <v>0</v>
      </c>
      <c r="BL222" s="65">
        <f t="shared" ca="1" si="194"/>
        <v>0</v>
      </c>
      <c r="BM222" s="65">
        <f t="shared" ca="1" si="195"/>
        <v>0</v>
      </c>
      <c r="BN222" s="65">
        <f t="shared" ca="1" si="196"/>
        <v>0</v>
      </c>
      <c r="BO222" s="65">
        <f t="shared" ca="1" si="197"/>
        <v>0</v>
      </c>
      <c r="BP222" s="65">
        <f t="shared" ca="1" si="198"/>
        <v>0</v>
      </c>
      <c r="BQ222" s="65">
        <f t="shared" ca="1" si="199"/>
        <v>0</v>
      </c>
      <c r="BR222" s="65">
        <f t="shared" ca="1" si="200"/>
        <v>0</v>
      </c>
      <c r="BS222" s="65">
        <f t="shared" ca="1" si="201"/>
        <v>0</v>
      </c>
      <c r="BT222" s="65">
        <f t="shared" ca="1" si="202"/>
        <v>0</v>
      </c>
      <c r="BU222" s="65">
        <f t="shared" ca="1" si="179"/>
        <v>0</v>
      </c>
    </row>
    <row r="223" spans="1:73">
      <c r="A223" s="42">
        <f t="shared" si="180"/>
        <v>44621</v>
      </c>
      <c r="B223" s="30">
        <f>Inputs!$B$8</f>
        <v>50000</v>
      </c>
      <c r="C223" s="17">
        <f t="shared" si="170"/>
        <v>0</v>
      </c>
      <c r="D223" s="17">
        <f t="shared" ca="1" si="171"/>
        <v>0</v>
      </c>
      <c r="E223" s="25">
        <f>VLOOKUP($A223,[1]!CurveTable,MATCH($E$4,[1]!CurveType,0))</f>
        <v>5.6560000000000006</v>
      </c>
      <c r="F223" s="31">
        <f>E223-Inputs!$B$16</f>
        <v>5.7110000000000003</v>
      </c>
      <c r="G223" s="43">
        <f t="shared" si="207"/>
        <v>5.7110000000000003</v>
      </c>
      <c r="H223" s="25">
        <f>VLOOKUP($A223,[1]!CurveTable,MATCH($H$4,[1]!CurveType,0))</f>
        <v>0.115</v>
      </c>
      <c r="I223" s="31">
        <f>H223+Inputs!$B$22</f>
        <v>0.115</v>
      </c>
      <c r="J223" s="44">
        <f t="shared" si="208"/>
        <v>0.115</v>
      </c>
      <c r="K223" s="25">
        <f>VLOOKUP($A223,[1]!CurveTable,MATCH($K$4,[1]!CurveType,0))</f>
        <v>0</v>
      </c>
      <c r="L223" s="31">
        <v>0</v>
      </c>
      <c r="M223" s="45">
        <f t="shared" si="209"/>
        <v>0</v>
      </c>
      <c r="N223" s="25">
        <f>VLOOKUP($A223,[1]!CurveTable,MATCH($N$4,[1]!CurveType,0))</f>
        <v>2.6000000000000002E-2</v>
      </c>
      <c r="O223" s="31">
        <f>N223+Inputs!$E$22</f>
        <v>2.6000000000000002E-2</v>
      </c>
      <c r="P223" s="45">
        <f t="shared" si="210"/>
        <v>2.6000000000000002E-2</v>
      </c>
      <c r="Q223" s="25">
        <f>VLOOKUP($A223,[1]!CurveTable,MATCH($Q$4,[1]!CurveType,0))</f>
        <v>7.4999999999999997E-3</v>
      </c>
      <c r="R223" s="31">
        <v>0</v>
      </c>
      <c r="S223" s="45">
        <f t="shared" si="211"/>
        <v>0</v>
      </c>
      <c r="T223" s="4"/>
      <c r="U223" s="159">
        <f t="shared" si="181"/>
        <v>5.8260000000000005</v>
      </c>
      <c r="V223" s="160"/>
      <c r="W223" s="100">
        <f>VLOOKUP($A223,[1]!CurveTable,MATCH($W$4,[1]!CurveType,0))+$W$9</f>
        <v>0.17</v>
      </c>
      <c r="X223" s="100">
        <f>VLOOKUP($A223,[1]!CurveTable,MATCH($X$4,[1]!CurveType,0))+$X$9</f>
        <v>0.17500000000000002</v>
      </c>
      <c r="Y223" s="158">
        <f t="shared" ca="1" si="172"/>
        <v>0.17551517050589446</v>
      </c>
      <c r="Z223" s="4"/>
      <c r="AA223" s="159">
        <f t="shared" si="182"/>
        <v>5.7370000000000001</v>
      </c>
      <c r="AB223" s="160"/>
      <c r="AC223" s="100">
        <f>VLOOKUP($A223,[1]!CurveTable,MATCH($AC$4,[1]!CurveType,0))+$AC$9</f>
        <v>0.17</v>
      </c>
      <c r="AD223" s="100">
        <f>VLOOKUP($A223,[1]!CurveTable,MATCH($AD$4,[1]!CurveType,0))+$AD$9</f>
        <v>0.17500000000000002</v>
      </c>
      <c r="AE223" s="158">
        <f t="shared" ca="1" si="173"/>
        <v>0.17551517050589446</v>
      </c>
      <c r="AF223" s="4"/>
      <c r="AG223" s="52">
        <f ca="1">((Inputs!$F$20*(X223*AD223)*(A223-$C$3))+(Inputs!$F$19*W223*AC223*(DAY(EOMONTH(A223,0))/2)))/(AN223*Y223*AE223)</f>
        <v>0.75</v>
      </c>
      <c r="AH223" s="4"/>
      <c r="AI223" s="18">
        <f>Inputs!$B$15</f>
        <v>0.06</v>
      </c>
      <c r="AJ223" s="46"/>
      <c r="AK223" s="18">
        <f t="shared" si="174"/>
        <v>2.9000000000000414E-2</v>
      </c>
      <c r="AL223" s="46"/>
      <c r="AM223" s="62">
        <f t="shared" si="175"/>
        <v>44592</v>
      </c>
      <c r="AN223" s="63">
        <f t="shared" ca="1" si="176"/>
        <v>7399</v>
      </c>
      <c r="AO223" s="63">
        <f t="shared" si="203"/>
        <v>1</v>
      </c>
      <c r="AP223" s="19"/>
      <c r="AQ223" s="74">
        <f ca="1">_xll.SPRDOPT(U223,AA223,AI223,AX223,X223,AD223,AG223,AN223,AO223,0)</f>
        <v>0.36717489330081565</v>
      </c>
      <c r="AR223" s="47">
        <f t="shared" ca="1" si="183"/>
        <v>0</v>
      </c>
      <c r="AS223" s="135">
        <f t="shared" ca="1" si="184"/>
        <v>0.33817489330081524</v>
      </c>
      <c r="AU223" s="5">
        <f t="shared" si="204"/>
        <v>31</v>
      </c>
      <c r="AV223" s="148">
        <f t="shared" si="177"/>
        <v>44635</v>
      </c>
      <c r="AW223" s="41">
        <f t="shared" ca="1" si="178"/>
        <v>7442</v>
      </c>
      <c r="AX223" s="100">
        <f>VLOOKUP($A223,[1]!CurveTable,MATCH(AX$4,[1]!CurveType,0))</f>
        <v>6.1756916286639804E-2</v>
      </c>
      <c r="AY223" s="149">
        <f ca="1">1/(1+CHOOSE(F$3,(AX224+(Inputs!$B$14/10000))/2,(AX223+(Inputs!$B$14/10000))/2))^(2*AW223/365.25)</f>
        <v>0.28959667022677998</v>
      </c>
      <c r="AZ223" s="41">
        <f t="shared" si="205"/>
        <v>0</v>
      </c>
      <c r="BA223" s="72">
        <f t="shared" si="206"/>
        <v>0</v>
      </c>
      <c r="BC223" s="65">
        <f t="shared" ca="1" si="185"/>
        <v>0</v>
      </c>
      <c r="BD223" s="65">
        <f t="shared" ca="1" si="186"/>
        <v>0</v>
      </c>
      <c r="BE223" s="65">
        <f t="shared" ca="1" si="187"/>
        <v>0</v>
      </c>
      <c r="BF223" s="65">
        <f t="shared" ca="1" si="188"/>
        <v>0</v>
      </c>
      <c r="BG223" s="65">
        <f t="shared" ca="1" si="189"/>
        <v>0</v>
      </c>
      <c r="BH223" s="65">
        <f t="shared" ca="1" si="190"/>
        <v>0</v>
      </c>
      <c r="BI223" s="65">
        <f t="shared" ca="1" si="191"/>
        <v>0</v>
      </c>
      <c r="BJ223" s="65">
        <f t="shared" ca="1" si="192"/>
        <v>0</v>
      </c>
      <c r="BK223" s="65">
        <f t="shared" ca="1" si="193"/>
        <v>0</v>
      </c>
      <c r="BL223" s="65">
        <f t="shared" ca="1" si="194"/>
        <v>0</v>
      </c>
      <c r="BM223" s="65">
        <f t="shared" ca="1" si="195"/>
        <v>0</v>
      </c>
      <c r="BN223" s="65">
        <f t="shared" ca="1" si="196"/>
        <v>0</v>
      </c>
      <c r="BO223" s="65">
        <f t="shared" ca="1" si="197"/>
        <v>0</v>
      </c>
      <c r="BP223" s="65">
        <f t="shared" ca="1" si="198"/>
        <v>0</v>
      </c>
      <c r="BQ223" s="65">
        <f t="shared" ca="1" si="199"/>
        <v>0</v>
      </c>
      <c r="BR223" s="65">
        <f t="shared" ca="1" si="200"/>
        <v>0</v>
      </c>
      <c r="BS223" s="65">
        <f t="shared" ca="1" si="201"/>
        <v>0</v>
      </c>
      <c r="BT223" s="65">
        <f t="shared" ca="1" si="202"/>
        <v>0</v>
      </c>
      <c r="BU223" s="65">
        <f t="shared" ca="1" si="179"/>
        <v>0</v>
      </c>
    </row>
    <row r="224" spans="1:73">
      <c r="A224" s="42">
        <f t="shared" si="180"/>
        <v>44652</v>
      </c>
      <c r="B224" s="30">
        <f>Inputs!$B$8</f>
        <v>50000</v>
      </c>
      <c r="C224" s="17">
        <f t="shared" si="170"/>
        <v>0</v>
      </c>
      <c r="D224" s="17">
        <f t="shared" ca="1" si="171"/>
        <v>0</v>
      </c>
      <c r="E224" s="25">
        <f>VLOOKUP($A224,[1]!CurveTable,MATCH($E$4,[1]!CurveType,0))</f>
        <v>5.5020000000000007</v>
      </c>
      <c r="F224" s="31">
        <f>E224-Inputs!$B$16</f>
        <v>5.5570000000000004</v>
      </c>
      <c r="G224" s="43">
        <f t="shared" si="207"/>
        <v>5.5570000000000004</v>
      </c>
      <c r="H224" s="25">
        <f>VLOOKUP($A224,[1]!CurveTable,MATCH($H$4,[1]!CurveType,0))</f>
        <v>0.55000000000000004</v>
      </c>
      <c r="I224" s="31">
        <f>H224+Inputs!$B$22</f>
        <v>0.55000000000000004</v>
      </c>
      <c r="J224" s="44">
        <f t="shared" si="208"/>
        <v>0.55000000000000004</v>
      </c>
      <c r="K224" s="25">
        <f>VLOOKUP($A224,[1]!CurveTable,MATCH($K$4,[1]!CurveType,0))</f>
        <v>0</v>
      </c>
      <c r="L224" s="31">
        <v>0</v>
      </c>
      <c r="M224" s="45">
        <f t="shared" si="209"/>
        <v>0</v>
      </c>
      <c r="N224" s="25">
        <f>VLOOKUP($A224,[1]!CurveTable,MATCH($N$4,[1]!CurveType,0))</f>
        <v>2.6000000000000002E-2</v>
      </c>
      <c r="O224" s="31">
        <f>N224+Inputs!$E$22</f>
        <v>2.6000000000000002E-2</v>
      </c>
      <c r="P224" s="45">
        <f t="shared" si="210"/>
        <v>2.6000000000000002E-2</v>
      </c>
      <c r="Q224" s="25">
        <f>VLOOKUP($A224,[1]!CurveTable,MATCH($Q$4,[1]!CurveType,0))</f>
        <v>0.01</v>
      </c>
      <c r="R224" s="31">
        <v>0</v>
      </c>
      <c r="S224" s="45">
        <f t="shared" si="211"/>
        <v>0</v>
      </c>
      <c r="T224" s="4"/>
      <c r="U224" s="159">
        <f t="shared" si="181"/>
        <v>6.1070000000000002</v>
      </c>
      <c r="V224" s="160"/>
      <c r="W224" s="100">
        <f>VLOOKUP($A224,[1]!CurveTable,MATCH($W$4,[1]!CurveType,0))+$W$9</f>
        <v>0.17</v>
      </c>
      <c r="X224" s="100">
        <f>VLOOKUP($A224,[1]!CurveTable,MATCH($X$4,[1]!CurveType,0))+$X$9</f>
        <v>0.17500000000000002</v>
      </c>
      <c r="Y224" s="158">
        <f t="shared" ca="1" si="172"/>
        <v>0.1755429266759693</v>
      </c>
      <c r="Z224" s="4"/>
      <c r="AA224" s="159">
        <f t="shared" si="182"/>
        <v>5.5830000000000002</v>
      </c>
      <c r="AB224" s="160"/>
      <c r="AC224" s="100">
        <f>VLOOKUP($A224,[1]!CurveTable,MATCH($AC$4,[1]!CurveType,0))+$AC$9</f>
        <v>0.17</v>
      </c>
      <c r="AD224" s="100">
        <f>VLOOKUP($A224,[1]!CurveTable,MATCH($AD$4,[1]!CurveType,0))+$AD$9</f>
        <v>0.17500000000000002</v>
      </c>
      <c r="AE224" s="158">
        <f t="shared" ca="1" si="173"/>
        <v>0.1755429266759693</v>
      </c>
      <c r="AF224" s="4"/>
      <c r="AG224" s="52">
        <f ca="1">((Inputs!$F$20*(X224*AD224)*(A224-$C$3))+(Inputs!$F$19*W224*AC224*(DAY(EOMONTH(A224,0))/2)))/(AN224*Y224*AE224)</f>
        <v>0.75</v>
      </c>
      <c r="AH224" s="4"/>
      <c r="AI224" s="18">
        <f>Inputs!$B$15</f>
        <v>0.06</v>
      </c>
      <c r="AJ224" s="46"/>
      <c r="AK224" s="18">
        <f t="shared" si="174"/>
        <v>0.46400000000000002</v>
      </c>
      <c r="AL224" s="46"/>
      <c r="AM224" s="62">
        <f t="shared" si="175"/>
        <v>44620</v>
      </c>
      <c r="AN224" s="63">
        <f t="shared" ca="1" si="176"/>
        <v>7427</v>
      </c>
      <c r="AO224" s="63">
        <f t="shared" si="203"/>
        <v>1</v>
      </c>
      <c r="AP224" s="19"/>
      <c r="AQ224" s="74">
        <f ca="1">_xll.SPRDOPT(U224,AA224,AI224,AX224,X224,AD224,AG224,AN224,AO224,0)</f>
        <v>0.43556157587234645</v>
      </c>
      <c r="AR224" s="47">
        <f t="shared" ca="1" si="183"/>
        <v>0</v>
      </c>
      <c r="AS224" s="135">
        <f t="shared" ca="1" si="184"/>
        <v>-2.8438424127653572E-2</v>
      </c>
      <c r="AU224" s="5">
        <f t="shared" si="204"/>
        <v>30</v>
      </c>
      <c r="AV224" s="148">
        <f t="shared" si="177"/>
        <v>44666</v>
      </c>
      <c r="AW224" s="41">
        <f t="shared" ca="1" si="178"/>
        <v>7473</v>
      </c>
      <c r="AX224" s="100">
        <f>VLOOKUP($A224,[1]!CurveTable,MATCH(AX$4,[1]!CurveType,0))</f>
        <v>6.1760270102037204E-2</v>
      </c>
      <c r="AY224" s="149">
        <f ca="1">1/(1+CHOOSE(F$3,(AX225+(Inputs!$B$14/10000))/2,(AX224+(Inputs!$B$14/10000))/2))^(2*AW224/365.25)</f>
        <v>0.28808638353555854</v>
      </c>
      <c r="AZ224" s="41">
        <f t="shared" si="205"/>
        <v>0</v>
      </c>
      <c r="BA224" s="72">
        <f t="shared" si="206"/>
        <v>0</v>
      </c>
      <c r="BC224" s="65">
        <f t="shared" ca="1" si="185"/>
        <v>0</v>
      </c>
      <c r="BD224" s="65">
        <f t="shared" ca="1" si="186"/>
        <v>0</v>
      </c>
      <c r="BE224" s="65">
        <f t="shared" ca="1" si="187"/>
        <v>0</v>
      </c>
      <c r="BF224" s="65">
        <f t="shared" ca="1" si="188"/>
        <v>0</v>
      </c>
      <c r="BG224" s="65">
        <f t="shared" ca="1" si="189"/>
        <v>0</v>
      </c>
      <c r="BH224" s="65">
        <f t="shared" ca="1" si="190"/>
        <v>0</v>
      </c>
      <c r="BI224" s="65">
        <f t="shared" ca="1" si="191"/>
        <v>0</v>
      </c>
      <c r="BJ224" s="65">
        <f t="shared" ca="1" si="192"/>
        <v>0</v>
      </c>
      <c r="BK224" s="65">
        <f t="shared" ca="1" si="193"/>
        <v>0</v>
      </c>
      <c r="BL224" s="65">
        <f t="shared" ca="1" si="194"/>
        <v>0</v>
      </c>
      <c r="BM224" s="65">
        <f t="shared" ca="1" si="195"/>
        <v>0</v>
      </c>
      <c r="BN224" s="65">
        <f t="shared" ca="1" si="196"/>
        <v>0</v>
      </c>
      <c r="BO224" s="65">
        <f t="shared" ca="1" si="197"/>
        <v>0</v>
      </c>
      <c r="BP224" s="65">
        <f t="shared" ca="1" si="198"/>
        <v>0</v>
      </c>
      <c r="BQ224" s="65">
        <f t="shared" ca="1" si="199"/>
        <v>0</v>
      </c>
      <c r="BR224" s="65">
        <f t="shared" ca="1" si="200"/>
        <v>0</v>
      </c>
      <c r="BS224" s="65">
        <f t="shared" ca="1" si="201"/>
        <v>0</v>
      </c>
      <c r="BT224" s="65">
        <f t="shared" ca="1" si="202"/>
        <v>0</v>
      </c>
      <c r="BU224" s="65">
        <f t="shared" ca="1" si="179"/>
        <v>0</v>
      </c>
    </row>
    <row r="225" spans="1:73">
      <c r="A225" s="42">
        <f t="shared" si="180"/>
        <v>44682</v>
      </c>
      <c r="B225" s="30">
        <f>Inputs!$B$8</f>
        <v>50000</v>
      </c>
      <c r="C225" s="17">
        <f t="shared" si="170"/>
        <v>0</v>
      </c>
      <c r="D225" s="17">
        <f t="shared" ca="1" si="171"/>
        <v>0</v>
      </c>
      <c r="E225" s="25">
        <f>VLOOKUP($A225,[1]!CurveTable,MATCH($E$4,[1]!CurveType,0))</f>
        <v>5.5070000000000006</v>
      </c>
      <c r="F225" s="31">
        <f>E225-Inputs!$B$16</f>
        <v>5.5620000000000003</v>
      </c>
      <c r="G225" s="43">
        <f t="shared" si="207"/>
        <v>5.5620000000000003</v>
      </c>
      <c r="H225" s="25">
        <f>VLOOKUP($A225,[1]!CurveTable,MATCH($H$4,[1]!CurveType,0))</f>
        <v>0.7</v>
      </c>
      <c r="I225" s="31">
        <f>H225+Inputs!$B$22</f>
        <v>0.7</v>
      </c>
      <c r="J225" s="44">
        <f t="shared" si="208"/>
        <v>0.7</v>
      </c>
      <c r="K225" s="25">
        <f>VLOOKUP($A225,[1]!CurveTable,MATCH($K$4,[1]!CurveType,0))</f>
        <v>0</v>
      </c>
      <c r="L225" s="31">
        <v>0</v>
      </c>
      <c r="M225" s="45">
        <f t="shared" si="209"/>
        <v>0</v>
      </c>
      <c r="N225" s="25">
        <f>VLOOKUP($A225,[1]!CurveTable,MATCH($N$4,[1]!CurveType,0))</f>
        <v>2.8500000000000001E-2</v>
      </c>
      <c r="O225" s="31">
        <f>N225+Inputs!$E$22</f>
        <v>2.8500000000000001E-2</v>
      </c>
      <c r="P225" s="45">
        <f t="shared" si="210"/>
        <v>2.8500000000000001E-2</v>
      </c>
      <c r="Q225" s="25">
        <f>VLOOKUP($A225,[1]!CurveTable,MATCH($Q$4,[1]!CurveType,0))</f>
        <v>0.01</v>
      </c>
      <c r="R225" s="31">
        <v>0</v>
      </c>
      <c r="S225" s="45">
        <f t="shared" si="211"/>
        <v>0</v>
      </c>
      <c r="T225" s="4"/>
      <c r="U225" s="159">
        <f t="shared" si="181"/>
        <v>6.2620000000000005</v>
      </c>
      <c r="V225" s="160"/>
      <c r="W225" s="100">
        <f>VLOOKUP($A225,[1]!CurveTable,MATCH($W$4,[1]!CurveType,0))+$W$9</f>
        <v>0.34</v>
      </c>
      <c r="X225" s="100">
        <f>VLOOKUP($A225,[1]!CurveTable,MATCH($X$4,[1]!CurveType,0))+$X$9</f>
        <v>0.34500000000000003</v>
      </c>
      <c r="Y225" s="158">
        <f t="shared" ca="1" si="172"/>
        <v>0.34606356731873517</v>
      </c>
      <c r="Z225" s="4"/>
      <c r="AA225" s="159">
        <f t="shared" si="182"/>
        <v>5.5905000000000005</v>
      </c>
      <c r="AB225" s="160"/>
      <c r="AC225" s="100">
        <f>VLOOKUP($A225,[1]!CurveTable,MATCH($AC$4,[1]!CurveType,0))+$AC$9</f>
        <v>0.17</v>
      </c>
      <c r="AD225" s="100">
        <f>VLOOKUP($A225,[1]!CurveTable,MATCH($AD$4,[1]!CurveType,0))+$AD$9</f>
        <v>0.17500000000000002</v>
      </c>
      <c r="AE225" s="158">
        <f t="shared" ca="1" si="173"/>
        <v>0.17553449578810679</v>
      </c>
      <c r="AF225" s="4"/>
      <c r="AG225" s="52">
        <f ca="1">((Inputs!$F$20*(X225*AD225)*(A225-$C$3))+(Inputs!$F$19*W225*AC225*(DAY(EOMONTH(A225,0))/2)))/(AN225*Y225*AE225)</f>
        <v>0.7499998467702047</v>
      </c>
      <c r="AH225" s="4"/>
      <c r="AI225" s="18">
        <f>Inputs!$B$15</f>
        <v>0.06</v>
      </c>
      <c r="AJ225" s="46"/>
      <c r="AK225" s="18">
        <f t="shared" si="174"/>
        <v>0.61149999999999993</v>
      </c>
      <c r="AL225" s="46"/>
      <c r="AM225" s="62">
        <f t="shared" si="175"/>
        <v>44651</v>
      </c>
      <c r="AN225" s="63">
        <f t="shared" ca="1" si="176"/>
        <v>7458</v>
      </c>
      <c r="AO225" s="63">
        <f t="shared" si="203"/>
        <v>1</v>
      </c>
      <c r="AP225" s="19"/>
      <c r="AQ225" s="74">
        <f ca="1">_xll.SPRDOPT(U225,AA225,AI225,AX225,X225,AD225,AG225,AN225,AO225,0)</f>
        <v>0.79492027033891577</v>
      </c>
      <c r="AR225" s="47">
        <f t="shared" ca="1" si="183"/>
        <v>0</v>
      </c>
      <c r="AS225" s="135">
        <f t="shared" ca="1" si="184"/>
        <v>0.18342027033891584</v>
      </c>
      <c r="AU225" s="5">
        <f t="shared" si="204"/>
        <v>31</v>
      </c>
      <c r="AV225" s="148">
        <f t="shared" si="177"/>
        <v>44696</v>
      </c>
      <c r="AW225" s="41">
        <f t="shared" ca="1" si="178"/>
        <v>7503</v>
      </c>
      <c r="AX225" s="100">
        <f>VLOOKUP($A225,[1]!CurveTable,MATCH(AX$4,[1]!CurveType,0))</f>
        <v>6.1763515729845099E-2</v>
      </c>
      <c r="AY225" s="149">
        <f ca="1">1/(1+CHOOSE(F$3,(AX226+(Inputs!$B$14/10000))/2,(AX225+(Inputs!$B$14/10000))/2))^(2*AW225/365.25)</f>
        <v>0.28663216484402437</v>
      </c>
      <c r="AZ225" s="41">
        <f t="shared" si="205"/>
        <v>0</v>
      </c>
      <c r="BA225" s="72">
        <f t="shared" si="206"/>
        <v>0</v>
      </c>
      <c r="BC225" s="65">
        <f t="shared" ca="1" si="185"/>
        <v>0</v>
      </c>
      <c r="BD225" s="65">
        <f t="shared" ca="1" si="186"/>
        <v>0</v>
      </c>
      <c r="BE225" s="65">
        <f t="shared" ca="1" si="187"/>
        <v>0</v>
      </c>
      <c r="BF225" s="65">
        <f t="shared" ca="1" si="188"/>
        <v>0</v>
      </c>
      <c r="BG225" s="65">
        <f t="shared" ca="1" si="189"/>
        <v>0</v>
      </c>
      <c r="BH225" s="65">
        <f t="shared" ca="1" si="190"/>
        <v>0</v>
      </c>
      <c r="BI225" s="65">
        <f t="shared" ca="1" si="191"/>
        <v>0</v>
      </c>
      <c r="BJ225" s="65">
        <f t="shared" ca="1" si="192"/>
        <v>0</v>
      </c>
      <c r="BK225" s="65">
        <f t="shared" ca="1" si="193"/>
        <v>0</v>
      </c>
      <c r="BL225" s="65">
        <f t="shared" ca="1" si="194"/>
        <v>0</v>
      </c>
      <c r="BM225" s="65">
        <f t="shared" ca="1" si="195"/>
        <v>0</v>
      </c>
      <c r="BN225" s="65">
        <f t="shared" ca="1" si="196"/>
        <v>0</v>
      </c>
      <c r="BO225" s="65">
        <f t="shared" ca="1" si="197"/>
        <v>0</v>
      </c>
      <c r="BP225" s="65">
        <f t="shared" ca="1" si="198"/>
        <v>0</v>
      </c>
      <c r="BQ225" s="65">
        <f t="shared" ca="1" si="199"/>
        <v>0</v>
      </c>
      <c r="BR225" s="65">
        <f t="shared" ca="1" si="200"/>
        <v>0</v>
      </c>
      <c r="BS225" s="65">
        <f t="shared" ca="1" si="201"/>
        <v>0</v>
      </c>
      <c r="BT225" s="65">
        <f t="shared" ca="1" si="202"/>
        <v>0</v>
      </c>
      <c r="BU225" s="65">
        <f t="shared" ca="1" si="179"/>
        <v>0</v>
      </c>
    </row>
    <row r="226" spans="1:73">
      <c r="A226" s="42">
        <f t="shared" si="180"/>
        <v>44713</v>
      </c>
      <c r="B226" s="30">
        <f>Inputs!$B$8</f>
        <v>50000</v>
      </c>
      <c r="C226" s="17">
        <f t="shared" si="170"/>
        <v>0</v>
      </c>
      <c r="D226" s="17">
        <f t="shared" ca="1" si="171"/>
        <v>0</v>
      </c>
      <c r="E226" s="25">
        <f>VLOOKUP($A226,[1]!CurveTable,MATCH($E$4,[1]!CurveType,0))</f>
        <v>5.5449999999999999</v>
      </c>
      <c r="F226" s="31">
        <f>E226-Inputs!$B$16</f>
        <v>5.6</v>
      </c>
      <c r="G226" s="43">
        <f t="shared" si="207"/>
        <v>5.6</v>
      </c>
      <c r="H226" s="25">
        <f>VLOOKUP($A226,[1]!CurveTable,MATCH($H$4,[1]!CurveType,0))</f>
        <v>0.8</v>
      </c>
      <c r="I226" s="31">
        <f>H226+Inputs!$B$22</f>
        <v>0.8</v>
      </c>
      <c r="J226" s="44">
        <f t="shared" si="208"/>
        <v>0.8</v>
      </c>
      <c r="K226" s="25">
        <f>VLOOKUP($A226,[1]!CurveTable,MATCH($K$4,[1]!CurveType,0))</f>
        <v>0</v>
      </c>
      <c r="L226" s="31">
        <v>0</v>
      </c>
      <c r="M226" s="45">
        <f t="shared" si="209"/>
        <v>0</v>
      </c>
      <c r="N226" s="25">
        <f>VLOOKUP($A226,[1]!CurveTable,MATCH($N$4,[1]!CurveType,0))</f>
        <v>2.6000000000000002E-2</v>
      </c>
      <c r="O226" s="31">
        <f>N226+Inputs!$E$22</f>
        <v>2.6000000000000002E-2</v>
      </c>
      <c r="P226" s="45">
        <f t="shared" si="210"/>
        <v>2.6000000000000002E-2</v>
      </c>
      <c r="Q226" s="25">
        <f>VLOOKUP($A226,[1]!CurveTable,MATCH($Q$4,[1]!CurveType,0))</f>
        <v>0.01</v>
      </c>
      <c r="R226" s="31">
        <v>0</v>
      </c>
      <c r="S226" s="45">
        <f t="shared" si="211"/>
        <v>0</v>
      </c>
      <c r="T226" s="4"/>
      <c r="U226" s="159">
        <f t="shared" si="181"/>
        <v>6.3999999999999995</v>
      </c>
      <c r="V226" s="160"/>
      <c r="W226" s="100">
        <f>VLOOKUP($A226,[1]!CurveTable,MATCH($W$4,[1]!CurveType,0))+$W$9</f>
        <v>0.34</v>
      </c>
      <c r="X226" s="100">
        <f>VLOOKUP($A226,[1]!CurveTable,MATCH($X$4,[1]!CurveType,0))+$X$9</f>
        <v>0.34500000000000003</v>
      </c>
      <c r="Y226" s="158">
        <f t="shared" ca="1" si="172"/>
        <v>0.34607112615613339</v>
      </c>
      <c r="Z226" s="4"/>
      <c r="AA226" s="159">
        <f t="shared" si="182"/>
        <v>5.6259999999999994</v>
      </c>
      <c r="AB226" s="160"/>
      <c r="AC226" s="100">
        <f>VLOOKUP($A226,[1]!CurveTable,MATCH($AC$4,[1]!CurveType,0))+$AC$9</f>
        <v>0.17</v>
      </c>
      <c r="AD226" s="100">
        <f>VLOOKUP($A226,[1]!CurveTable,MATCH($AD$4,[1]!CurveType,0))+$AD$9</f>
        <v>0.17500000000000002</v>
      </c>
      <c r="AE226" s="158">
        <f t="shared" ca="1" si="173"/>
        <v>0.17553851057981892</v>
      </c>
      <c r="AF226" s="4"/>
      <c r="AG226" s="52">
        <f ca="1">((Inputs!$F$20*(X226*AD226)*(A226-$C$3))+(Inputs!$F$19*W226*AC226*(DAY(EOMONTH(A226,0))/2)))/(AN226*Y226*AE226)</f>
        <v>0.74999985230321586</v>
      </c>
      <c r="AH226" s="4"/>
      <c r="AI226" s="18">
        <f>Inputs!$B$15</f>
        <v>0.06</v>
      </c>
      <c r="AJ226" s="46"/>
      <c r="AK226" s="18">
        <f t="shared" si="174"/>
        <v>0.71399999999999997</v>
      </c>
      <c r="AL226" s="46"/>
      <c r="AM226" s="62">
        <f t="shared" si="175"/>
        <v>44681</v>
      </c>
      <c r="AN226" s="63">
        <f t="shared" ca="1" si="176"/>
        <v>7488</v>
      </c>
      <c r="AO226" s="63">
        <f t="shared" si="203"/>
        <v>1</v>
      </c>
      <c r="AP226" s="19"/>
      <c r="AQ226" s="74">
        <f ca="1">_xll.SPRDOPT(U226,AA226,AI226,AX226,X226,AD226,AG226,AN226,AO226,0)</f>
        <v>0.81773398033667255</v>
      </c>
      <c r="AR226" s="47">
        <f t="shared" ca="1" si="183"/>
        <v>0</v>
      </c>
      <c r="AS226" s="135">
        <f t="shared" ca="1" si="184"/>
        <v>0.10373398033667258</v>
      </c>
      <c r="AU226" s="5">
        <f t="shared" si="204"/>
        <v>30</v>
      </c>
      <c r="AV226" s="148">
        <f t="shared" si="177"/>
        <v>44727</v>
      </c>
      <c r="AW226" s="41">
        <f t="shared" ca="1" si="178"/>
        <v>7534</v>
      </c>
      <c r="AX226" s="100">
        <f>VLOOKUP($A226,[1]!CurveTable,MATCH(AX$4,[1]!CurveType,0))</f>
        <v>6.17668695452505E-2</v>
      </c>
      <c r="AY226" s="149">
        <f ca="1">1/(1+CHOOSE(F$3,(AX227+(Inputs!$B$14/10000))/2,(AX226+(Inputs!$B$14/10000))/2))^(2*AW226/365.25)</f>
        <v>0.28513702866738494</v>
      </c>
      <c r="AZ226" s="41">
        <f t="shared" si="205"/>
        <v>0</v>
      </c>
      <c r="BA226" s="72">
        <f t="shared" si="206"/>
        <v>0</v>
      </c>
      <c r="BC226" s="65">
        <f t="shared" ca="1" si="185"/>
        <v>0</v>
      </c>
      <c r="BD226" s="65">
        <f t="shared" ca="1" si="186"/>
        <v>0</v>
      </c>
      <c r="BE226" s="65">
        <f t="shared" ca="1" si="187"/>
        <v>0</v>
      </c>
      <c r="BF226" s="65">
        <f t="shared" ca="1" si="188"/>
        <v>0</v>
      </c>
      <c r="BG226" s="65">
        <f t="shared" ca="1" si="189"/>
        <v>0</v>
      </c>
      <c r="BH226" s="65">
        <f t="shared" ca="1" si="190"/>
        <v>0</v>
      </c>
      <c r="BI226" s="65">
        <f t="shared" ca="1" si="191"/>
        <v>0</v>
      </c>
      <c r="BJ226" s="65">
        <f t="shared" ca="1" si="192"/>
        <v>0</v>
      </c>
      <c r="BK226" s="65">
        <f t="shared" ca="1" si="193"/>
        <v>0</v>
      </c>
      <c r="BL226" s="65">
        <f t="shared" ca="1" si="194"/>
        <v>0</v>
      </c>
      <c r="BM226" s="65">
        <f t="shared" ca="1" si="195"/>
        <v>0</v>
      </c>
      <c r="BN226" s="65">
        <f t="shared" ca="1" si="196"/>
        <v>0</v>
      </c>
      <c r="BO226" s="65">
        <f t="shared" ca="1" si="197"/>
        <v>0</v>
      </c>
      <c r="BP226" s="65">
        <f t="shared" ca="1" si="198"/>
        <v>0</v>
      </c>
      <c r="BQ226" s="65">
        <f t="shared" ca="1" si="199"/>
        <v>0</v>
      </c>
      <c r="BR226" s="65">
        <f t="shared" ca="1" si="200"/>
        <v>0</v>
      </c>
      <c r="BS226" s="65">
        <f t="shared" ca="1" si="201"/>
        <v>0</v>
      </c>
      <c r="BT226" s="65">
        <f t="shared" ca="1" si="202"/>
        <v>0</v>
      </c>
      <c r="BU226" s="65">
        <f t="shared" ca="1" si="179"/>
        <v>0</v>
      </c>
    </row>
    <row r="227" spans="1:73">
      <c r="A227" s="42">
        <f t="shared" si="180"/>
        <v>44743</v>
      </c>
      <c r="B227" s="30">
        <f>Inputs!$B$8</f>
        <v>50000</v>
      </c>
      <c r="C227" s="17">
        <f t="shared" si="170"/>
        <v>0</v>
      </c>
      <c r="D227" s="17">
        <f t="shared" ca="1" si="171"/>
        <v>0</v>
      </c>
      <c r="E227" s="25">
        <f>VLOOKUP($A227,[1]!CurveTable,MATCH($E$4,[1]!CurveType,0))</f>
        <v>5.59</v>
      </c>
      <c r="F227" s="31">
        <f>E227-Inputs!$B$16</f>
        <v>5.6449999999999996</v>
      </c>
      <c r="G227" s="43">
        <f t="shared" si="207"/>
        <v>5.6449999999999996</v>
      </c>
      <c r="H227" s="25">
        <f>VLOOKUP($A227,[1]!CurveTable,MATCH($H$4,[1]!CurveType,0))</f>
        <v>1</v>
      </c>
      <c r="I227" s="31">
        <f>H227+Inputs!$B$22</f>
        <v>1</v>
      </c>
      <c r="J227" s="44">
        <f t="shared" si="208"/>
        <v>1</v>
      </c>
      <c r="K227" s="25">
        <f>VLOOKUP($A227,[1]!CurveTable,MATCH($K$4,[1]!CurveType,0))</f>
        <v>0</v>
      </c>
      <c r="L227" s="31">
        <v>0</v>
      </c>
      <c r="M227" s="45">
        <f t="shared" si="209"/>
        <v>0</v>
      </c>
      <c r="N227" s="25">
        <f>VLOOKUP($A227,[1]!CurveTable,MATCH($N$4,[1]!CurveType,0))</f>
        <v>2.35E-2</v>
      </c>
      <c r="O227" s="31">
        <f>N227+Inputs!$E$22</f>
        <v>2.35E-2</v>
      </c>
      <c r="P227" s="45">
        <f t="shared" si="210"/>
        <v>2.35E-2</v>
      </c>
      <c r="Q227" s="25">
        <f>VLOOKUP($A227,[1]!CurveTable,MATCH($Q$4,[1]!CurveType,0))</f>
        <v>0.01</v>
      </c>
      <c r="R227" s="31">
        <v>0</v>
      </c>
      <c r="S227" s="45">
        <f t="shared" si="211"/>
        <v>0</v>
      </c>
      <c r="T227" s="4"/>
      <c r="U227" s="159">
        <f t="shared" si="181"/>
        <v>6.6449999999999996</v>
      </c>
      <c r="V227" s="160"/>
      <c r="W227" s="100">
        <f>VLOOKUP($A227,[1]!CurveTable,MATCH($W$4,[1]!CurveType,0))+$W$9</f>
        <v>0.34</v>
      </c>
      <c r="X227" s="100">
        <f>VLOOKUP($A227,[1]!CurveTable,MATCH($X$4,[1]!CurveType,0))+$X$9</f>
        <v>0.34500000000000003</v>
      </c>
      <c r="Y227" s="158">
        <f t="shared" ca="1" si="172"/>
        <v>0.34605495198190078</v>
      </c>
      <c r="Z227" s="4"/>
      <c r="AA227" s="159">
        <f t="shared" si="182"/>
        <v>5.6684999999999999</v>
      </c>
      <c r="AB227" s="160"/>
      <c r="AC227" s="100">
        <f>VLOOKUP($A227,[1]!CurveTable,MATCH($AC$4,[1]!CurveType,0))+$AC$9</f>
        <v>0.17</v>
      </c>
      <c r="AD227" s="100">
        <f>VLOOKUP($A227,[1]!CurveTable,MATCH($AD$4,[1]!CurveType,0))+$AD$9</f>
        <v>0.17500000000000002</v>
      </c>
      <c r="AE227" s="158">
        <f t="shared" ca="1" si="173"/>
        <v>0.17553016608931185</v>
      </c>
      <c r="AF227" s="4"/>
      <c r="AG227" s="52">
        <f ca="1">((Inputs!$F$20*(X227*AD227)*(A227-$C$3))+(Inputs!$F$19*W227*AC227*(DAY(EOMONTH(A227,0))/2)))/(AN227*Y227*AE227)</f>
        <v>0.74999984800336306</v>
      </c>
      <c r="AH227" s="4"/>
      <c r="AI227" s="18">
        <f>Inputs!$B$15</f>
        <v>0.06</v>
      </c>
      <c r="AJ227" s="46"/>
      <c r="AK227" s="18">
        <f t="shared" si="174"/>
        <v>0.91649999999999965</v>
      </c>
      <c r="AL227" s="46"/>
      <c r="AM227" s="62">
        <f t="shared" si="175"/>
        <v>44712</v>
      </c>
      <c r="AN227" s="63">
        <f t="shared" ca="1" si="176"/>
        <v>7519</v>
      </c>
      <c r="AO227" s="63">
        <f t="shared" si="203"/>
        <v>1</v>
      </c>
      <c r="AP227" s="19"/>
      <c r="AQ227" s="74">
        <f ca="1">_xll.SPRDOPT(U227,AA227,AI227,AX227,X227,AD227,AG227,AN227,AO227,0)</f>
        <v>0.86224429895469612</v>
      </c>
      <c r="AR227" s="47">
        <f t="shared" ca="1" si="183"/>
        <v>0</v>
      </c>
      <c r="AS227" s="135">
        <f t="shared" ca="1" si="184"/>
        <v>-5.4255701045303528E-2</v>
      </c>
      <c r="AU227" s="5">
        <f t="shared" si="204"/>
        <v>31</v>
      </c>
      <c r="AV227" s="148">
        <f t="shared" si="177"/>
        <v>44757</v>
      </c>
      <c r="AW227" s="41">
        <f t="shared" ca="1" si="178"/>
        <v>7564</v>
      </c>
      <c r="AX227" s="100">
        <f>VLOOKUP($A227,[1]!CurveTable,MATCH(AX$4,[1]!CurveType,0))</f>
        <v>6.1770115173065E-2</v>
      </c>
      <c r="AY227" s="149">
        <f ca="1">1/(1+CHOOSE(F$3,(AX228+(Inputs!$B$14/10000))/2,(AX227+(Inputs!$B$14/10000))/2))^(2*AW227/365.25)</f>
        <v>0.28369739961227014</v>
      </c>
      <c r="AZ227" s="41">
        <f t="shared" si="205"/>
        <v>0</v>
      </c>
      <c r="BA227" s="72">
        <f t="shared" si="206"/>
        <v>0</v>
      </c>
      <c r="BC227" s="65">
        <f t="shared" ca="1" si="185"/>
        <v>0</v>
      </c>
      <c r="BD227" s="65">
        <f t="shared" ca="1" si="186"/>
        <v>0</v>
      </c>
      <c r="BE227" s="65">
        <f t="shared" ca="1" si="187"/>
        <v>0</v>
      </c>
      <c r="BF227" s="65">
        <f t="shared" ca="1" si="188"/>
        <v>0</v>
      </c>
      <c r="BG227" s="65">
        <f t="shared" ca="1" si="189"/>
        <v>0</v>
      </c>
      <c r="BH227" s="65">
        <f t="shared" ca="1" si="190"/>
        <v>0</v>
      </c>
      <c r="BI227" s="65">
        <f t="shared" ca="1" si="191"/>
        <v>0</v>
      </c>
      <c r="BJ227" s="65">
        <f t="shared" ca="1" si="192"/>
        <v>0</v>
      </c>
      <c r="BK227" s="65">
        <f t="shared" ca="1" si="193"/>
        <v>0</v>
      </c>
      <c r="BL227" s="65">
        <f t="shared" ca="1" si="194"/>
        <v>0</v>
      </c>
      <c r="BM227" s="65">
        <f t="shared" ca="1" si="195"/>
        <v>0</v>
      </c>
      <c r="BN227" s="65">
        <f t="shared" ca="1" si="196"/>
        <v>0</v>
      </c>
      <c r="BO227" s="65">
        <f t="shared" ca="1" si="197"/>
        <v>0</v>
      </c>
      <c r="BP227" s="65">
        <f t="shared" ca="1" si="198"/>
        <v>0</v>
      </c>
      <c r="BQ227" s="65">
        <f t="shared" ca="1" si="199"/>
        <v>0</v>
      </c>
      <c r="BR227" s="65">
        <f t="shared" ca="1" si="200"/>
        <v>0</v>
      </c>
      <c r="BS227" s="65">
        <f t="shared" ca="1" si="201"/>
        <v>0</v>
      </c>
      <c r="BT227" s="65">
        <f t="shared" ca="1" si="202"/>
        <v>0</v>
      </c>
      <c r="BU227" s="65">
        <f t="shared" ca="1" si="179"/>
        <v>0</v>
      </c>
    </row>
    <row r="228" spans="1:73">
      <c r="A228" s="42">
        <f t="shared" si="180"/>
        <v>44774</v>
      </c>
      <c r="B228" s="30">
        <f>Inputs!$B$8</f>
        <v>50000</v>
      </c>
      <c r="C228" s="17">
        <f t="shared" si="170"/>
        <v>0</v>
      </c>
      <c r="D228" s="17">
        <f t="shared" ca="1" si="171"/>
        <v>0</v>
      </c>
      <c r="E228" s="25">
        <f>VLOOKUP($A228,[1]!CurveTable,MATCH($E$4,[1]!CurveType,0))</f>
        <v>5.6280000000000001</v>
      </c>
      <c r="F228" s="31">
        <f>E228-Inputs!$B$16</f>
        <v>5.6829999999999998</v>
      </c>
      <c r="G228" s="43">
        <f t="shared" si="207"/>
        <v>5.6829999999999998</v>
      </c>
      <c r="H228" s="25">
        <f>VLOOKUP($A228,[1]!CurveTable,MATCH($H$4,[1]!CurveType,0))</f>
        <v>1</v>
      </c>
      <c r="I228" s="31">
        <f>H228+Inputs!$B$22</f>
        <v>1</v>
      </c>
      <c r="J228" s="44">
        <f t="shared" si="208"/>
        <v>1</v>
      </c>
      <c r="K228" s="25">
        <f>VLOOKUP($A228,[1]!CurveTable,MATCH($K$4,[1]!CurveType,0))</f>
        <v>0</v>
      </c>
      <c r="L228" s="31">
        <v>0</v>
      </c>
      <c r="M228" s="45">
        <f t="shared" si="209"/>
        <v>0</v>
      </c>
      <c r="N228" s="25">
        <f>VLOOKUP($A228,[1]!CurveTable,MATCH($N$4,[1]!CurveType,0))</f>
        <v>2.35E-2</v>
      </c>
      <c r="O228" s="31">
        <f>N228+Inputs!$E$22</f>
        <v>2.35E-2</v>
      </c>
      <c r="P228" s="45">
        <f t="shared" si="210"/>
        <v>2.35E-2</v>
      </c>
      <c r="Q228" s="25">
        <f>VLOOKUP($A228,[1]!CurveTable,MATCH($Q$4,[1]!CurveType,0))</f>
        <v>0.01</v>
      </c>
      <c r="R228" s="31">
        <v>0</v>
      </c>
      <c r="S228" s="45">
        <f t="shared" si="211"/>
        <v>0</v>
      </c>
      <c r="T228" s="4"/>
      <c r="U228" s="159">
        <f t="shared" si="181"/>
        <v>6.6829999999999998</v>
      </c>
      <c r="V228" s="160"/>
      <c r="W228" s="100">
        <f>VLOOKUP($A228,[1]!CurveTable,MATCH($W$4,[1]!CurveType,0))+$W$9</f>
        <v>0.34</v>
      </c>
      <c r="X228" s="100">
        <f>VLOOKUP($A228,[1]!CurveTable,MATCH($X$4,[1]!CurveType,0))+$X$9</f>
        <v>0.34500000000000003</v>
      </c>
      <c r="Y228" s="158">
        <f t="shared" ca="1" si="172"/>
        <v>0.34607354650326799</v>
      </c>
      <c r="Z228" s="4"/>
      <c r="AA228" s="159">
        <f t="shared" si="182"/>
        <v>5.7065000000000001</v>
      </c>
      <c r="AB228" s="160"/>
      <c r="AC228" s="100">
        <f>VLOOKUP($A228,[1]!CurveTable,MATCH($AC$4,[1]!CurveType,0))+$AC$9</f>
        <v>0.17</v>
      </c>
      <c r="AD228" s="100">
        <f>VLOOKUP($A228,[1]!CurveTable,MATCH($AD$4,[1]!CurveType,0))+$AD$9</f>
        <v>0.17500000000000002</v>
      </c>
      <c r="AE228" s="158">
        <f t="shared" ca="1" si="173"/>
        <v>0.17553961804762255</v>
      </c>
      <c r="AF228" s="4"/>
      <c r="AG228" s="52">
        <f ca="1">((Inputs!$F$20*(X228*AD228)*(A228-$C$3))+(Inputs!$F$19*W228*AC228*(DAY(EOMONTH(A228,0))/2)))/(AN228*Y228*AE228)</f>
        <v>0.74999984862247449</v>
      </c>
      <c r="AH228" s="4"/>
      <c r="AI228" s="18">
        <f>Inputs!$B$15</f>
        <v>0.06</v>
      </c>
      <c r="AJ228" s="46"/>
      <c r="AK228" s="18">
        <f t="shared" si="174"/>
        <v>0.91649999999999965</v>
      </c>
      <c r="AL228" s="46"/>
      <c r="AM228" s="62">
        <f t="shared" si="175"/>
        <v>44742</v>
      </c>
      <c r="AN228" s="63">
        <f t="shared" ca="1" si="176"/>
        <v>7549</v>
      </c>
      <c r="AO228" s="63">
        <f t="shared" si="203"/>
        <v>1</v>
      </c>
      <c r="AP228" s="19"/>
      <c r="AQ228" s="74">
        <f ca="1">_xll.SPRDOPT(U228,AA228,AI228,AX228,X228,AD228,AG228,AN228,AO228,0)</f>
        <v>0.86351647895489692</v>
      </c>
      <c r="AR228" s="47">
        <f t="shared" ca="1" si="183"/>
        <v>0</v>
      </c>
      <c r="AS228" s="135">
        <f t="shared" ca="1" si="184"/>
        <v>-5.2983521045102733E-2</v>
      </c>
      <c r="AU228" s="5">
        <f t="shared" si="204"/>
        <v>31</v>
      </c>
      <c r="AV228" s="148">
        <f t="shared" si="177"/>
        <v>44788</v>
      </c>
      <c r="AW228" s="41">
        <f t="shared" ca="1" si="178"/>
        <v>7595</v>
      </c>
      <c r="AX228" s="100">
        <f>VLOOKUP($A228,[1]!CurveTable,MATCH(AX$4,[1]!CurveType,0))</f>
        <v>6.1773468988477E-2</v>
      </c>
      <c r="AY228" s="149">
        <f ca="1">1/(1+CHOOSE(F$3,(AX229+(Inputs!$B$14/10000))/2,(AX228+(Inputs!$B$14/10000))/2))^(2*AW228/365.25)</f>
        <v>0.28221726519679113</v>
      </c>
      <c r="AZ228" s="41">
        <f t="shared" si="205"/>
        <v>0</v>
      </c>
      <c r="BA228" s="72">
        <f t="shared" si="206"/>
        <v>0</v>
      </c>
      <c r="BC228" s="65">
        <f t="shared" ca="1" si="185"/>
        <v>0</v>
      </c>
      <c r="BD228" s="65">
        <f t="shared" ca="1" si="186"/>
        <v>0</v>
      </c>
      <c r="BE228" s="65">
        <f t="shared" ca="1" si="187"/>
        <v>0</v>
      </c>
      <c r="BF228" s="65">
        <f t="shared" ca="1" si="188"/>
        <v>0</v>
      </c>
      <c r="BG228" s="65">
        <f t="shared" ca="1" si="189"/>
        <v>0</v>
      </c>
      <c r="BH228" s="65">
        <f t="shared" ca="1" si="190"/>
        <v>0</v>
      </c>
      <c r="BI228" s="65">
        <f t="shared" ca="1" si="191"/>
        <v>0</v>
      </c>
      <c r="BJ228" s="65">
        <f t="shared" ca="1" si="192"/>
        <v>0</v>
      </c>
      <c r="BK228" s="65">
        <f t="shared" ca="1" si="193"/>
        <v>0</v>
      </c>
      <c r="BL228" s="65">
        <f t="shared" ca="1" si="194"/>
        <v>0</v>
      </c>
      <c r="BM228" s="65">
        <f t="shared" ca="1" si="195"/>
        <v>0</v>
      </c>
      <c r="BN228" s="65">
        <f t="shared" ca="1" si="196"/>
        <v>0</v>
      </c>
      <c r="BO228" s="65">
        <f t="shared" ca="1" si="197"/>
        <v>0</v>
      </c>
      <c r="BP228" s="65">
        <f t="shared" ca="1" si="198"/>
        <v>0</v>
      </c>
      <c r="BQ228" s="65">
        <f t="shared" ca="1" si="199"/>
        <v>0</v>
      </c>
      <c r="BR228" s="65">
        <f t="shared" ca="1" si="200"/>
        <v>0</v>
      </c>
      <c r="BS228" s="65">
        <f t="shared" ca="1" si="201"/>
        <v>0</v>
      </c>
      <c r="BT228" s="65">
        <f t="shared" ca="1" si="202"/>
        <v>0</v>
      </c>
      <c r="BU228" s="65">
        <f t="shared" ca="1" si="179"/>
        <v>0</v>
      </c>
    </row>
    <row r="229" spans="1:73">
      <c r="A229" s="42">
        <f t="shared" si="180"/>
        <v>44805</v>
      </c>
      <c r="B229" s="30">
        <f>Inputs!$B$8</f>
        <v>50000</v>
      </c>
      <c r="C229" s="17">
        <f t="shared" si="170"/>
        <v>0</v>
      </c>
      <c r="D229" s="17">
        <f t="shared" ca="1" si="171"/>
        <v>0</v>
      </c>
      <c r="E229" s="25">
        <f>VLOOKUP($A229,[1]!CurveTable,MATCH($E$4,[1]!CurveType,0))</f>
        <v>5.6219999999999999</v>
      </c>
      <c r="F229" s="31">
        <f>E229-Inputs!$B$16</f>
        <v>5.6769999999999996</v>
      </c>
      <c r="G229" s="43">
        <f t="shared" si="207"/>
        <v>5.6769999999999996</v>
      </c>
      <c r="H229" s="25">
        <f>VLOOKUP($A229,[1]!CurveTable,MATCH($H$4,[1]!CurveType,0))</f>
        <v>0.6</v>
      </c>
      <c r="I229" s="31">
        <f>H229+Inputs!$B$22</f>
        <v>0.6</v>
      </c>
      <c r="J229" s="44">
        <f t="shared" si="208"/>
        <v>0.6</v>
      </c>
      <c r="K229" s="25">
        <f>VLOOKUP($A229,[1]!CurveTable,MATCH($K$4,[1]!CurveType,0))</f>
        <v>0</v>
      </c>
      <c r="L229" s="31">
        <v>0</v>
      </c>
      <c r="M229" s="45">
        <f t="shared" si="209"/>
        <v>0</v>
      </c>
      <c r="N229" s="25">
        <f>VLOOKUP($A229,[1]!CurveTable,MATCH($N$4,[1]!CurveType,0))</f>
        <v>2.35E-2</v>
      </c>
      <c r="O229" s="31">
        <f>N229+Inputs!$E$22</f>
        <v>2.35E-2</v>
      </c>
      <c r="P229" s="45">
        <f t="shared" si="210"/>
        <v>2.35E-2</v>
      </c>
      <c r="Q229" s="25">
        <f>VLOOKUP($A229,[1]!CurveTable,MATCH($Q$4,[1]!CurveType,0))</f>
        <v>0.01</v>
      </c>
      <c r="R229" s="31">
        <v>0</v>
      </c>
      <c r="S229" s="45">
        <f t="shared" si="211"/>
        <v>0</v>
      </c>
      <c r="T229" s="4"/>
      <c r="U229" s="159">
        <f t="shared" si="181"/>
        <v>6.2769999999999992</v>
      </c>
      <c r="V229" s="160"/>
      <c r="W229" s="100">
        <f>VLOOKUP($A229,[1]!CurveTable,MATCH($W$4,[1]!CurveType,0))+$W$9</f>
        <v>0.34</v>
      </c>
      <c r="X229" s="100">
        <f>VLOOKUP($A229,[1]!CurveTable,MATCH($X$4,[1]!CurveType,0))+$X$9</f>
        <v>0.34500000000000003</v>
      </c>
      <c r="Y229" s="158">
        <f t="shared" ca="1" si="172"/>
        <v>0.34605814555583131</v>
      </c>
      <c r="Z229" s="4"/>
      <c r="AA229" s="159">
        <f t="shared" si="182"/>
        <v>5.7004999999999999</v>
      </c>
      <c r="AB229" s="160"/>
      <c r="AC229" s="100">
        <f>VLOOKUP($A229,[1]!CurveTable,MATCH($AC$4,[1]!CurveType,0))+$AC$9</f>
        <v>0.17</v>
      </c>
      <c r="AD229" s="100">
        <f>VLOOKUP($A229,[1]!CurveTable,MATCH($AD$4,[1]!CurveType,0))+$AD$9</f>
        <v>0.17500000000000002</v>
      </c>
      <c r="AE229" s="158">
        <f t="shared" ca="1" si="173"/>
        <v>0.17553198447166082</v>
      </c>
      <c r="AF229" s="4"/>
      <c r="AG229" s="52">
        <f ca="1">((Inputs!$F$20*(X229*AD229)*(A229-$C$3))+(Inputs!$F$19*W229*AC229*(DAY(EOMONTH(A229,0))/2)))/(AN229*Y229*AE229)</f>
        <v>0.74999985408158254</v>
      </c>
      <c r="AH229" s="4"/>
      <c r="AI229" s="18">
        <f>Inputs!$B$15</f>
        <v>0.06</v>
      </c>
      <c r="AJ229" s="46"/>
      <c r="AK229" s="18">
        <f t="shared" si="174"/>
        <v>0.51649999999999929</v>
      </c>
      <c r="AL229" s="46"/>
      <c r="AM229" s="62">
        <f t="shared" si="175"/>
        <v>44773</v>
      </c>
      <c r="AN229" s="63">
        <f t="shared" ca="1" si="176"/>
        <v>7580</v>
      </c>
      <c r="AO229" s="63">
        <f t="shared" si="203"/>
        <v>1</v>
      </c>
      <c r="AP229" s="19"/>
      <c r="AQ229" s="74">
        <f ca="1">_xll.SPRDOPT(U229,AA229,AI229,AX229,X229,AD229,AG229,AN229,AO229,0)</f>
        <v>0.77682081927633362</v>
      </c>
      <c r="AR229" s="47">
        <f t="shared" ca="1" si="183"/>
        <v>0</v>
      </c>
      <c r="AS229" s="135">
        <f t="shared" ca="1" si="184"/>
        <v>0.26032081927633433</v>
      </c>
      <c r="AU229" s="5">
        <f t="shared" si="204"/>
        <v>30</v>
      </c>
      <c r="AV229" s="148">
        <f t="shared" si="177"/>
        <v>44819</v>
      </c>
      <c r="AW229" s="41">
        <f t="shared" ca="1" si="178"/>
        <v>7626</v>
      </c>
      <c r="AX229" s="100">
        <f>VLOOKUP($A229,[1]!CurveTable,MATCH(AX$4,[1]!CurveType,0))</f>
        <v>6.17768228038931E-2</v>
      </c>
      <c r="AY229" s="149">
        <f ca="1">1/(1+CHOOSE(F$3,(AX230+(Inputs!$B$14/10000))/2,(AX229+(Inputs!$B$14/10000))/2))^(2*AW229/365.25)</f>
        <v>0.28074469807818492</v>
      </c>
      <c r="AZ229" s="41">
        <f t="shared" si="205"/>
        <v>0</v>
      </c>
      <c r="BA229" s="72">
        <f t="shared" si="206"/>
        <v>0</v>
      </c>
      <c r="BC229" s="65">
        <f t="shared" ca="1" si="185"/>
        <v>0</v>
      </c>
      <c r="BD229" s="65">
        <f t="shared" ca="1" si="186"/>
        <v>0</v>
      </c>
      <c r="BE229" s="65">
        <f t="shared" ca="1" si="187"/>
        <v>0</v>
      </c>
      <c r="BF229" s="65">
        <f t="shared" ca="1" si="188"/>
        <v>0</v>
      </c>
      <c r="BG229" s="65">
        <f t="shared" ca="1" si="189"/>
        <v>0</v>
      </c>
      <c r="BH229" s="65">
        <f t="shared" ca="1" si="190"/>
        <v>0</v>
      </c>
      <c r="BI229" s="65">
        <f t="shared" ca="1" si="191"/>
        <v>0</v>
      </c>
      <c r="BJ229" s="65">
        <f t="shared" ca="1" si="192"/>
        <v>0</v>
      </c>
      <c r="BK229" s="65">
        <f t="shared" ca="1" si="193"/>
        <v>0</v>
      </c>
      <c r="BL229" s="65">
        <f t="shared" ca="1" si="194"/>
        <v>0</v>
      </c>
      <c r="BM229" s="65">
        <f t="shared" ca="1" si="195"/>
        <v>0</v>
      </c>
      <c r="BN229" s="65">
        <f t="shared" ca="1" si="196"/>
        <v>0</v>
      </c>
      <c r="BO229" s="65">
        <f t="shared" ca="1" si="197"/>
        <v>0</v>
      </c>
      <c r="BP229" s="65">
        <f t="shared" ca="1" si="198"/>
        <v>0</v>
      </c>
      <c r="BQ229" s="65">
        <f t="shared" ca="1" si="199"/>
        <v>0</v>
      </c>
      <c r="BR229" s="65">
        <f t="shared" ca="1" si="200"/>
        <v>0</v>
      </c>
      <c r="BS229" s="65">
        <f t="shared" ca="1" si="201"/>
        <v>0</v>
      </c>
      <c r="BT229" s="65">
        <f t="shared" ca="1" si="202"/>
        <v>0</v>
      </c>
      <c r="BU229" s="65">
        <f t="shared" ca="1" si="179"/>
        <v>0</v>
      </c>
    </row>
    <row r="230" spans="1:73">
      <c r="A230" s="42">
        <f t="shared" si="180"/>
        <v>44835</v>
      </c>
      <c r="B230" s="30">
        <f>Inputs!$B$8</f>
        <v>50000</v>
      </c>
      <c r="C230" s="17">
        <f t="shared" si="170"/>
        <v>0</v>
      </c>
      <c r="D230" s="17">
        <f t="shared" ca="1" si="171"/>
        <v>0</v>
      </c>
      <c r="E230" s="25">
        <f>VLOOKUP($A230,[1]!CurveTable,MATCH($E$4,[1]!CurveType,0))</f>
        <v>5.6219999999999999</v>
      </c>
      <c r="F230" s="31">
        <f>E230-Inputs!$B$16</f>
        <v>5.6769999999999996</v>
      </c>
      <c r="G230" s="43">
        <f t="shared" ref="G230:G249" si="212">F230</f>
        <v>5.6769999999999996</v>
      </c>
      <c r="H230" s="25">
        <f>VLOOKUP($A230,[1]!CurveTable,MATCH($H$4,[1]!CurveType,0))</f>
        <v>0.3</v>
      </c>
      <c r="I230" s="31">
        <f>H230+Inputs!$B$22</f>
        <v>0.3</v>
      </c>
      <c r="J230" s="44">
        <f t="shared" ref="J230:J249" si="213">I230</f>
        <v>0.3</v>
      </c>
      <c r="K230" s="25">
        <f>VLOOKUP($A230,[1]!CurveTable,MATCH($K$4,[1]!CurveType,0))</f>
        <v>0</v>
      </c>
      <c r="L230" s="31">
        <v>0</v>
      </c>
      <c r="M230" s="45">
        <f t="shared" ref="M230:M249" si="214">L230</f>
        <v>0</v>
      </c>
      <c r="N230" s="25">
        <f>VLOOKUP($A230,[1]!CurveTable,MATCH($N$4,[1]!CurveType,0))</f>
        <v>2.2000000000000002E-2</v>
      </c>
      <c r="O230" s="31">
        <f>N230+Inputs!$E$22</f>
        <v>2.2000000000000002E-2</v>
      </c>
      <c r="P230" s="45">
        <f t="shared" ref="P230:P249" si="215">O230</f>
        <v>2.2000000000000002E-2</v>
      </c>
      <c r="Q230" s="25">
        <f>VLOOKUP($A230,[1]!CurveTable,MATCH($Q$4,[1]!CurveType,0))</f>
        <v>0.01</v>
      </c>
      <c r="R230" s="31">
        <v>0</v>
      </c>
      <c r="S230" s="45">
        <f t="shared" ref="S230:S249" si="216">R230</f>
        <v>0</v>
      </c>
      <c r="T230" s="4"/>
      <c r="U230" s="159">
        <f t="shared" si="181"/>
        <v>5.9769999999999994</v>
      </c>
      <c r="V230" s="160"/>
      <c r="W230" s="100">
        <f>VLOOKUP($A230,[1]!CurveTable,MATCH($W$4,[1]!CurveType,0))+$W$9</f>
        <v>0.17</v>
      </c>
      <c r="X230" s="100">
        <f>VLOOKUP($A230,[1]!CurveTable,MATCH($X$4,[1]!CurveType,0))+$X$9</f>
        <v>0.17500000000000002</v>
      </c>
      <c r="Y230" s="158">
        <f t="shared" ca="1" si="172"/>
        <v>0.17552376712620046</v>
      </c>
      <c r="Z230" s="4"/>
      <c r="AA230" s="159">
        <f t="shared" si="182"/>
        <v>5.6989999999999998</v>
      </c>
      <c r="AB230" s="160"/>
      <c r="AC230" s="100">
        <f>VLOOKUP($A230,[1]!CurveTable,MATCH($AC$4,[1]!CurveType,0))+$AC$9</f>
        <v>0.17</v>
      </c>
      <c r="AD230" s="100">
        <f>VLOOKUP($A230,[1]!CurveTable,MATCH($AD$4,[1]!CurveType,0))+$AD$9</f>
        <v>0.17500000000000002</v>
      </c>
      <c r="AE230" s="158">
        <f t="shared" ca="1" si="173"/>
        <v>0.17552376712620046</v>
      </c>
      <c r="AF230" s="4"/>
      <c r="AG230" s="52">
        <f ca="1">((Inputs!$F$20*(X230*AD230)*(A230-$C$3))+(Inputs!$F$19*W230*AC230*(DAY(EOMONTH(A230,0))/2)))/(AN230*Y230*AE230)</f>
        <v>0.74999999999999989</v>
      </c>
      <c r="AH230" s="4"/>
      <c r="AI230" s="18">
        <f>Inputs!$B$15</f>
        <v>0.06</v>
      </c>
      <c r="AJ230" s="46"/>
      <c r="AK230" s="18">
        <f t="shared" si="174"/>
        <v>0.21799999999999958</v>
      </c>
      <c r="AL230" s="46"/>
      <c r="AM230" s="62">
        <f t="shared" si="175"/>
        <v>44804</v>
      </c>
      <c r="AN230" s="63">
        <f t="shared" ca="1" si="176"/>
        <v>7611</v>
      </c>
      <c r="AO230" s="63">
        <f t="shared" si="203"/>
        <v>1</v>
      </c>
      <c r="AP230" s="19"/>
      <c r="AQ230" s="74">
        <f ca="1">_xll.SPRDOPT(U230,AA230,AI230,AX230,X230,AD230,AG230,AN230,AO230,0)</f>
        <v>0.38920856477442217</v>
      </c>
      <c r="AR230" s="47">
        <f t="shared" ca="1" si="183"/>
        <v>0</v>
      </c>
      <c r="AS230" s="135">
        <f t="shared" ca="1" si="184"/>
        <v>0.17120856477442259</v>
      </c>
      <c r="AU230" s="5">
        <f t="shared" si="204"/>
        <v>31</v>
      </c>
      <c r="AV230" s="148">
        <f t="shared" si="177"/>
        <v>44849</v>
      </c>
      <c r="AW230" s="41">
        <f t="shared" ca="1" si="178"/>
        <v>7656</v>
      </c>
      <c r="AX230" s="100">
        <f>VLOOKUP($A230,[1]!CurveTable,MATCH(AX$4,[1]!CurveType,0))</f>
        <v>6.1780068431719098E-2</v>
      </c>
      <c r="AY230" s="149">
        <f ca="1">1/(1+CHOOSE(F$3,(AX231+(Inputs!$B$14/10000))/2,(AX230+(Inputs!$B$14/10000))/2))^(2*AW230/365.25)</f>
        <v>0.2793268025350642</v>
      </c>
      <c r="AZ230" s="41">
        <f t="shared" si="205"/>
        <v>0</v>
      </c>
      <c r="BA230" s="72">
        <f t="shared" si="206"/>
        <v>0</v>
      </c>
      <c r="BC230" s="65">
        <f t="shared" ca="1" si="185"/>
        <v>0</v>
      </c>
      <c r="BD230" s="65">
        <f t="shared" ca="1" si="186"/>
        <v>0</v>
      </c>
      <c r="BE230" s="65">
        <f t="shared" ca="1" si="187"/>
        <v>0</v>
      </c>
      <c r="BF230" s="65">
        <f t="shared" ca="1" si="188"/>
        <v>0</v>
      </c>
      <c r="BG230" s="65">
        <f t="shared" ca="1" si="189"/>
        <v>0</v>
      </c>
      <c r="BH230" s="65">
        <f t="shared" ca="1" si="190"/>
        <v>0</v>
      </c>
      <c r="BI230" s="65">
        <f t="shared" ca="1" si="191"/>
        <v>0</v>
      </c>
      <c r="BJ230" s="65">
        <f t="shared" ca="1" si="192"/>
        <v>0</v>
      </c>
      <c r="BK230" s="65">
        <f t="shared" ca="1" si="193"/>
        <v>0</v>
      </c>
      <c r="BL230" s="65">
        <f t="shared" ca="1" si="194"/>
        <v>0</v>
      </c>
      <c r="BM230" s="65">
        <f t="shared" ca="1" si="195"/>
        <v>0</v>
      </c>
      <c r="BN230" s="65">
        <f t="shared" ca="1" si="196"/>
        <v>0</v>
      </c>
      <c r="BO230" s="65">
        <f t="shared" ca="1" si="197"/>
        <v>0</v>
      </c>
      <c r="BP230" s="65">
        <f t="shared" ca="1" si="198"/>
        <v>0</v>
      </c>
      <c r="BQ230" s="65">
        <f t="shared" ca="1" si="199"/>
        <v>0</v>
      </c>
      <c r="BR230" s="65">
        <f t="shared" ca="1" si="200"/>
        <v>0</v>
      </c>
      <c r="BS230" s="65">
        <f t="shared" ca="1" si="201"/>
        <v>0</v>
      </c>
      <c r="BT230" s="65">
        <f t="shared" ca="1" si="202"/>
        <v>0</v>
      </c>
      <c r="BU230" s="65">
        <f t="shared" ca="1" si="179"/>
        <v>0</v>
      </c>
    </row>
    <row r="231" spans="1:73">
      <c r="A231" s="42">
        <f t="shared" si="180"/>
        <v>44866</v>
      </c>
      <c r="B231" s="30">
        <f>Inputs!$B$8</f>
        <v>50000</v>
      </c>
      <c r="C231" s="17">
        <f t="shared" si="170"/>
        <v>0</v>
      </c>
      <c r="D231" s="17">
        <f t="shared" ca="1" si="171"/>
        <v>0</v>
      </c>
      <c r="E231" s="25">
        <f>VLOOKUP($A231,[1]!CurveTable,MATCH($E$4,[1]!CurveType,0))</f>
        <v>5.77</v>
      </c>
      <c r="F231" s="31">
        <f>E231-Inputs!$B$16</f>
        <v>5.8249999999999993</v>
      </c>
      <c r="G231" s="43">
        <f t="shared" si="212"/>
        <v>5.8249999999999993</v>
      </c>
      <c r="H231" s="25">
        <f>VLOOKUP($A231,[1]!CurveTable,MATCH($H$4,[1]!CurveType,0))</f>
        <v>0.23</v>
      </c>
      <c r="I231" s="31">
        <f>H231+Inputs!$B$22</f>
        <v>0.23</v>
      </c>
      <c r="J231" s="44">
        <f t="shared" si="213"/>
        <v>0.23</v>
      </c>
      <c r="K231" s="25">
        <f>VLOOKUP($A231,[1]!CurveTable,MATCH($K$4,[1]!CurveType,0))</f>
        <v>0</v>
      </c>
      <c r="L231" s="31">
        <v>0</v>
      </c>
      <c r="M231" s="45">
        <f t="shared" si="214"/>
        <v>0</v>
      </c>
      <c r="N231" s="25">
        <f>VLOOKUP($A231,[1]!CurveTable,MATCH($N$4,[1]!CurveType,0))</f>
        <v>2.3E-2</v>
      </c>
      <c r="O231" s="31">
        <f>N231+Inputs!$E$22</f>
        <v>2.3E-2</v>
      </c>
      <c r="P231" s="45">
        <f t="shared" si="215"/>
        <v>2.3E-2</v>
      </c>
      <c r="Q231" s="25">
        <f>VLOOKUP($A231,[1]!CurveTable,MATCH($Q$4,[1]!CurveType,0))</f>
        <v>7.4999999999999997E-3</v>
      </c>
      <c r="R231" s="31">
        <v>0</v>
      </c>
      <c r="S231" s="45">
        <f t="shared" si="216"/>
        <v>0</v>
      </c>
      <c r="T231" s="4"/>
      <c r="U231" s="159">
        <f t="shared" si="181"/>
        <v>6.0549999999999997</v>
      </c>
      <c r="V231" s="160"/>
      <c r="W231" s="100">
        <f>VLOOKUP($A231,[1]!CurveTable,MATCH($W$4,[1]!CurveType,0))+$W$9</f>
        <v>0.17</v>
      </c>
      <c r="X231" s="100">
        <f>VLOOKUP($A231,[1]!CurveTable,MATCH($X$4,[1]!CurveType,0))+$X$9</f>
        <v>0.17500000000000002</v>
      </c>
      <c r="Y231" s="158">
        <f t="shared" ca="1" si="172"/>
        <v>0.1755277438919603</v>
      </c>
      <c r="Z231" s="4"/>
      <c r="AA231" s="159">
        <f t="shared" si="182"/>
        <v>5.847999999999999</v>
      </c>
      <c r="AB231" s="160"/>
      <c r="AC231" s="100">
        <f>VLOOKUP($A231,[1]!CurveTable,MATCH($AC$4,[1]!CurveType,0))+$AC$9</f>
        <v>0.17</v>
      </c>
      <c r="AD231" s="100">
        <f>VLOOKUP($A231,[1]!CurveTable,MATCH($AD$4,[1]!CurveType,0))+$AD$9</f>
        <v>0.17500000000000002</v>
      </c>
      <c r="AE231" s="158">
        <f t="shared" ca="1" si="173"/>
        <v>0.1755277438919603</v>
      </c>
      <c r="AF231" s="4"/>
      <c r="AG231" s="52">
        <f ca="1">((Inputs!$F$20*(X231*AD231)*(A231-$C$3))+(Inputs!$F$19*W231*AC231*(DAY(EOMONTH(A231,0))/2)))/(AN231*Y231*AE231)</f>
        <v>0.74999999999999989</v>
      </c>
      <c r="AH231" s="4"/>
      <c r="AI231" s="18">
        <f>Inputs!$B$15</f>
        <v>0.06</v>
      </c>
      <c r="AJ231" s="46"/>
      <c r="AK231" s="18">
        <f t="shared" si="174"/>
        <v>0.14700000000000074</v>
      </c>
      <c r="AL231" s="46"/>
      <c r="AM231" s="62">
        <f t="shared" si="175"/>
        <v>44834</v>
      </c>
      <c r="AN231" s="63">
        <f t="shared" ca="1" si="176"/>
        <v>7641</v>
      </c>
      <c r="AO231" s="63">
        <f t="shared" si="203"/>
        <v>1</v>
      </c>
      <c r="AP231" s="19"/>
      <c r="AQ231" s="74">
        <f ca="1">_xll.SPRDOPT(U231,AA231,AI231,AX231,X231,AD231,AG231,AN231,AO231,0)</f>
        <v>0.3846755127771474</v>
      </c>
      <c r="AR231" s="47">
        <f t="shared" ca="1" si="183"/>
        <v>0</v>
      </c>
      <c r="AS231" s="135">
        <f t="shared" ca="1" si="184"/>
        <v>0.23767551277714666</v>
      </c>
      <c r="AU231" s="5">
        <f t="shared" si="204"/>
        <v>30</v>
      </c>
      <c r="AV231" s="148">
        <f t="shared" si="177"/>
        <v>44880</v>
      </c>
      <c r="AW231" s="41">
        <f t="shared" ca="1" si="178"/>
        <v>7687</v>
      </c>
      <c r="AX231" s="100">
        <f>VLOOKUP($A231,[1]!CurveTable,MATCH(AX$4,[1]!CurveType,0))</f>
        <v>6.1783422247142304E-2</v>
      </c>
      <c r="AY231" s="149">
        <f ca="1">1/(1+CHOOSE(F$3,(AX232+(Inputs!$B$14/10000))/2,(AX231+(Inputs!$B$14/10000))/2))^(2*AW231/365.25)</f>
        <v>0.27786901552365495</v>
      </c>
      <c r="AZ231" s="41">
        <f t="shared" si="205"/>
        <v>0</v>
      </c>
      <c r="BA231" s="72">
        <f t="shared" si="206"/>
        <v>0</v>
      </c>
      <c r="BC231" s="65">
        <f t="shared" ca="1" si="185"/>
        <v>0</v>
      </c>
      <c r="BD231" s="65">
        <f t="shared" ca="1" si="186"/>
        <v>0</v>
      </c>
      <c r="BE231" s="65">
        <f t="shared" ca="1" si="187"/>
        <v>0</v>
      </c>
      <c r="BF231" s="65">
        <f t="shared" ca="1" si="188"/>
        <v>0</v>
      </c>
      <c r="BG231" s="65">
        <f t="shared" ca="1" si="189"/>
        <v>0</v>
      </c>
      <c r="BH231" s="65">
        <f t="shared" ca="1" si="190"/>
        <v>0</v>
      </c>
      <c r="BI231" s="65">
        <f t="shared" ca="1" si="191"/>
        <v>0</v>
      </c>
      <c r="BJ231" s="65">
        <f t="shared" ca="1" si="192"/>
        <v>0</v>
      </c>
      <c r="BK231" s="65">
        <f t="shared" ca="1" si="193"/>
        <v>0</v>
      </c>
      <c r="BL231" s="65">
        <f t="shared" ca="1" si="194"/>
        <v>0</v>
      </c>
      <c r="BM231" s="65">
        <f t="shared" ca="1" si="195"/>
        <v>0</v>
      </c>
      <c r="BN231" s="65">
        <f t="shared" ca="1" si="196"/>
        <v>0</v>
      </c>
      <c r="BO231" s="65">
        <f t="shared" ca="1" si="197"/>
        <v>0</v>
      </c>
      <c r="BP231" s="65">
        <f t="shared" ca="1" si="198"/>
        <v>0</v>
      </c>
      <c r="BQ231" s="65">
        <f t="shared" ca="1" si="199"/>
        <v>0</v>
      </c>
      <c r="BR231" s="65">
        <f t="shared" ca="1" si="200"/>
        <v>0</v>
      </c>
      <c r="BS231" s="65">
        <f t="shared" ca="1" si="201"/>
        <v>0</v>
      </c>
      <c r="BT231" s="65">
        <f t="shared" ca="1" si="202"/>
        <v>0</v>
      </c>
      <c r="BU231" s="65">
        <f t="shared" ca="1" si="179"/>
        <v>0</v>
      </c>
    </row>
    <row r="232" spans="1:73">
      <c r="A232" s="42">
        <f t="shared" si="180"/>
        <v>44896</v>
      </c>
      <c r="B232" s="30">
        <f>Inputs!$B$8</f>
        <v>50000</v>
      </c>
      <c r="C232" s="17">
        <f t="shared" si="170"/>
        <v>0</v>
      </c>
      <c r="D232" s="17">
        <f t="shared" ca="1" si="171"/>
        <v>0</v>
      </c>
      <c r="E232" s="25">
        <f>VLOOKUP($A232,[1]!CurveTable,MATCH($E$4,[1]!CurveType,0))</f>
        <v>5.9220000000000006</v>
      </c>
      <c r="F232" s="31">
        <f>E232-Inputs!$B$16</f>
        <v>5.9770000000000003</v>
      </c>
      <c r="G232" s="43">
        <f t="shared" si="212"/>
        <v>5.9770000000000003</v>
      </c>
      <c r="H232" s="25">
        <f>VLOOKUP($A232,[1]!CurveTable,MATCH($H$4,[1]!CurveType,0))</f>
        <v>0.26</v>
      </c>
      <c r="I232" s="31">
        <f>H232+Inputs!$B$22</f>
        <v>0.26</v>
      </c>
      <c r="J232" s="44">
        <f t="shared" si="213"/>
        <v>0.26</v>
      </c>
      <c r="K232" s="25">
        <f>VLOOKUP($A232,[1]!CurveTable,MATCH($K$4,[1]!CurveType,0))</f>
        <v>0</v>
      </c>
      <c r="L232" s="31">
        <v>0</v>
      </c>
      <c r="M232" s="45">
        <f t="shared" si="214"/>
        <v>0</v>
      </c>
      <c r="N232" s="25">
        <f>VLOOKUP($A232,[1]!CurveTable,MATCH($N$4,[1]!CurveType,0))</f>
        <v>2.3E-2</v>
      </c>
      <c r="O232" s="31">
        <f>N232+Inputs!$E$22</f>
        <v>2.3E-2</v>
      </c>
      <c r="P232" s="45">
        <f t="shared" si="215"/>
        <v>2.3E-2</v>
      </c>
      <c r="Q232" s="25">
        <f>VLOOKUP($A232,[1]!CurveTable,MATCH($Q$4,[1]!CurveType,0))</f>
        <v>7.4999999999999997E-3</v>
      </c>
      <c r="R232" s="31">
        <v>0</v>
      </c>
      <c r="S232" s="45">
        <f t="shared" si="216"/>
        <v>0</v>
      </c>
      <c r="T232" s="4"/>
      <c r="U232" s="159">
        <f t="shared" si="181"/>
        <v>6.2370000000000001</v>
      </c>
      <c r="V232" s="160"/>
      <c r="W232" s="100">
        <f>VLOOKUP($A232,[1]!CurveTable,MATCH($W$4,[1]!CurveType,0))+$W$9</f>
        <v>0.17</v>
      </c>
      <c r="X232" s="100">
        <f>VLOOKUP($A232,[1]!CurveTable,MATCH($X$4,[1]!CurveType,0))+$X$9</f>
        <v>0.17500000000000002</v>
      </c>
      <c r="Y232" s="158">
        <f t="shared" ca="1" si="172"/>
        <v>0.17551960882287407</v>
      </c>
      <c r="Z232" s="4"/>
      <c r="AA232" s="159">
        <f t="shared" si="182"/>
        <v>6</v>
      </c>
      <c r="AB232" s="160"/>
      <c r="AC232" s="100">
        <f>VLOOKUP($A232,[1]!CurveTable,MATCH($AC$4,[1]!CurveType,0))+$AC$9</f>
        <v>0.17</v>
      </c>
      <c r="AD232" s="100">
        <f>VLOOKUP($A232,[1]!CurveTable,MATCH($AD$4,[1]!CurveType,0))+$AD$9</f>
        <v>0.17500000000000002</v>
      </c>
      <c r="AE232" s="158">
        <f t="shared" ca="1" si="173"/>
        <v>0.17551960882287407</v>
      </c>
      <c r="AF232" s="4"/>
      <c r="AG232" s="52">
        <f ca="1">((Inputs!$F$20*(X232*AD232)*(A232-$C$3))+(Inputs!$F$19*W232*AC232*(DAY(EOMONTH(A232,0))/2)))/(AN232*Y232*AE232)</f>
        <v>0.74999999999999989</v>
      </c>
      <c r="AH232" s="4"/>
      <c r="AI232" s="18">
        <f>Inputs!$B$15</f>
        <v>0.06</v>
      </c>
      <c r="AJ232" s="46"/>
      <c r="AK232" s="18">
        <f t="shared" si="174"/>
        <v>0.1770000000000001</v>
      </c>
      <c r="AL232" s="46"/>
      <c r="AM232" s="62">
        <f t="shared" si="175"/>
        <v>44865</v>
      </c>
      <c r="AN232" s="63">
        <f t="shared" ca="1" si="176"/>
        <v>7672</v>
      </c>
      <c r="AO232" s="63">
        <f t="shared" si="203"/>
        <v>1</v>
      </c>
      <c r="AP232" s="19"/>
      <c r="AQ232" s="74">
        <f ca="1">_xll.SPRDOPT(U232,AA232,AI232,AX232,X232,AD232,AG232,AN232,AO232,0)</f>
        <v>0.39776587441423134</v>
      </c>
      <c r="AR232" s="47">
        <f t="shared" ca="1" si="183"/>
        <v>0</v>
      </c>
      <c r="AS232" s="135">
        <f t="shared" ca="1" si="184"/>
        <v>0.22076587441423123</v>
      </c>
      <c r="AU232" s="5">
        <f t="shared" si="204"/>
        <v>31</v>
      </c>
      <c r="AV232" s="148">
        <f t="shared" si="177"/>
        <v>44910</v>
      </c>
      <c r="AW232" s="41">
        <f t="shared" ca="1" si="178"/>
        <v>7717</v>
      </c>
      <c r="AX232" s="100">
        <f>VLOOKUP($A232,[1]!CurveTable,MATCH(AX$4,[1]!CurveType,0))</f>
        <v>6.1786667874974999E-2</v>
      </c>
      <c r="AY232" s="149">
        <f ca="1">1/(1+CHOOSE(F$3,(AX233+(Inputs!$B$14/10000))/2,(AX232+(Inputs!$B$14/10000))/2))^(2*AW232/365.25)</f>
        <v>0.27646535288235974</v>
      </c>
      <c r="AZ232" s="41">
        <f t="shared" si="205"/>
        <v>0</v>
      </c>
      <c r="BA232" s="72">
        <f t="shared" si="206"/>
        <v>0</v>
      </c>
      <c r="BC232" s="65">
        <f t="shared" ca="1" si="185"/>
        <v>0</v>
      </c>
      <c r="BD232" s="65">
        <f t="shared" ca="1" si="186"/>
        <v>0</v>
      </c>
      <c r="BE232" s="65">
        <f t="shared" ca="1" si="187"/>
        <v>0</v>
      </c>
      <c r="BF232" s="65">
        <f t="shared" ca="1" si="188"/>
        <v>0</v>
      </c>
      <c r="BG232" s="65">
        <f t="shared" ca="1" si="189"/>
        <v>0</v>
      </c>
      <c r="BH232" s="65">
        <f t="shared" ca="1" si="190"/>
        <v>0</v>
      </c>
      <c r="BI232" s="65">
        <f t="shared" ca="1" si="191"/>
        <v>0</v>
      </c>
      <c r="BJ232" s="65">
        <f t="shared" ca="1" si="192"/>
        <v>0</v>
      </c>
      <c r="BK232" s="65">
        <f t="shared" ca="1" si="193"/>
        <v>0</v>
      </c>
      <c r="BL232" s="65">
        <f t="shared" ca="1" si="194"/>
        <v>0</v>
      </c>
      <c r="BM232" s="65">
        <f t="shared" ca="1" si="195"/>
        <v>0</v>
      </c>
      <c r="BN232" s="65">
        <f t="shared" ca="1" si="196"/>
        <v>0</v>
      </c>
      <c r="BO232" s="65">
        <f t="shared" ca="1" si="197"/>
        <v>0</v>
      </c>
      <c r="BP232" s="65">
        <f t="shared" ca="1" si="198"/>
        <v>0</v>
      </c>
      <c r="BQ232" s="65">
        <f t="shared" ca="1" si="199"/>
        <v>0</v>
      </c>
      <c r="BR232" s="65">
        <f t="shared" ca="1" si="200"/>
        <v>0</v>
      </c>
      <c r="BS232" s="65">
        <f t="shared" ca="1" si="201"/>
        <v>0</v>
      </c>
      <c r="BT232" s="65">
        <f t="shared" ca="1" si="202"/>
        <v>0</v>
      </c>
      <c r="BU232" s="65">
        <f t="shared" ca="1" si="179"/>
        <v>0</v>
      </c>
    </row>
    <row r="233" spans="1:73">
      <c r="A233" s="42">
        <f t="shared" si="180"/>
        <v>44927</v>
      </c>
      <c r="B233" s="30">
        <f>Inputs!$B$8</f>
        <v>50000</v>
      </c>
      <c r="C233" s="17">
        <f t="shared" si="170"/>
        <v>0</v>
      </c>
      <c r="D233" s="17">
        <f t="shared" ca="1" si="171"/>
        <v>0</v>
      </c>
      <c r="E233" s="25">
        <f>VLOOKUP($A233,[1]!CurveTable,MATCH($E$4,[1]!CurveType,0))</f>
        <v>5.9995000000000003</v>
      </c>
      <c r="F233" s="31">
        <f>E233-Inputs!$B$16</f>
        <v>6.0545</v>
      </c>
      <c r="G233" s="43">
        <f t="shared" si="212"/>
        <v>6.0545</v>
      </c>
      <c r="H233" s="25">
        <f>VLOOKUP($A233,[1]!CurveTable,MATCH($H$4,[1]!CurveType,0))</f>
        <v>8.5000000000000006E-2</v>
      </c>
      <c r="I233" s="31">
        <f>H233+Inputs!$B$22</f>
        <v>8.5000000000000006E-2</v>
      </c>
      <c r="J233" s="44">
        <f t="shared" si="213"/>
        <v>8.5000000000000006E-2</v>
      </c>
      <c r="K233" s="25">
        <f>VLOOKUP($A233,[1]!CurveTable,MATCH($K$4,[1]!CurveType,0))</f>
        <v>0</v>
      </c>
      <c r="L233" s="31">
        <v>0</v>
      </c>
      <c r="M233" s="45">
        <f t="shared" si="214"/>
        <v>0</v>
      </c>
      <c r="N233" s="25">
        <f>VLOOKUP($A233,[1]!CurveTable,MATCH($N$4,[1]!CurveType,0))</f>
        <v>0</v>
      </c>
      <c r="O233" s="31">
        <f>N233+Inputs!$E$22</f>
        <v>0</v>
      </c>
      <c r="P233" s="45">
        <f t="shared" si="215"/>
        <v>0</v>
      </c>
      <c r="Q233" s="25">
        <f>VLOOKUP($A233,[1]!CurveTable,MATCH($Q$4,[1]!CurveType,0))</f>
        <v>0</v>
      </c>
      <c r="R233" s="31">
        <v>0</v>
      </c>
      <c r="S233" s="45">
        <f t="shared" si="216"/>
        <v>0</v>
      </c>
      <c r="T233" s="4"/>
      <c r="U233" s="159">
        <f t="shared" si="181"/>
        <v>6.1395</v>
      </c>
      <c r="V233" s="160"/>
      <c r="W233" s="100">
        <f>VLOOKUP($A233,[1]!CurveTable,MATCH($W$4,[1]!CurveType,0))+$W$9</f>
        <v>0.17</v>
      </c>
      <c r="X233" s="100">
        <f>VLOOKUP($A233,[1]!CurveTable,MATCH($X$4,[1]!CurveType,0))+$X$9</f>
        <v>0.17500000000000002</v>
      </c>
      <c r="Y233" s="158">
        <f t="shared" ca="1" si="172"/>
        <v>0.1755289147010568</v>
      </c>
      <c r="Z233" s="4"/>
      <c r="AA233" s="159">
        <f t="shared" si="182"/>
        <v>6.0545</v>
      </c>
      <c r="AB233" s="160"/>
      <c r="AC233" s="100">
        <f>VLOOKUP($A233,[1]!CurveTable,MATCH($AC$4,[1]!CurveType,0))+$AC$9</f>
        <v>0.17</v>
      </c>
      <c r="AD233" s="100">
        <f>VLOOKUP($A233,[1]!CurveTable,MATCH($AD$4,[1]!CurveType,0))+$AD$9</f>
        <v>0.17500000000000002</v>
      </c>
      <c r="AE233" s="158">
        <f t="shared" ca="1" si="173"/>
        <v>0.1755289147010568</v>
      </c>
      <c r="AF233" s="4"/>
      <c r="AG233" s="52">
        <f ca="1">((Inputs!$F$20*(X233*AD233)*(A233-$C$3))+(Inputs!$F$19*W233*AC233*(DAY(EOMONTH(A233,0))/2)))/(AN233*Y233*AE233)</f>
        <v>0.75000000000000011</v>
      </c>
      <c r="AH233" s="4"/>
      <c r="AI233" s="18">
        <f>Inputs!$B$15</f>
        <v>0.06</v>
      </c>
      <c r="AJ233" s="46"/>
      <c r="AK233" s="18">
        <f t="shared" si="174"/>
        <v>2.4999999999999967E-2</v>
      </c>
      <c r="AL233" s="46"/>
      <c r="AM233" s="62">
        <f t="shared" si="175"/>
        <v>44895</v>
      </c>
      <c r="AN233" s="63">
        <f t="shared" ca="1" si="176"/>
        <v>7702</v>
      </c>
      <c r="AO233" s="63">
        <f t="shared" si="203"/>
        <v>1</v>
      </c>
      <c r="AP233" s="19"/>
      <c r="AQ233" s="74">
        <f ca="1">_xll.SPRDOPT(U233,AA233,AI233,AX233,X233,AD233,AG233,AN233,AO233,0)</f>
        <v>0.37402308544398977</v>
      </c>
      <c r="AR233" s="47">
        <f t="shared" ca="1" si="183"/>
        <v>0</v>
      </c>
      <c r="AS233" s="135">
        <f t="shared" ca="1" si="184"/>
        <v>0.3490230854439898</v>
      </c>
      <c r="AU233" s="5">
        <f t="shared" si="204"/>
        <v>31</v>
      </c>
      <c r="AV233" s="148">
        <f t="shared" si="177"/>
        <v>44941</v>
      </c>
      <c r="AW233" s="41">
        <f t="shared" ca="1" si="178"/>
        <v>7748</v>
      </c>
      <c r="AX233" s="100">
        <f>VLOOKUP($A233,[1]!CurveTable,MATCH(AX$4,[1]!CurveType,0))</f>
        <v>6.1790021690405698E-2</v>
      </c>
      <c r="AY233" s="149">
        <f ca="1">1/(1+CHOOSE(F$3,(AX234+(Inputs!$B$14/10000))/2,(AX233+(Inputs!$B$14/10000))/2))^(2*AW233/365.25)</f>
        <v>0.27502220077959638</v>
      </c>
      <c r="AZ233" s="41">
        <f t="shared" si="205"/>
        <v>0</v>
      </c>
      <c r="BA233" s="72">
        <f t="shared" si="206"/>
        <v>0</v>
      </c>
      <c r="BC233" s="65">
        <f t="shared" ca="1" si="185"/>
        <v>0</v>
      </c>
      <c r="BD233" s="65">
        <f t="shared" ca="1" si="186"/>
        <v>0</v>
      </c>
      <c r="BE233" s="65">
        <f t="shared" ca="1" si="187"/>
        <v>0</v>
      </c>
      <c r="BF233" s="65">
        <f t="shared" ca="1" si="188"/>
        <v>0</v>
      </c>
      <c r="BG233" s="65">
        <f t="shared" ca="1" si="189"/>
        <v>0</v>
      </c>
      <c r="BH233" s="65">
        <f t="shared" ca="1" si="190"/>
        <v>0</v>
      </c>
      <c r="BI233" s="65">
        <f t="shared" ca="1" si="191"/>
        <v>0</v>
      </c>
      <c r="BJ233" s="65">
        <f t="shared" ca="1" si="192"/>
        <v>0</v>
      </c>
      <c r="BK233" s="65">
        <f t="shared" ca="1" si="193"/>
        <v>0</v>
      </c>
      <c r="BL233" s="65">
        <f t="shared" ca="1" si="194"/>
        <v>0</v>
      </c>
      <c r="BM233" s="65">
        <f t="shared" ca="1" si="195"/>
        <v>0</v>
      </c>
      <c r="BN233" s="65">
        <f t="shared" ca="1" si="196"/>
        <v>0</v>
      </c>
      <c r="BO233" s="65">
        <f t="shared" ca="1" si="197"/>
        <v>0</v>
      </c>
      <c r="BP233" s="65">
        <f t="shared" ca="1" si="198"/>
        <v>0</v>
      </c>
      <c r="BQ233" s="65">
        <f t="shared" ca="1" si="199"/>
        <v>0</v>
      </c>
      <c r="BR233" s="65">
        <f t="shared" ca="1" si="200"/>
        <v>0</v>
      </c>
      <c r="BS233" s="65">
        <f t="shared" ca="1" si="201"/>
        <v>0</v>
      </c>
      <c r="BT233" s="65">
        <f t="shared" ca="1" si="202"/>
        <v>0</v>
      </c>
      <c r="BU233" s="65">
        <f t="shared" ca="1" si="179"/>
        <v>0</v>
      </c>
    </row>
    <row r="234" spans="1:73">
      <c r="A234" s="42">
        <f t="shared" si="180"/>
        <v>44958</v>
      </c>
      <c r="B234" s="30">
        <f>Inputs!$B$8</f>
        <v>50000</v>
      </c>
      <c r="C234" s="17">
        <f t="shared" si="170"/>
        <v>0</v>
      </c>
      <c r="D234" s="17">
        <f t="shared" ca="1" si="171"/>
        <v>0</v>
      </c>
      <c r="E234" s="25">
        <f>VLOOKUP($A234,[1]!CurveTable,MATCH($E$4,[1]!CurveType,0))</f>
        <v>5.9124999999999996</v>
      </c>
      <c r="F234" s="31">
        <f>E234-Inputs!$B$16</f>
        <v>5.9674999999999994</v>
      </c>
      <c r="G234" s="43">
        <f t="shared" si="212"/>
        <v>5.9674999999999994</v>
      </c>
      <c r="H234" s="25">
        <f>VLOOKUP($A234,[1]!CurveTable,MATCH($H$4,[1]!CurveType,0))</f>
        <v>7.4999999999999997E-2</v>
      </c>
      <c r="I234" s="31">
        <f>H234+Inputs!$B$22</f>
        <v>7.4999999999999997E-2</v>
      </c>
      <c r="J234" s="44">
        <f t="shared" si="213"/>
        <v>7.4999999999999997E-2</v>
      </c>
      <c r="K234" s="25">
        <f>VLOOKUP($A234,[1]!CurveTable,MATCH($K$4,[1]!CurveType,0))</f>
        <v>0</v>
      </c>
      <c r="L234" s="31">
        <v>0</v>
      </c>
      <c r="M234" s="45">
        <f t="shared" si="214"/>
        <v>0</v>
      </c>
      <c r="N234" s="25">
        <f>VLOOKUP($A234,[1]!CurveTable,MATCH($N$4,[1]!CurveType,0))</f>
        <v>0</v>
      </c>
      <c r="O234" s="31">
        <f>N234+Inputs!$E$22</f>
        <v>0</v>
      </c>
      <c r="P234" s="45">
        <f t="shared" si="215"/>
        <v>0</v>
      </c>
      <c r="Q234" s="25">
        <f>VLOOKUP($A234,[1]!CurveTable,MATCH($Q$4,[1]!CurveType,0))</f>
        <v>0</v>
      </c>
      <c r="R234" s="31">
        <v>0</v>
      </c>
      <c r="S234" s="45">
        <f t="shared" si="216"/>
        <v>0</v>
      </c>
      <c r="T234" s="4"/>
      <c r="U234" s="159">
        <f t="shared" si="181"/>
        <v>6.0424999999999995</v>
      </c>
      <c r="V234" s="160"/>
      <c r="W234" s="100">
        <f>VLOOKUP($A234,[1]!CurveTable,MATCH($W$4,[1]!CurveType,0))+$W$9</f>
        <v>0.17</v>
      </c>
      <c r="X234" s="100">
        <f>VLOOKUP($A234,[1]!CurveTable,MATCH($X$4,[1]!CurveType,0))+$X$9</f>
        <v>0.17500000000000002</v>
      </c>
      <c r="Y234" s="158">
        <f t="shared" ca="1" si="172"/>
        <v>0.17551082821625591</v>
      </c>
      <c r="Z234" s="4"/>
      <c r="AA234" s="159">
        <f t="shared" si="182"/>
        <v>5.9674999999999994</v>
      </c>
      <c r="AB234" s="160"/>
      <c r="AC234" s="100">
        <f>VLOOKUP($A234,[1]!CurveTable,MATCH($AC$4,[1]!CurveType,0))+$AC$9</f>
        <v>0.17</v>
      </c>
      <c r="AD234" s="100">
        <f>VLOOKUP($A234,[1]!CurveTable,MATCH($AD$4,[1]!CurveType,0))+$AD$9</f>
        <v>0.17500000000000002</v>
      </c>
      <c r="AE234" s="158">
        <f t="shared" ca="1" si="173"/>
        <v>0.17551082821625591</v>
      </c>
      <c r="AF234" s="4"/>
      <c r="AG234" s="52">
        <f ca="1">((Inputs!$F$20*(X234*AD234)*(A234-$C$3))+(Inputs!$F$19*W234*AC234*(DAY(EOMONTH(A234,0))/2)))/(AN234*Y234*AE234)</f>
        <v>0.74999999999999989</v>
      </c>
      <c r="AH234" s="4"/>
      <c r="AI234" s="18">
        <f>Inputs!$B$15</f>
        <v>0.06</v>
      </c>
      <c r="AJ234" s="46"/>
      <c r="AK234" s="18">
        <f t="shared" si="174"/>
        <v>1.500000000000018E-2</v>
      </c>
      <c r="AL234" s="46"/>
      <c r="AM234" s="62">
        <f t="shared" si="175"/>
        <v>44926</v>
      </c>
      <c r="AN234" s="63">
        <f t="shared" ca="1" si="176"/>
        <v>7733</v>
      </c>
      <c r="AO234" s="63">
        <f t="shared" si="203"/>
        <v>1</v>
      </c>
      <c r="AP234" s="19"/>
      <c r="AQ234" s="74">
        <f ca="1">_xll.SPRDOPT(U234,AA234,AI234,AX234,X234,AD234,AG234,AN234,AO234,0)</f>
        <v>0.36583279482229802</v>
      </c>
      <c r="AR234" s="47">
        <f t="shared" ca="1" si="183"/>
        <v>0</v>
      </c>
      <c r="AS234" s="135">
        <f t="shared" ca="1" si="184"/>
        <v>0.35083279482229784</v>
      </c>
      <c r="AU234" s="5">
        <f t="shared" si="204"/>
        <v>28</v>
      </c>
      <c r="AV234" s="148">
        <f t="shared" si="177"/>
        <v>44972</v>
      </c>
      <c r="AW234" s="41">
        <f t="shared" ca="1" si="178"/>
        <v>7779</v>
      </c>
      <c r="AX234" s="100">
        <f>VLOOKUP($A234,[1]!CurveTable,MATCH(AX$4,[1]!CurveType,0))</f>
        <v>6.1793375505839999E-2</v>
      </c>
      <c r="AY234" s="149">
        <f ca="1">1/(1+CHOOSE(F$3,(AX235+(Inputs!$B$14/10000))/2,(AX234+(Inputs!$B$14/10000))/2))^(2*AW234/365.25)</f>
        <v>0.27358643089212709</v>
      </c>
      <c r="AZ234" s="41">
        <f t="shared" si="205"/>
        <v>0</v>
      </c>
      <c r="BA234" s="72">
        <f t="shared" si="206"/>
        <v>0</v>
      </c>
      <c r="BC234" s="65">
        <f t="shared" ca="1" si="185"/>
        <v>0</v>
      </c>
      <c r="BD234" s="65">
        <f t="shared" ca="1" si="186"/>
        <v>0</v>
      </c>
      <c r="BE234" s="65">
        <f t="shared" ca="1" si="187"/>
        <v>0</v>
      </c>
      <c r="BF234" s="65">
        <f t="shared" ca="1" si="188"/>
        <v>0</v>
      </c>
      <c r="BG234" s="65">
        <f t="shared" ca="1" si="189"/>
        <v>0</v>
      </c>
      <c r="BH234" s="65">
        <f t="shared" ca="1" si="190"/>
        <v>0</v>
      </c>
      <c r="BI234" s="65">
        <f t="shared" ca="1" si="191"/>
        <v>0</v>
      </c>
      <c r="BJ234" s="65">
        <f t="shared" ca="1" si="192"/>
        <v>0</v>
      </c>
      <c r="BK234" s="65">
        <f t="shared" ca="1" si="193"/>
        <v>0</v>
      </c>
      <c r="BL234" s="65">
        <f t="shared" ca="1" si="194"/>
        <v>0</v>
      </c>
      <c r="BM234" s="65">
        <f t="shared" ca="1" si="195"/>
        <v>0</v>
      </c>
      <c r="BN234" s="65">
        <f t="shared" ca="1" si="196"/>
        <v>0</v>
      </c>
      <c r="BO234" s="65">
        <f t="shared" ca="1" si="197"/>
        <v>0</v>
      </c>
      <c r="BP234" s="65">
        <f t="shared" ca="1" si="198"/>
        <v>0</v>
      </c>
      <c r="BQ234" s="65">
        <f t="shared" ca="1" si="199"/>
        <v>0</v>
      </c>
      <c r="BR234" s="65">
        <f t="shared" ca="1" si="200"/>
        <v>0</v>
      </c>
      <c r="BS234" s="65">
        <f t="shared" ca="1" si="201"/>
        <v>0</v>
      </c>
      <c r="BT234" s="65">
        <f t="shared" ca="1" si="202"/>
        <v>0</v>
      </c>
      <c r="BU234" s="65">
        <f t="shared" ca="1" si="179"/>
        <v>0</v>
      </c>
    </row>
    <row r="235" spans="1:73">
      <c r="A235" s="42">
        <f t="shared" si="180"/>
        <v>44986</v>
      </c>
      <c r="B235" s="30">
        <f>Inputs!$B$8</f>
        <v>50000</v>
      </c>
      <c r="C235" s="17">
        <f t="shared" si="170"/>
        <v>0</v>
      </c>
      <c r="D235" s="17">
        <f t="shared" ca="1" si="171"/>
        <v>0</v>
      </c>
      <c r="E235" s="25">
        <f>VLOOKUP($A235,[1]!CurveTable,MATCH($E$4,[1]!CurveType,0))</f>
        <v>5.7735000000000003</v>
      </c>
      <c r="F235" s="31">
        <f>E235-Inputs!$B$16</f>
        <v>5.8285</v>
      </c>
      <c r="G235" s="43">
        <f t="shared" si="212"/>
        <v>5.8285</v>
      </c>
      <c r="H235" s="25">
        <f>VLOOKUP($A235,[1]!CurveTable,MATCH($H$4,[1]!CurveType,0))</f>
        <v>0.115</v>
      </c>
      <c r="I235" s="31">
        <f>H235+Inputs!$B$22</f>
        <v>0.115</v>
      </c>
      <c r="J235" s="44">
        <f t="shared" si="213"/>
        <v>0.115</v>
      </c>
      <c r="K235" s="25">
        <f>VLOOKUP($A235,[1]!CurveTable,MATCH($K$4,[1]!CurveType,0))</f>
        <v>0</v>
      </c>
      <c r="L235" s="31">
        <v>0</v>
      </c>
      <c r="M235" s="45">
        <f t="shared" si="214"/>
        <v>0</v>
      </c>
      <c r="N235" s="25">
        <f>VLOOKUP($A235,[1]!CurveTable,MATCH($N$4,[1]!CurveType,0))</f>
        <v>0</v>
      </c>
      <c r="O235" s="31">
        <f>N235+Inputs!$E$22</f>
        <v>0</v>
      </c>
      <c r="P235" s="45">
        <f t="shared" si="215"/>
        <v>0</v>
      </c>
      <c r="Q235" s="25">
        <f>VLOOKUP($A235,[1]!CurveTable,MATCH($Q$4,[1]!CurveType,0))</f>
        <v>0</v>
      </c>
      <c r="R235" s="31">
        <v>0</v>
      </c>
      <c r="S235" s="45">
        <f t="shared" si="216"/>
        <v>0</v>
      </c>
      <c r="T235" s="4"/>
      <c r="U235" s="159">
        <f t="shared" si="181"/>
        <v>5.9435000000000002</v>
      </c>
      <c r="V235" s="160"/>
      <c r="W235" s="100">
        <f>VLOOKUP($A235,[1]!CurveTable,MATCH($W$4,[1]!CurveType,0))+$W$9</f>
        <v>0.17</v>
      </c>
      <c r="X235" s="100">
        <f>VLOOKUP($A235,[1]!CurveTable,MATCH($X$4,[1]!CurveType,0))+$X$9</f>
        <v>0.17500000000000002</v>
      </c>
      <c r="Y235" s="158">
        <f t="shared" ca="1" si="172"/>
        <v>0.17549098526512721</v>
      </c>
      <c r="Z235" s="4"/>
      <c r="AA235" s="159">
        <f t="shared" si="182"/>
        <v>5.8285</v>
      </c>
      <c r="AB235" s="160"/>
      <c r="AC235" s="100">
        <f>VLOOKUP($A235,[1]!CurveTable,MATCH($AC$4,[1]!CurveType,0))+$AC$9</f>
        <v>0.17</v>
      </c>
      <c r="AD235" s="100">
        <f>VLOOKUP($A235,[1]!CurveTable,MATCH($AD$4,[1]!CurveType,0))+$AD$9</f>
        <v>0.17500000000000002</v>
      </c>
      <c r="AE235" s="158">
        <f t="shared" ca="1" si="173"/>
        <v>0.17549098526512721</v>
      </c>
      <c r="AF235" s="4"/>
      <c r="AG235" s="52">
        <f ca="1">((Inputs!$F$20*(X235*AD235)*(A235-$C$3))+(Inputs!$F$19*W235*AC235*(DAY(EOMONTH(A235,0))/2)))/(AN235*Y235*AE235)</f>
        <v>0.74999999999999989</v>
      </c>
      <c r="AH235" s="4"/>
      <c r="AI235" s="18">
        <f>Inputs!$B$15</f>
        <v>0.06</v>
      </c>
      <c r="AJ235" s="46"/>
      <c r="AK235" s="18">
        <f t="shared" si="174"/>
        <v>5.5000000000000215E-2</v>
      </c>
      <c r="AL235" s="46"/>
      <c r="AM235" s="62">
        <f t="shared" si="175"/>
        <v>44957</v>
      </c>
      <c r="AN235" s="63">
        <f t="shared" ca="1" si="176"/>
        <v>7764</v>
      </c>
      <c r="AO235" s="63">
        <f t="shared" si="203"/>
        <v>1</v>
      </c>
      <c r="AP235" s="19"/>
      <c r="AQ235" s="74">
        <f ca="1">_xll.SPRDOPT(U235,AA235,AI235,AX235,X235,AD235,AG235,AN235,AO235,0)</f>
        <v>0.36283457587118007</v>
      </c>
      <c r="AR235" s="47">
        <f t="shared" ca="1" si="183"/>
        <v>0</v>
      </c>
      <c r="AS235" s="135">
        <f t="shared" ca="1" si="184"/>
        <v>0.30783457587117985</v>
      </c>
      <c r="AU235" s="5">
        <f t="shared" si="204"/>
        <v>31</v>
      </c>
      <c r="AV235" s="148">
        <f t="shared" si="177"/>
        <v>45000</v>
      </c>
      <c r="AW235" s="41">
        <f t="shared" ca="1" si="178"/>
        <v>7807</v>
      </c>
      <c r="AX235" s="100">
        <f>VLOOKUP($A235,[1]!CurveTable,MATCH(AX$4,[1]!CurveType,0))</f>
        <v>6.17964047584936E-2</v>
      </c>
      <c r="AY235" s="149">
        <f ca="1">1/(1+CHOOSE(F$3,(AX236+(Inputs!$B$14/10000))/2,(AX235+(Inputs!$B$14/10000))/2))^(2*AW235/365.25)</f>
        <v>0.27229592090436017</v>
      </c>
      <c r="AZ235" s="41">
        <f t="shared" si="205"/>
        <v>0</v>
      </c>
      <c r="BA235" s="72">
        <f t="shared" si="206"/>
        <v>0</v>
      </c>
      <c r="BC235" s="65">
        <f t="shared" ca="1" si="185"/>
        <v>0</v>
      </c>
      <c r="BD235" s="65">
        <f t="shared" ca="1" si="186"/>
        <v>0</v>
      </c>
      <c r="BE235" s="65">
        <f t="shared" ca="1" si="187"/>
        <v>0</v>
      </c>
      <c r="BF235" s="65">
        <f t="shared" ca="1" si="188"/>
        <v>0</v>
      </c>
      <c r="BG235" s="65">
        <f t="shared" ca="1" si="189"/>
        <v>0</v>
      </c>
      <c r="BH235" s="65">
        <f t="shared" ca="1" si="190"/>
        <v>0</v>
      </c>
      <c r="BI235" s="65">
        <f t="shared" ca="1" si="191"/>
        <v>0</v>
      </c>
      <c r="BJ235" s="65">
        <f t="shared" ca="1" si="192"/>
        <v>0</v>
      </c>
      <c r="BK235" s="65">
        <f t="shared" ca="1" si="193"/>
        <v>0</v>
      </c>
      <c r="BL235" s="65">
        <f t="shared" ca="1" si="194"/>
        <v>0</v>
      </c>
      <c r="BM235" s="65">
        <f t="shared" ca="1" si="195"/>
        <v>0</v>
      </c>
      <c r="BN235" s="65">
        <f t="shared" ca="1" si="196"/>
        <v>0</v>
      </c>
      <c r="BO235" s="65">
        <f t="shared" ca="1" si="197"/>
        <v>0</v>
      </c>
      <c r="BP235" s="65">
        <f t="shared" ca="1" si="198"/>
        <v>0</v>
      </c>
      <c r="BQ235" s="65">
        <f t="shared" ca="1" si="199"/>
        <v>0</v>
      </c>
      <c r="BR235" s="65">
        <f t="shared" ca="1" si="200"/>
        <v>0</v>
      </c>
      <c r="BS235" s="65">
        <f t="shared" ca="1" si="201"/>
        <v>0</v>
      </c>
      <c r="BT235" s="65">
        <f t="shared" ca="1" si="202"/>
        <v>0</v>
      </c>
      <c r="BU235" s="65">
        <f t="shared" ca="1" si="179"/>
        <v>0</v>
      </c>
    </row>
    <row r="236" spans="1:73">
      <c r="A236" s="42">
        <f t="shared" si="180"/>
        <v>45017</v>
      </c>
      <c r="B236" s="30">
        <f>Inputs!$B$8</f>
        <v>50000</v>
      </c>
      <c r="C236" s="17">
        <f t="shared" si="170"/>
        <v>0</v>
      </c>
      <c r="D236" s="17">
        <f t="shared" ca="1" si="171"/>
        <v>0</v>
      </c>
      <c r="E236" s="25">
        <f>VLOOKUP($A236,[1]!CurveTable,MATCH($E$4,[1]!CurveType,0))</f>
        <v>5.6195000000000004</v>
      </c>
      <c r="F236" s="31">
        <f>E236-Inputs!$B$16</f>
        <v>5.6745000000000001</v>
      </c>
      <c r="G236" s="43">
        <f t="shared" si="212"/>
        <v>5.6745000000000001</v>
      </c>
      <c r="H236" s="25">
        <f>VLOOKUP($A236,[1]!CurveTable,MATCH($H$4,[1]!CurveType,0))</f>
        <v>0</v>
      </c>
      <c r="I236" s="31">
        <f>H236+Inputs!$B$22</f>
        <v>0</v>
      </c>
      <c r="J236" s="44">
        <f t="shared" si="213"/>
        <v>0</v>
      </c>
      <c r="K236" s="25">
        <f>VLOOKUP($A236,[1]!CurveTable,MATCH($K$4,[1]!CurveType,0))</f>
        <v>0</v>
      </c>
      <c r="L236" s="31">
        <v>0</v>
      </c>
      <c r="M236" s="45">
        <f t="shared" si="214"/>
        <v>0</v>
      </c>
      <c r="N236" s="25">
        <f>VLOOKUP($A236,[1]!CurveTable,MATCH($N$4,[1]!CurveType,0))</f>
        <v>0</v>
      </c>
      <c r="O236" s="31">
        <f>N236+Inputs!$E$22</f>
        <v>0</v>
      </c>
      <c r="P236" s="45">
        <f t="shared" si="215"/>
        <v>0</v>
      </c>
      <c r="Q236" s="25">
        <f>VLOOKUP($A236,[1]!CurveTable,MATCH($Q$4,[1]!CurveType,0))</f>
        <v>0</v>
      </c>
      <c r="R236" s="31">
        <v>0</v>
      </c>
      <c r="S236" s="45">
        <f t="shared" si="216"/>
        <v>0</v>
      </c>
      <c r="T236" s="4"/>
      <c r="U236" s="159">
        <f t="shared" si="181"/>
        <v>5.6745000000000001</v>
      </c>
      <c r="V236" s="160"/>
      <c r="W236" s="100">
        <f>VLOOKUP($A236,[1]!CurveTable,MATCH($W$4,[1]!CurveType,0))+$W$9</f>
        <v>0.17</v>
      </c>
      <c r="X236" s="100">
        <f>VLOOKUP($A236,[1]!CurveTable,MATCH($X$4,[1]!CurveType,0))+$X$9</f>
        <v>0.17500000000000002</v>
      </c>
      <c r="Y236" s="158">
        <f t="shared" ca="1" si="172"/>
        <v>0.17551753189954211</v>
      </c>
      <c r="Z236" s="4"/>
      <c r="AA236" s="159">
        <f t="shared" si="182"/>
        <v>5.6745000000000001</v>
      </c>
      <c r="AB236" s="160"/>
      <c r="AC236" s="100">
        <f>VLOOKUP($A236,[1]!CurveTable,MATCH($AC$4,[1]!CurveType,0))+$AC$9</f>
        <v>0.17</v>
      </c>
      <c r="AD236" s="100">
        <f>VLOOKUP($A236,[1]!CurveTable,MATCH($AD$4,[1]!CurveType,0))+$AD$9</f>
        <v>0.17500000000000002</v>
      </c>
      <c r="AE236" s="158">
        <f t="shared" ca="1" si="173"/>
        <v>0.17551753189954211</v>
      </c>
      <c r="AF236" s="4"/>
      <c r="AG236" s="52">
        <f ca="1">((Inputs!$F$20*(X236*AD236)*(A236-$C$3))+(Inputs!$F$19*W236*AC236*(DAY(EOMONTH(A236,0))/2)))/(AN236*Y236*AE236)</f>
        <v>0.74999999999999989</v>
      </c>
      <c r="AH236" s="4"/>
      <c r="AI236" s="18">
        <f>Inputs!$B$15</f>
        <v>0.06</v>
      </c>
      <c r="AJ236" s="46"/>
      <c r="AK236" s="18">
        <f t="shared" si="174"/>
        <v>0</v>
      </c>
      <c r="AL236" s="46"/>
      <c r="AM236" s="62">
        <f t="shared" si="175"/>
        <v>44985</v>
      </c>
      <c r="AN236" s="63">
        <f t="shared" ca="1" si="176"/>
        <v>7792</v>
      </c>
      <c r="AO236" s="63">
        <f t="shared" si="203"/>
        <v>1</v>
      </c>
      <c r="AP236" s="19"/>
      <c r="AQ236" s="74">
        <f ca="1">_xll.SPRDOPT(U236,AA236,AI236,AX236,X236,AD236,AG236,AN236,AO236,0)</f>
        <v>0.33362060233354657</v>
      </c>
      <c r="AR236" s="47">
        <f t="shared" ca="1" si="183"/>
        <v>0</v>
      </c>
      <c r="AS236" s="135">
        <f t="shared" ca="1" si="184"/>
        <v>0.33362060233354657</v>
      </c>
      <c r="AU236" s="5">
        <f t="shared" si="204"/>
        <v>30</v>
      </c>
      <c r="AV236" s="148">
        <f t="shared" si="177"/>
        <v>45031</v>
      </c>
      <c r="AW236" s="41">
        <f t="shared" ca="1" si="178"/>
        <v>7838</v>
      </c>
      <c r="AX236" s="100">
        <f>VLOOKUP($A236,[1]!CurveTable,MATCH(AX$4,[1]!CurveType,0))</f>
        <v>6.1799758573935402E-2</v>
      </c>
      <c r="AY236" s="149">
        <f ca="1">1/(1+CHOOSE(F$3,(AX237+(Inputs!$B$14/10000))/2,(AX236+(Inputs!$B$14/10000))/2))^(2*AW236/365.25)</f>
        <v>0.27087409908539967</v>
      </c>
      <c r="AZ236" s="41">
        <f t="shared" si="205"/>
        <v>0</v>
      </c>
      <c r="BA236" s="72">
        <f t="shared" si="206"/>
        <v>0</v>
      </c>
      <c r="BC236" s="65">
        <f t="shared" ca="1" si="185"/>
        <v>0</v>
      </c>
      <c r="BD236" s="65">
        <f t="shared" ca="1" si="186"/>
        <v>0</v>
      </c>
      <c r="BE236" s="65">
        <f t="shared" ca="1" si="187"/>
        <v>0</v>
      </c>
      <c r="BF236" s="65">
        <f t="shared" ca="1" si="188"/>
        <v>0</v>
      </c>
      <c r="BG236" s="65">
        <f t="shared" ca="1" si="189"/>
        <v>0</v>
      </c>
      <c r="BH236" s="65">
        <f t="shared" ca="1" si="190"/>
        <v>0</v>
      </c>
      <c r="BI236" s="65">
        <f t="shared" ca="1" si="191"/>
        <v>0</v>
      </c>
      <c r="BJ236" s="65">
        <f t="shared" ca="1" si="192"/>
        <v>0</v>
      </c>
      <c r="BK236" s="65">
        <f t="shared" ca="1" si="193"/>
        <v>0</v>
      </c>
      <c r="BL236" s="65">
        <f t="shared" ca="1" si="194"/>
        <v>0</v>
      </c>
      <c r="BM236" s="65">
        <f t="shared" ca="1" si="195"/>
        <v>0</v>
      </c>
      <c r="BN236" s="65">
        <f t="shared" ca="1" si="196"/>
        <v>0</v>
      </c>
      <c r="BO236" s="65">
        <f t="shared" ca="1" si="197"/>
        <v>0</v>
      </c>
      <c r="BP236" s="65">
        <f t="shared" ca="1" si="198"/>
        <v>0</v>
      </c>
      <c r="BQ236" s="65">
        <f t="shared" ca="1" si="199"/>
        <v>0</v>
      </c>
      <c r="BR236" s="65">
        <f t="shared" ca="1" si="200"/>
        <v>0</v>
      </c>
      <c r="BS236" s="65">
        <f t="shared" ca="1" si="201"/>
        <v>0</v>
      </c>
      <c r="BT236" s="65">
        <f t="shared" ca="1" si="202"/>
        <v>0</v>
      </c>
      <c r="BU236" s="65">
        <f t="shared" ca="1" si="179"/>
        <v>0</v>
      </c>
    </row>
    <row r="237" spans="1:73">
      <c r="A237" s="42">
        <f t="shared" si="180"/>
        <v>45047</v>
      </c>
      <c r="B237" s="30">
        <f>Inputs!$B$8</f>
        <v>50000</v>
      </c>
      <c r="C237" s="17">
        <f t="shared" si="170"/>
        <v>0</v>
      </c>
      <c r="D237" s="17">
        <f t="shared" ca="1" si="171"/>
        <v>0</v>
      </c>
      <c r="E237" s="25">
        <f>VLOOKUP($A237,[1]!CurveTable,MATCH($E$4,[1]!CurveType,0))</f>
        <v>5.6245000000000003</v>
      </c>
      <c r="F237" s="31">
        <f>E237-Inputs!$B$16</f>
        <v>5.6795</v>
      </c>
      <c r="G237" s="43">
        <f t="shared" si="212"/>
        <v>5.6795</v>
      </c>
      <c r="H237" s="25">
        <f>VLOOKUP($A237,[1]!CurveTable,MATCH($H$4,[1]!CurveType,0))</f>
        <v>0</v>
      </c>
      <c r="I237" s="31">
        <f>H237+Inputs!$B$22</f>
        <v>0</v>
      </c>
      <c r="J237" s="44">
        <f t="shared" si="213"/>
        <v>0</v>
      </c>
      <c r="K237" s="25">
        <f>VLOOKUP($A237,[1]!CurveTable,MATCH($K$4,[1]!CurveType,0))</f>
        <v>0</v>
      </c>
      <c r="L237" s="31">
        <v>0</v>
      </c>
      <c r="M237" s="45">
        <f t="shared" si="214"/>
        <v>0</v>
      </c>
      <c r="N237" s="25">
        <f>VLOOKUP($A237,[1]!CurveTable,MATCH($N$4,[1]!CurveType,0))</f>
        <v>0</v>
      </c>
      <c r="O237" s="31">
        <f>N237+Inputs!$E$22</f>
        <v>0</v>
      </c>
      <c r="P237" s="45">
        <f t="shared" si="215"/>
        <v>0</v>
      </c>
      <c r="Q237" s="25">
        <f>VLOOKUP($A237,[1]!CurveTable,MATCH($Q$4,[1]!CurveType,0))</f>
        <v>0</v>
      </c>
      <c r="R237" s="31">
        <v>0</v>
      </c>
      <c r="S237" s="45">
        <f t="shared" si="216"/>
        <v>0</v>
      </c>
      <c r="T237" s="4"/>
      <c r="U237" s="159">
        <f t="shared" si="181"/>
        <v>5.6795</v>
      </c>
      <c r="V237" s="160"/>
      <c r="W237" s="100">
        <f>VLOOKUP($A237,[1]!CurveTable,MATCH($W$4,[1]!CurveType,0))+$W$9</f>
        <v>0.34</v>
      </c>
      <c r="X237" s="100">
        <f>VLOOKUP($A237,[1]!CurveTable,MATCH($X$4,[1]!CurveType,0))+$X$9</f>
        <v>0.34500000000000003</v>
      </c>
      <c r="Y237" s="158">
        <f t="shared" ca="1" si="172"/>
        <v>0.34601401685392602</v>
      </c>
      <c r="Z237" s="4"/>
      <c r="AA237" s="159">
        <f t="shared" si="182"/>
        <v>5.6795</v>
      </c>
      <c r="AB237" s="160"/>
      <c r="AC237" s="100">
        <f>VLOOKUP($A237,[1]!CurveTable,MATCH($AC$4,[1]!CurveType,0))+$AC$9</f>
        <v>0.17</v>
      </c>
      <c r="AD237" s="100">
        <f>VLOOKUP($A237,[1]!CurveTable,MATCH($AD$4,[1]!CurveType,0))+$AD$9</f>
        <v>0.17500000000000002</v>
      </c>
      <c r="AE237" s="158">
        <f t="shared" ca="1" si="173"/>
        <v>0.17550959386320991</v>
      </c>
      <c r="AF237" s="4"/>
      <c r="AG237" s="52">
        <f ca="1">((Inputs!$F$20*(X237*AD237)*(A237-$C$3))+(Inputs!$F$19*W237*AC237*(DAY(EOMONTH(A237,0))/2)))/(AN237*Y237*AE237)</f>
        <v>0.7499998538644127</v>
      </c>
      <c r="AH237" s="4"/>
      <c r="AI237" s="18">
        <f>Inputs!$B$15</f>
        <v>0.06</v>
      </c>
      <c r="AJ237" s="46"/>
      <c r="AK237" s="18">
        <f t="shared" si="174"/>
        <v>0</v>
      </c>
      <c r="AL237" s="46"/>
      <c r="AM237" s="62">
        <f t="shared" si="175"/>
        <v>45016</v>
      </c>
      <c r="AN237" s="63">
        <f t="shared" ca="1" si="176"/>
        <v>7823</v>
      </c>
      <c r="AO237" s="63">
        <f t="shared" si="203"/>
        <v>1</v>
      </c>
      <c r="AP237" s="19"/>
      <c r="AQ237" s="74">
        <f ca="1">_xll.SPRDOPT(U237,AA237,AI237,AX237,X237,AD237,AG237,AN237,AO237,0)</f>
        <v>0.64108988810644429</v>
      </c>
      <c r="AR237" s="47">
        <f t="shared" ca="1" si="183"/>
        <v>0</v>
      </c>
      <c r="AS237" s="135">
        <f t="shared" ca="1" si="184"/>
        <v>0.64108988810644429</v>
      </c>
      <c r="AU237" s="5">
        <f t="shared" si="204"/>
        <v>31</v>
      </c>
      <c r="AV237" s="148">
        <f t="shared" si="177"/>
        <v>45061</v>
      </c>
      <c r="AW237" s="41">
        <f t="shared" ca="1" si="178"/>
        <v>7868</v>
      </c>
      <c r="AX237" s="100">
        <f>VLOOKUP($A237,[1]!CurveTable,MATCH(AX$4,[1]!CurveType,0))</f>
        <v>6.1803004201785902E-2</v>
      </c>
      <c r="AY237" s="149">
        <f ca="1">1/(1+CHOOSE(F$3,(AX238+(Inputs!$B$14/10000))/2,(AX237+(Inputs!$B$14/10000))/2))^(2*AW237/365.25)</f>
        <v>0.269505070026683</v>
      </c>
      <c r="AZ237" s="41">
        <f t="shared" si="205"/>
        <v>0</v>
      </c>
      <c r="BA237" s="72">
        <f t="shared" si="206"/>
        <v>0</v>
      </c>
      <c r="BC237" s="65">
        <f t="shared" ca="1" si="185"/>
        <v>0</v>
      </c>
      <c r="BD237" s="65">
        <f t="shared" ca="1" si="186"/>
        <v>0</v>
      </c>
      <c r="BE237" s="65">
        <f t="shared" ca="1" si="187"/>
        <v>0</v>
      </c>
      <c r="BF237" s="65">
        <f t="shared" ca="1" si="188"/>
        <v>0</v>
      </c>
      <c r="BG237" s="65">
        <f t="shared" ca="1" si="189"/>
        <v>0</v>
      </c>
      <c r="BH237" s="65">
        <f t="shared" ca="1" si="190"/>
        <v>0</v>
      </c>
      <c r="BI237" s="65">
        <f t="shared" ca="1" si="191"/>
        <v>0</v>
      </c>
      <c r="BJ237" s="65">
        <f t="shared" ca="1" si="192"/>
        <v>0</v>
      </c>
      <c r="BK237" s="65">
        <f t="shared" ca="1" si="193"/>
        <v>0</v>
      </c>
      <c r="BL237" s="65">
        <f t="shared" ca="1" si="194"/>
        <v>0</v>
      </c>
      <c r="BM237" s="65">
        <f t="shared" ca="1" si="195"/>
        <v>0</v>
      </c>
      <c r="BN237" s="65">
        <f t="shared" ca="1" si="196"/>
        <v>0</v>
      </c>
      <c r="BO237" s="65">
        <f t="shared" ca="1" si="197"/>
        <v>0</v>
      </c>
      <c r="BP237" s="65">
        <f t="shared" ca="1" si="198"/>
        <v>0</v>
      </c>
      <c r="BQ237" s="65">
        <f t="shared" ca="1" si="199"/>
        <v>0</v>
      </c>
      <c r="BR237" s="65">
        <f t="shared" ca="1" si="200"/>
        <v>0</v>
      </c>
      <c r="BS237" s="65">
        <f t="shared" ca="1" si="201"/>
        <v>0</v>
      </c>
      <c r="BT237" s="65">
        <f t="shared" ca="1" si="202"/>
        <v>0</v>
      </c>
      <c r="BU237" s="65">
        <f t="shared" ca="1" si="179"/>
        <v>0</v>
      </c>
    </row>
    <row r="238" spans="1:73">
      <c r="A238" s="42">
        <f t="shared" si="180"/>
        <v>45078</v>
      </c>
      <c r="B238" s="30">
        <f>Inputs!$B$8</f>
        <v>50000</v>
      </c>
      <c r="C238" s="17">
        <f t="shared" si="170"/>
        <v>0</v>
      </c>
      <c r="D238" s="17">
        <f t="shared" ca="1" si="171"/>
        <v>0</v>
      </c>
      <c r="E238" s="25">
        <f>VLOOKUP($A238,[1]!CurveTable,MATCH($E$4,[1]!CurveType,0))</f>
        <v>5.6624999999999996</v>
      </c>
      <c r="F238" s="31">
        <f>E238-Inputs!$B$16</f>
        <v>5.7174999999999994</v>
      </c>
      <c r="G238" s="43">
        <f t="shared" si="212"/>
        <v>5.7174999999999994</v>
      </c>
      <c r="H238" s="25">
        <f>VLOOKUP($A238,[1]!CurveTable,MATCH($H$4,[1]!CurveType,0))</f>
        <v>0</v>
      </c>
      <c r="I238" s="31">
        <f>H238+Inputs!$B$22</f>
        <v>0</v>
      </c>
      <c r="J238" s="44">
        <f t="shared" si="213"/>
        <v>0</v>
      </c>
      <c r="K238" s="25">
        <f>VLOOKUP($A238,[1]!CurveTable,MATCH($K$4,[1]!CurveType,0))</f>
        <v>0</v>
      </c>
      <c r="L238" s="31">
        <v>0</v>
      </c>
      <c r="M238" s="45">
        <f t="shared" si="214"/>
        <v>0</v>
      </c>
      <c r="N238" s="25">
        <f>VLOOKUP($A238,[1]!CurveTable,MATCH($N$4,[1]!CurveType,0))</f>
        <v>0</v>
      </c>
      <c r="O238" s="31">
        <f>N238+Inputs!$E$22</f>
        <v>0</v>
      </c>
      <c r="P238" s="45">
        <f t="shared" si="215"/>
        <v>0</v>
      </c>
      <c r="Q238" s="25">
        <f>VLOOKUP($A238,[1]!CurveTable,MATCH($Q$4,[1]!CurveType,0))</f>
        <v>0</v>
      </c>
      <c r="R238" s="31">
        <v>0</v>
      </c>
      <c r="S238" s="45">
        <f t="shared" si="216"/>
        <v>0</v>
      </c>
      <c r="T238" s="4"/>
      <c r="U238" s="159">
        <f t="shared" si="181"/>
        <v>5.7174999999999994</v>
      </c>
      <c r="V238" s="160"/>
      <c r="W238" s="100">
        <f>VLOOKUP($A238,[1]!CurveTable,MATCH($W$4,[1]!CurveType,0))+$W$9</f>
        <v>0.34</v>
      </c>
      <c r="X238" s="100">
        <f>VLOOKUP($A238,[1]!CurveTable,MATCH($X$4,[1]!CurveType,0))+$X$9</f>
        <v>0.34500000000000003</v>
      </c>
      <c r="Y238" s="158">
        <f t="shared" ca="1" si="172"/>
        <v>0.34602141470155312</v>
      </c>
      <c r="Z238" s="4"/>
      <c r="AA238" s="159">
        <f t="shared" si="182"/>
        <v>5.7174999999999994</v>
      </c>
      <c r="AB238" s="160"/>
      <c r="AC238" s="100">
        <f>VLOOKUP($A238,[1]!CurveTable,MATCH($AC$4,[1]!CurveType,0))+$AC$9</f>
        <v>0.17</v>
      </c>
      <c r="AD238" s="100">
        <f>VLOOKUP($A238,[1]!CurveTable,MATCH($AD$4,[1]!CurveType,0))+$AD$9</f>
        <v>0.17500000000000002</v>
      </c>
      <c r="AE238" s="158">
        <f t="shared" ca="1" si="173"/>
        <v>0.17551351773127108</v>
      </c>
      <c r="AF238" s="4"/>
      <c r="AG238" s="52">
        <f ca="1">((Inputs!$F$20*(X238*AD238)*(A238-$C$3))+(Inputs!$F$19*W238*AC238*(DAY(EOMONTH(A238,0))/2)))/(AN238*Y238*AE238)</f>
        <v>0.74999985911530187</v>
      </c>
      <c r="AH238" s="4"/>
      <c r="AI238" s="18">
        <f>Inputs!$B$15</f>
        <v>0.06</v>
      </c>
      <c r="AJ238" s="46"/>
      <c r="AK238" s="18">
        <f t="shared" si="174"/>
        <v>0</v>
      </c>
      <c r="AL238" s="46"/>
      <c r="AM238" s="62">
        <f t="shared" si="175"/>
        <v>45046</v>
      </c>
      <c r="AN238" s="63">
        <f t="shared" ca="1" si="176"/>
        <v>7853</v>
      </c>
      <c r="AO238" s="63">
        <f t="shared" si="203"/>
        <v>1</v>
      </c>
      <c r="AP238" s="19"/>
      <c r="AQ238" s="74">
        <f ca="1">_xll.SPRDOPT(U238,AA238,AI238,AX238,X238,AD238,AG238,AN238,AO238,0)</f>
        <v>0.64320385984937867</v>
      </c>
      <c r="AR238" s="47">
        <f t="shared" ca="1" si="183"/>
        <v>0</v>
      </c>
      <c r="AS238" s="135">
        <f t="shared" ca="1" si="184"/>
        <v>0.64320385984937867</v>
      </c>
      <c r="AU238" s="5">
        <f t="shared" si="204"/>
        <v>30</v>
      </c>
      <c r="AV238" s="148">
        <f t="shared" si="177"/>
        <v>45092</v>
      </c>
      <c r="AW238" s="41">
        <f t="shared" ca="1" si="178"/>
        <v>7899</v>
      </c>
      <c r="AX238" s="100">
        <f>VLOOKUP($A238,[1]!CurveTable,MATCH(AX$4,[1]!CurveType,0))</f>
        <v>6.1806358017234803E-2</v>
      </c>
      <c r="AY238" s="149">
        <f ca="1">1/(1+CHOOSE(F$3,(AX239+(Inputs!$B$14/10000))/2,(AX238+(Inputs!$B$14/10000))/2))^(2*AW238/365.25)</f>
        <v>0.26809752965954214</v>
      </c>
      <c r="AZ238" s="41">
        <f t="shared" si="205"/>
        <v>0</v>
      </c>
      <c r="BA238" s="72">
        <f t="shared" si="206"/>
        <v>0</v>
      </c>
      <c r="BC238" s="65">
        <f t="shared" ca="1" si="185"/>
        <v>0</v>
      </c>
      <c r="BD238" s="65">
        <f t="shared" ca="1" si="186"/>
        <v>0</v>
      </c>
      <c r="BE238" s="65">
        <f t="shared" ca="1" si="187"/>
        <v>0</v>
      </c>
      <c r="BF238" s="65">
        <f t="shared" ca="1" si="188"/>
        <v>0</v>
      </c>
      <c r="BG238" s="65">
        <f t="shared" ca="1" si="189"/>
        <v>0</v>
      </c>
      <c r="BH238" s="65">
        <f t="shared" ca="1" si="190"/>
        <v>0</v>
      </c>
      <c r="BI238" s="65">
        <f t="shared" ca="1" si="191"/>
        <v>0</v>
      </c>
      <c r="BJ238" s="65">
        <f t="shared" ca="1" si="192"/>
        <v>0</v>
      </c>
      <c r="BK238" s="65">
        <f t="shared" ca="1" si="193"/>
        <v>0</v>
      </c>
      <c r="BL238" s="65">
        <f t="shared" ca="1" si="194"/>
        <v>0</v>
      </c>
      <c r="BM238" s="65">
        <f t="shared" ca="1" si="195"/>
        <v>0</v>
      </c>
      <c r="BN238" s="65">
        <f t="shared" ca="1" si="196"/>
        <v>0</v>
      </c>
      <c r="BO238" s="65">
        <f t="shared" ca="1" si="197"/>
        <v>0</v>
      </c>
      <c r="BP238" s="65">
        <f t="shared" ca="1" si="198"/>
        <v>0</v>
      </c>
      <c r="BQ238" s="65">
        <f t="shared" ca="1" si="199"/>
        <v>0</v>
      </c>
      <c r="BR238" s="65">
        <f t="shared" ca="1" si="200"/>
        <v>0</v>
      </c>
      <c r="BS238" s="65">
        <f t="shared" ca="1" si="201"/>
        <v>0</v>
      </c>
      <c r="BT238" s="65">
        <f t="shared" ca="1" si="202"/>
        <v>0</v>
      </c>
      <c r="BU238" s="65">
        <f t="shared" ca="1" si="179"/>
        <v>0</v>
      </c>
    </row>
    <row r="239" spans="1:73">
      <c r="A239" s="42">
        <f t="shared" si="180"/>
        <v>45108</v>
      </c>
      <c r="B239" s="30">
        <f>Inputs!$B$8</f>
        <v>50000</v>
      </c>
      <c r="C239" s="17">
        <f t="shared" si="170"/>
        <v>0</v>
      </c>
      <c r="D239" s="17">
        <f t="shared" ca="1" si="171"/>
        <v>0</v>
      </c>
      <c r="E239" s="25">
        <f>VLOOKUP($A239,[1]!CurveTable,MATCH($E$4,[1]!CurveType,0))</f>
        <v>5.7074999999999996</v>
      </c>
      <c r="F239" s="31">
        <f>E239-Inputs!$B$16</f>
        <v>5.7624999999999993</v>
      </c>
      <c r="G239" s="43">
        <f t="shared" si="212"/>
        <v>5.7624999999999993</v>
      </c>
      <c r="H239" s="25">
        <f>VLOOKUP($A239,[1]!CurveTable,MATCH($H$4,[1]!CurveType,0))</f>
        <v>0</v>
      </c>
      <c r="I239" s="31">
        <f>H239+Inputs!$B$22</f>
        <v>0</v>
      </c>
      <c r="J239" s="44">
        <f t="shared" si="213"/>
        <v>0</v>
      </c>
      <c r="K239" s="25">
        <f>VLOOKUP($A239,[1]!CurveTable,MATCH($K$4,[1]!CurveType,0))</f>
        <v>0</v>
      </c>
      <c r="L239" s="31">
        <v>0</v>
      </c>
      <c r="M239" s="45">
        <f t="shared" si="214"/>
        <v>0</v>
      </c>
      <c r="N239" s="25">
        <f>VLOOKUP($A239,[1]!CurveTable,MATCH($N$4,[1]!CurveType,0))</f>
        <v>0</v>
      </c>
      <c r="O239" s="31">
        <f>N239+Inputs!$E$22</f>
        <v>0</v>
      </c>
      <c r="P239" s="45">
        <f t="shared" si="215"/>
        <v>0</v>
      </c>
      <c r="Q239" s="25">
        <f>VLOOKUP($A239,[1]!CurveTable,MATCH($Q$4,[1]!CurveType,0))</f>
        <v>0</v>
      </c>
      <c r="R239" s="31">
        <v>0</v>
      </c>
      <c r="S239" s="45">
        <f t="shared" si="216"/>
        <v>0</v>
      </c>
      <c r="T239" s="4"/>
      <c r="U239" s="159">
        <f t="shared" si="181"/>
        <v>5.7624999999999993</v>
      </c>
      <c r="V239" s="160"/>
      <c r="W239" s="100">
        <f>VLOOKUP($A239,[1]!CurveTable,MATCH($W$4,[1]!CurveType,0))+$W$9</f>
        <v>0.34</v>
      </c>
      <c r="X239" s="100">
        <f>VLOOKUP($A239,[1]!CurveTable,MATCH($X$4,[1]!CurveType,0))+$X$9</f>
        <v>0.34500000000000003</v>
      </c>
      <c r="Y239" s="158">
        <f t="shared" ca="1" si="172"/>
        <v>0.34600618262102434</v>
      </c>
      <c r="Z239" s="4"/>
      <c r="AA239" s="159">
        <f t="shared" si="182"/>
        <v>5.7624999999999993</v>
      </c>
      <c r="AB239" s="160"/>
      <c r="AC239" s="100">
        <f>VLOOKUP($A239,[1]!CurveTable,MATCH($AC$4,[1]!CurveType,0))+$AC$9</f>
        <v>0.17</v>
      </c>
      <c r="AD239" s="100">
        <f>VLOOKUP($A239,[1]!CurveTable,MATCH($AD$4,[1]!CurveType,0))+$AD$9</f>
        <v>0.17500000000000002</v>
      </c>
      <c r="AE239" s="158">
        <f t="shared" ca="1" si="173"/>
        <v>0.17550565671890711</v>
      </c>
      <c r="AF239" s="4"/>
      <c r="AG239" s="52">
        <f ca="1">((Inputs!$F$20*(X239*AD239)*(A239-$C$3))+(Inputs!$F$19*W239*AC239*(DAY(EOMONTH(A239,0))/2)))/(AN239*Y239*AE239)</f>
        <v>0.74999985498644761</v>
      </c>
      <c r="AH239" s="4"/>
      <c r="AI239" s="18">
        <f>Inputs!$B$15</f>
        <v>0.06</v>
      </c>
      <c r="AJ239" s="46"/>
      <c r="AK239" s="18">
        <f t="shared" si="174"/>
        <v>0</v>
      </c>
      <c r="AL239" s="46"/>
      <c r="AM239" s="62">
        <f t="shared" si="175"/>
        <v>45077</v>
      </c>
      <c r="AN239" s="63">
        <f t="shared" ca="1" si="176"/>
        <v>7884</v>
      </c>
      <c r="AO239" s="63">
        <f t="shared" si="203"/>
        <v>1</v>
      </c>
      <c r="AP239" s="19"/>
      <c r="AQ239" s="74">
        <f ca="1">_xll.SPRDOPT(U239,AA239,AI239,AX239,X239,AD239,AG239,AN239,AO239,0)</f>
        <v>0.64600871173150975</v>
      </c>
      <c r="AR239" s="47">
        <f t="shared" ca="1" si="183"/>
        <v>0</v>
      </c>
      <c r="AS239" s="135">
        <f t="shared" ca="1" si="184"/>
        <v>0.64600871173150975</v>
      </c>
      <c r="AU239" s="5">
        <f t="shared" si="204"/>
        <v>31</v>
      </c>
      <c r="AV239" s="148">
        <f t="shared" si="177"/>
        <v>45122</v>
      </c>
      <c r="AW239" s="41">
        <f t="shared" ca="1" si="178"/>
        <v>7929</v>
      </c>
      <c r="AX239" s="100">
        <f>VLOOKUP($A239,[1]!CurveTable,MATCH(AX$4,[1]!CurveType,0))</f>
        <v>6.1809603645091901E-2</v>
      </c>
      <c r="AY239" s="149">
        <f ca="1">1/(1+CHOOSE(F$3,(AX240+(Inputs!$B$14/10000))/2,(AX239+(Inputs!$B$14/10000))/2))^(2*AW239/365.25)</f>
        <v>0.26674225325571083</v>
      </c>
      <c r="AZ239" s="41">
        <f t="shared" si="205"/>
        <v>0</v>
      </c>
      <c r="BA239" s="72">
        <f t="shared" si="206"/>
        <v>0</v>
      </c>
      <c r="BC239" s="65">
        <f t="shared" ca="1" si="185"/>
        <v>0</v>
      </c>
      <c r="BD239" s="65">
        <f t="shared" ca="1" si="186"/>
        <v>0</v>
      </c>
      <c r="BE239" s="65">
        <f t="shared" ca="1" si="187"/>
        <v>0</v>
      </c>
      <c r="BF239" s="65">
        <f t="shared" ca="1" si="188"/>
        <v>0</v>
      </c>
      <c r="BG239" s="65">
        <f t="shared" ca="1" si="189"/>
        <v>0</v>
      </c>
      <c r="BH239" s="65">
        <f t="shared" ca="1" si="190"/>
        <v>0</v>
      </c>
      <c r="BI239" s="65">
        <f t="shared" ca="1" si="191"/>
        <v>0</v>
      </c>
      <c r="BJ239" s="65">
        <f t="shared" ca="1" si="192"/>
        <v>0</v>
      </c>
      <c r="BK239" s="65">
        <f t="shared" ca="1" si="193"/>
        <v>0</v>
      </c>
      <c r="BL239" s="65">
        <f t="shared" ca="1" si="194"/>
        <v>0</v>
      </c>
      <c r="BM239" s="65">
        <f t="shared" ca="1" si="195"/>
        <v>0</v>
      </c>
      <c r="BN239" s="65">
        <f t="shared" ca="1" si="196"/>
        <v>0</v>
      </c>
      <c r="BO239" s="65">
        <f t="shared" ca="1" si="197"/>
        <v>0</v>
      </c>
      <c r="BP239" s="65">
        <f t="shared" ca="1" si="198"/>
        <v>0</v>
      </c>
      <c r="BQ239" s="65">
        <f t="shared" ca="1" si="199"/>
        <v>0</v>
      </c>
      <c r="BR239" s="65">
        <f t="shared" ca="1" si="200"/>
        <v>0</v>
      </c>
      <c r="BS239" s="65">
        <f t="shared" ca="1" si="201"/>
        <v>0</v>
      </c>
      <c r="BT239" s="65">
        <f t="shared" ca="1" si="202"/>
        <v>0</v>
      </c>
      <c r="BU239" s="65">
        <f t="shared" ca="1" si="179"/>
        <v>0</v>
      </c>
    </row>
    <row r="240" spans="1:73">
      <c r="A240" s="42">
        <f t="shared" si="180"/>
        <v>45139</v>
      </c>
      <c r="B240" s="30">
        <f>Inputs!$B$8</f>
        <v>50000</v>
      </c>
      <c r="C240" s="17">
        <f t="shared" si="170"/>
        <v>0</v>
      </c>
      <c r="D240" s="17">
        <f t="shared" ca="1" si="171"/>
        <v>0</v>
      </c>
      <c r="E240" s="25">
        <f>VLOOKUP($A240,[1]!CurveTable,MATCH($E$4,[1]!CurveType,0))</f>
        <v>5.7455000000000007</v>
      </c>
      <c r="F240" s="31">
        <f>E240-Inputs!$B$16</f>
        <v>5.8005000000000004</v>
      </c>
      <c r="G240" s="43">
        <f t="shared" si="212"/>
        <v>5.8005000000000004</v>
      </c>
      <c r="H240" s="25">
        <f>VLOOKUP($A240,[1]!CurveTable,MATCH($H$4,[1]!CurveType,0))</f>
        <v>0</v>
      </c>
      <c r="I240" s="31">
        <f>H240+Inputs!$B$22</f>
        <v>0</v>
      </c>
      <c r="J240" s="44">
        <f t="shared" si="213"/>
        <v>0</v>
      </c>
      <c r="K240" s="25">
        <f>VLOOKUP($A240,[1]!CurveTable,MATCH($K$4,[1]!CurveType,0))</f>
        <v>0</v>
      </c>
      <c r="L240" s="31">
        <v>0</v>
      </c>
      <c r="M240" s="45">
        <f t="shared" si="214"/>
        <v>0</v>
      </c>
      <c r="N240" s="25">
        <f>VLOOKUP($A240,[1]!CurveTable,MATCH($N$4,[1]!CurveType,0))</f>
        <v>0</v>
      </c>
      <c r="O240" s="31">
        <f>N240+Inputs!$E$22</f>
        <v>0</v>
      </c>
      <c r="P240" s="45">
        <f t="shared" si="215"/>
        <v>0</v>
      </c>
      <c r="Q240" s="25">
        <f>VLOOKUP($A240,[1]!CurveTable,MATCH($Q$4,[1]!CurveType,0))</f>
        <v>0</v>
      </c>
      <c r="R240" s="31">
        <v>0</v>
      </c>
      <c r="S240" s="45">
        <f t="shared" si="216"/>
        <v>0</v>
      </c>
      <c r="T240" s="4"/>
      <c r="U240" s="159">
        <f t="shared" si="181"/>
        <v>5.8005000000000004</v>
      </c>
      <c r="V240" s="160"/>
      <c r="W240" s="100">
        <f>VLOOKUP($A240,[1]!CurveTable,MATCH($W$4,[1]!CurveType,0))+$W$9</f>
        <v>0.34</v>
      </c>
      <c r="X240" s="100">
        <f>VLOOKUP($A240,[1]!CurveTable,MATCH($X$4,[1]!CurveType,0))+$X$9</f>
        <v>0.34500000000000003</v>
      </c>
      <c r="Y240" s="158">
        <f t="shared" ca="1" si="172"/>
        <v>0.34602410694606101</v>
      </c>
      <c r="Z240" s="4"/>
      <c r="AA240" s="159">
        <f t="shared" si="182"/>
        <v>5.8005000000000004</v>
      </c>
      <c r="AB240" s="160"/>
      <c r="AC240" s="100">
        <f>VLOOKUP($A240,[1]!CurveTable,MATCH($AC$4,[1]!CurveType,0))+$AC$9</f>
        <v>0.17</v>
      </c>
      <c r="AD240" s="100">
        <f>VLOOKUP($A240,[1]!CurveTable,MATCH($AD$4,[1]!CurveType,0))+$AD$9</f>
        <v>0.17500000000000002</v>
      </c>
      <c r="AE240" s="158">
        <f t="shared" ca="1" si="173"/>
        <v>0.17551476692617163</v>
      </c>
      <c r="AF240" s="4"/>
      <c r="AG240" s="52">
        <f ca="1">((Inputs!$F$20*(X240*AD240)*(A240-$C$3))+(Inputs!$F$19*W240*AC240*(DAY(EOMONTH(A240,0))/2)))/(AN240*Y240*AE240)</f>
        <v>0.74999985555008464</v>
      </c>
      <c r="AH240" s="4"/>
      <c r="AI240" s="18">
        <f>Inputs!$B$15</f>
        <v>0.06</v>
      </c>
      <c r="AJ240" s="46"/>
      <c r="AK240" s="18">
        <f t="shared" si="174"/>
        <v>0</v>
      </c>
      <c r="AL240" s="46"/>
      <c r="AM240" s="62">
        <f t="shared" si="175"/>
        <v>45107</v>
      </c>
      <c r="AN240" s="63">
        <f t="shared" ca="1" si="176"/>
        <v>7914</v>
      </c>
      <c r="AO240" s="63">
        <f t="shared" si="203"/>
        <v>1</v>
      </c>
      <c r="AP240" s="19"/>
      <c r="AQ240" s="74">
        <f ca="1">_xll.SPRDOPT(U240,AA240,AI240,AX240,X240,AD240,AG240,AN240,AO240,0)</f>
        <v>0.64806550741821778</v>
      </c>
      <c r="AR240" s="47">
        <f t="shared" ca="1" si="183"/>
        <v>0</v>
      </c>
      <c r="AS240" s="135">
        <f t="shared" ca="1" si="184"/>
        <v>0.64806550741821778</v>
      </c>
      <c r="AU240" s="5">
        <f t="shared" si="204"/>
        <v>31</v>
      </c>
      <c r="AV240" s="148">
        <f t="shared" si="177"/>
        <v>45153</v>
      </c>
      <c r="AW240" s="41">
        <f t="shared" ca="1" si="178"/>
        <v>7960</v>
      </c>
      <c r="AX240" s="100">
        <f>VLOOKUP($A240,[1]!CurveTable,MATCH(AX$4,[1]!CurveType,0))</f>
        <v>6.18129574605484E-2</v>
      </c>
      <c r="AY240" s="149">
        <f ca="1">1/(1+CHOOSE(F$3,(AX241+(Inputs!$B$14/10000))/2,(AX240+(Inputs!$B$14/10000))/2))^(2*AW240/365.25)</f>
        <v>0.26534885393091862</v>
      </c>
      <c r="AZ240" s="41">
        <f t="shared" si="205"/>
        <v>0</v>
      </c>
      <c r="BA240" s="72">
        <f t="shared" si="206"/>
        <v>0</v>
      </c>
      <c r="BC240" s="65">
        <f t="shared" ca="1" si="185"/>
        <v>0</v>
      </c>
      <c r="BD240" s="65">
        <f t="shared" ca="1" si="186"/>
        <v>0</v>
      </c>
      <c r="BE240" s="65">
        <f t="shared" ca="1" si="187"/>
        <v>0</v>
      </c>
      <c r="BF240" s="65">
        <f t="shared" ca="1" si="188"/>
        <v>0</v>
      </c>
      <c r="BG240" s="65">
        <f t="shared" ca="1" si="189"/>
        <v>0</v>
      </c>
      <c r="BH240" s="65">
        <f t="shared" ca="1" si="190"/>
        <v>0</v>
      </c>
      <c r="BI240" s="65">
        <f t="shared" ca="1" si="191"/>
        <v>0</v>
      </c>
      <c r="BJ240" s="65">
        <f t="shared" ca="1" si="192"/>
        <v>0</v>
      </c>
      <c r="BK240" s="65">
        <f t="shared" ca="1" si="193"/>
        <v>0</v>
      </c>
      <c r="BL240" s="65">
        <f t="shared" ca="1" si="194"/>
        <v>0</v>
      </c>
      <c r="BM240" s="65">
        <f t="shared" ca="1" si="195"/>
        <v>0</v>
      </c>
      <c r="BN240" s="65">
        <f t="shared" ca="1" si="196"/>
        <v>0</v>
      </c>
      <c r="BO240" s="65">
        <f t="shared" ca="1" si="197"/>
        <v>0</v>
      </c>
      <c r="BP240" s="65">
        <f t="shared" ca="1" si="198"/>
        <v>0</v>
      </c>
      <c r="BQ240" s="65">
        <f t="shared" ca="1" si="199"/>
        <v>0</v>
      </c>
      <c r="BR240" s="65">
        <f t="shared" ca="1" si="200"/>
        <v>0</v>
      </c>
      <c r="BS240" s="65">
        <f t="shared" ca="1" si="201"/>
        <v>0</v>
      </c>
      <c r="BT240" s="65">
        <f t="shared" ca="1" si="202"/>
        <v>0</v>
      </c>
      <c r="BU240" s="65">
        <f t="shared" ca="1" si="179"/>
        <v>0</v>
      </c>
    </row>
    <row r="241" spans="1:73">
      <c r="A241" s="42">
        <f t="shared" si="180"/>
        <v>45170</v>
      </c>
      <c r="B241" s="30">
        <f>Inputs!$B$8</f>
        <v>50000</v>
      </c>
      <c r="C241" s="17">
        <f t="shared" si="170"/>
        <v>0</v>
      </c>
      <c r="D241" s="17">
        <f t="shared" ca="1" si="171"/>
        <v>0</v>
      </c>
      <c r="E241" s="25">
        <f>VLOOKUP($A241,[1]!CurveTable,MATCH($E$4,[1]!CurveType,0))</f>
        <v>5.7395000000000005</v>
      </c>
      <c r="F241" s="31">
        <f>E241-Inputs!$B$16</f>
        <v>5.7945000000000002</v>
      </c>
      <c r="G241" s="43">
        <f t="shared" si="212"/>
        <v>5.7945000000000002</v>
      </c>
      <c r="H241" s="25">
        <f>VLOOKUP($A241,[1]!CurveTable,MATCH($H$4,[1]!CurveType,0))</f>
        <v>0</v>
      </c>
      <c r="I241" s="31">
        <f>H241+Inputs!$B$22</f>
        <v>0</v>
      </c>
      <c r="J241" s="44">
        <f t="shared" si="213"/>
        <v>0</v>
      </c>
      <c r="K241" s="25">
        <f>VLOOKUP($A241,[1]!CurveTable,MATCH($K$4,[1]!CurveType,0))</f>
        <v>0</v>
      </c>
      <c r="L241" s="31">
        <v>0</v>
      </c>
      <c r="M241" s="45">
        <f t="shared" si="214"/>
        <v>0</v>
      </c>
      <c r="N241" s="25">
        <f>VLOOKUP($A241,[1]!CurveTable,MATCH($N$4,[1]!CurveType,0))</f>
        <v>0</v>
      </c>
      <c r="O241" s="31">
        <f>N241+Inputs!$E$22</f>
        <v>0</v>
      </c>
      <c r="P241" s="45">
        <f t="shared" si="215"/>
        <v>0</v>
      </c>
      <c r="Q241" s="25">
        <f>VLOOKUP($A241,[1]!CurveTable,MATCH($Q$4,[1]!CurveType,0))</f>
        <v>0</v>
      </c>
      <c r="R241" s="31">
        <v>0</v>
      </c>
      <c r="S241" s="45">
        <f t="shared" si="216"/>
        <v>0</v>
      </c>
      <c r="T241" s="4"/>
      <c r="U241" s="159">
        <f t="shared" si="181"/>
        <v>5.7945000000000002</v>
      </c>
      <c r="V241" s="160"/>
      <c r="W241" s="100">
        <f>VLOOKUP($A241,[1]!CurveTable,MATCH($W$4,[1]!CurveType,0))+$W$9</f>
        <v>0.34</v>
      </c>
      <c r="X241" s="100">
        <f>VLOOKUP($A241,[1]!CurveTable,MATCH($X$4,[1]!CurveType,0))+$X$9</f>
        <v>0.34500000000000003</v>
      </c>
      <c r="Y241" s="158">
        <f t="shared" ca="1" si="172"/>
        <v>0.34600960437311462</v>
      </c>
      <c r="Z241" s="4"/>
      <c r="AA241" s="159">
        <f t="shared" si="182"/>
        <v>5.7945000000000002</v>
      </c>
      <c r="AB241" s="160"/>
      <c r="AC241" s="100">
        <f>VLOOKUP($A241,[1]!CurveTable,MATCH($AC$4,[1]!CurveType,0))+$AC$9</f>
        <v>0.17</v>
      </c>
      <c r="AD241" s="100">
        <f>VLOOKUP($A241,[1]!CurveTable,MATCH($AD$4,[1]!CurveType,0))+$AD$9</f>
        <v>0.17500000000000002</v>
      </c>
      <c r="AE241" s="158">
        <f t="shared" ca="1" si="173"/>
        <v>0.17550757999476801</v>
      </c>
      <c r="AF241" s="4"/>
      <c r="AG241" s="52">
        <f ca="1">((Inputs!$F$20*(X241*AD241)*(A241-$C$3))+(Inputs!$F$19*W241*AC241*(DAY(EOMONTH(A241,0))/2)))/(AN241*Y241*AE241)</f>
        <v>0.74999986073430736</v>
      </c>
      <c r="AH241" s="4"/>
      <c r="AI241" s="18">
        <f>Inputs!$B$15</f>
        <v>0.06</v>
      </c>
      <c r="AJ241" s="46"/>
      <c r="AK241" s="18">
        <f t="shared" si="174"/>
        <v>0</v>
      </c>
      <c r="AL241" s="46"/>
      <c r="AM241" s="62">
        <f t="shared" si="175"/>
        <v>45138</v>
      </c>
      <c r="AN241" s="63">
        <f t="shared" ca="1" si="176"/>
        <v>7945</v>
      </c>
      <c r="AO241" s="63">
        <f t="shared" si="203"/>
        <v>1</v>
      </c>
      <c r="AP241" s="19"/>
      <c r="AQ241" s="74">
        <f ca="1">_xll.SPRDOPT(U241,AA241,AI241,AX241,X241,AD241,AG241,AN241,AO241,0)</f>
        <v>0.64510091984436457</v>
      </c>
      <c r="AR241" s="47">
        <f t="shared" ca="1" si="183"/>
        <v>0</v>
      </c>
      <c r="AS241" s="135">
        <f t="shared" ca="1" si="184"/>
        <v>0.64510091984436457</v>
      </c>
      <c r="AU241" s="5">
        <f t="shared" si="204"/>
        <v>30</v>
      </c>
      <c r="AV241" s="148">
        <f t="shared" si="177"/>
        <v>45184</v>
      </c>
      <c r="AW241" s="41">
        <f t="shared" ca="1" si="178"/>
        <v>7991</v>
      </c>
      <c r="AX241" s="100">
        <f>VLOOKUP($A241,[1]!CurveTable,MATCH(AX$4,[1]!CurveType,0))</f>
        <v>6.1816311276008402E-2</v>
      </c>
      <c r="AY241" s="149">
        <f ca="1">1/(1+CHOOSE(F$3,(AX242+(Inputs!$B$14/10000))/2,(AX241+(Inputs!$B$14/10000))/2))^(2*AW241/365.25)</f>
        <v>0.26396258766111347</v>
      </c>
      <c r="AZ241" s="41">
        <f t="shared" si="205"/>
        <v>0</v>
      </c>
      <c r="BA241" s="72">
        <f t="shared" si="206"/>
        <v>0</v>
      </c>
      <c r="BC241" s="65">
        <f t="shared" ca="1" si="185"/>
        <v>0</v>
      </c>
      <c r="BD241" s="65">
        <f t="shared" ca="1" si="186"/>
        <v>0</v>
      </c>
      <c r="BE241" s="65">
        <f t="shared" ca="1" si="187"/>
        <v>0</v>
      </c>
      <c r="BF241" s="65">
        <f t="shared" ca="1" si="188"/>
        <v>0</v>
      </c>
      <c r="BG241" s="65">
        <f t="shared" ca="1" si="189"/>
        <v>0</v>
      </c>
      <c r="BH241" s="65">
        <f t="shared" ca="1" si="190"/>
        <v>0</v>
      </c>
      <c r="BI241" s="65">
        <f t="shared" ca="1" si="191"/>
        <v>0</v>
      </c>
      <c r="BJ241" s="65">
        <f t="shared" ca="1" si="192"/>
        <v>0</v>
      </c>
      <c r="BK241" s="65">
        <f t="shared" ca="1" si="193"/>
        <v>0</v>
      </c>
      <c r="BL241" s="65">
        <f t="shared" ca="1" si="194"/>
        <v>0</v>
      </c>
      <c r="BM241" s="65">
        <f t="shared" ca="1" si="195"/>
        <v>0</v>
      </c>
      <c r="BN241" s="65">
        <f t="shared" ca="1" si="196"/>
        <v>0</v>
      </c>
      <c r="BO241" s="65">
        <f t="shared" ca="1" si="197"/>
        <v>0</v>
      </c>
      <c r="BP241" s="65">
        <f t="shared" ca="1" si="198"/>
        <v>0</v>
      </c>
      <c r="BQ241" s="65">
        <f t="shared" ca="1" si="199"/>
        <v>0</v>
      </c>
      <c r="BR241" s="65">
        <f t="shared" ca="1" si="200"/>
        <v>0</v>
      </c>
      <c r="BS241" s="65">
        <f t="shared" ca="1" si="201"/>
        <v>0</v>
      </c>
      <c r="BT241" s="65">
        <f t="shared" ca="1" si="202"/>
        <v>0</v>
      </c>
      <c r="BU241" s="65">
        <f t="shared" ca="1" si="179"/>
        <v>0</v>
      </c>
    </row>
    <row r="242" spans="1:73">
      <c r="A242" s="42">
        <f t="shared" si="180"/>
        <v>45200</v>
      </c>
      <c r="B242" s="30">
        <f>Inputs!$B$8</f>
        <v>50000</v>
      </c>
      <c r="C242" s="17">
        <f t="shared" si="170"/>
        <v>0</v>
      </c>
      <c r="D242" s="17">
        <f t="shared" ca="1" si="171"/>
        <v>0</v>
      </c>
      <c r="E242" s="25">
        <f>VLOOKUP($A242,[1]!CurveTable,MATCH($E$4,[1]!CurveType,0))</f>
        <v>5.7395000000000005</v>
      </c>
      <c r="F242" s="31">
        <f>E242-Inputs!$B$16</f>
        <v>5.7945000000000002</v>
      </c>
      <c r="G242" s="43">
        <f t="shared" si="212"/>
        <v>5.7945000000000002</v>
      </c>
      <c r="H242" s="25">
        <f>VLOOKUP($A242,[1]!CurveTable,MATCH($H$4,[1]!CurveType,0))</f>
        <v>0</v>
      </c>
      <c r="I242" s="31">
        <f>H242+Inputs!$B$22</f>
        <v>0</v>
      </c>
      <c r="J242" s="44">
        <f t="shared" si="213"/>
        <v>0</v>
      </c>
      <c r="K242" s="25">
        <f>VLOOKUP($A242,[1]!CurveTable,MATCH($K$4,[1]!CurveType,0))</f>
        <v>0</v>
      </c>
      <c r="L242" s="31">
        <v>0</v>
      </c>
      <c r="M242" s="45">
        <f t="shared" si="214"/>
        <v>0</v>
      </c>
      <c r="N242" s="25">
        <f>VLOOKUP($A242,[1]!CurveTable,MATCH($N$4,[1]!CurveType,0))</f>
        <v>0</v>
      </c>
      <c r="O242" s="31">
        <f>N242+Inputs!$E$22</f>
        <v>0</v>
      </c>
      <c r="P242" s="45">
        <f t="shared" si="215"/>
        <v>0</v>
      </c>
      <c r="Q242" s="25">
        <f>VLOOKUP($A242,[1]!CurveTable,MATCH($Q$4,[1]!CurveType,0))</f>
        <v>0</v>
      </c>
      <c r="R242" s="31">
        <v>0</v>
      </c>
      <c r="S242" s="45">
        <f t="shared" si="216"/>
        <v>0</v>
      </c>
      <c r="T242" s="4"/>
      <c r="U242" s="159">
        <f t="shared" si="181"/>
        <v>5.7945000000000002</v>
      </c>
      <c r="V242" s="160"/>
      <c r="W242" s="100">
        <f>VLOOKUP($A242,[1]!CurveTable,MATCH($W$4,[1]!CurveType,0))+$W$9</f>
        <v>0.17</v>
      </c>
      <c r="X242" s="100">
        <f>VLOOKUP($A242,[1]!CurveTable,MATCH($X$4,[1]!CurveType,0))+$X$9</f>
        <v>0.17500000000000002</v>
      </c>
      <c r="Y242" s="158">
        <f t="shared" ca="1" si="172"/>
        <v>0.17549983247455195</v>
      </c>
      <c r="Z242" s="4"/>
      <c r="AA242" s="159">
        <f t="shared" si="182"/>
        <v>5.7945000000000002</v>
      </c>
      <c r="AB242" s="160"/>
      <c r="AC242" s="100">
        <f>VLOOKUP($A242,[1]!CurveTable,MATCH($AC$4,[1]!CurveType,0))+$AC$9</f>
        <v>0.17</v>
      </c>
      <c r="AD242" s="100">
        <f>VLOOKUP($A242,[1]!CurveTable,MATCH($AD$4,[1]!CurveType,0))+$AD$9</f>
        <v>0.17500000000000002</v>
      </c>
      <c r="AE242" s="158">
        <f t="shared" ca="1" si="173"/>
        <v>0.17549983247455195</v>
      </c>
      <c r="AF242" s="4"/>
      <c r="AG242" s="52">
        <f ca="1">((Inputs!$F$20*(X242*AD242)*(A242-$C$3))+(Inputs!$F$19*W242*AC242*(DAY(EOMONTH(A242,0))/2)))/(AN242*Y242*AE242)</f>
        <v>0.74999999999999978</v>
      </c>
      <c r="AH242" s="4"/>
      <c r="AI242" s="18">
        <f>Inputs!$B$15</f>
        <v>0.06</v>
      </c>
      <c r="AJ242" s="46"/>
      <c r="AK242" s="18">
        <f t="shared" si="174"/>
        <v>0</v>
      </c>
      <c r="AL242" s="46"/>
      <c r="AM242" s="62">
        <f t="shared" si="175"/>
        <v>45169</v>
      </c>
      <c r="AN242" s="63">
        <f t="shared" ca="1" si="176"/>
        <v>7976</v>
      </c>
      <c r="AO242" s="63">
        <f t="shared" si="203"/>
        <v>1</v>
      </c>
      <c r="AP242" s="19"/>
      <c r="AQ242" s="74">
        <f ca="1">_xll.SPRDOPT(U242,AA242,AI242,AX242,X242,AD242,AG242,AN242,AO242,0)</f>
        <v>0.33410856796007987</v>
      </c>
      <c r="AR242" s="47">
        <f t="shared" ca="1" si="183"/>
        <v>0</v>
      </c>
      <c r="AS242" s="135">
        <f t="shared" ca="1" si="184"/>
        <v>0.33410856796007987</v>
      </c>
      <c r="AU242" s="5">
        <f t="shared" si="204"/>
        <v>31</v>
      </c>
      <c r="AV242" s="148">
        <f t="shared" si="177"/>
        <v>45214</v>
      </c>
      <c r="AW242" s="41">
        <f t="shared" ca="1" si="178"/>
        <v>8021</v>
      </c>
      <c r="AX242" s="100">
        <f>VLOOKUP($A242,[1]!CurveTable,MATCH(AX$4,[1]!CurveType,0))</f>
        <v>6.1819556903876603E-2</v>
      </c>
      <c r="AY242" s="149">
        <f ca="1">1/(1+CHOOSE(F$3,(AX243+(Inputs!$B$14/10000))/2,(AX242+(Inputs!$B$14/10000))/2))^(2*AW242/365.25)</f>
        <v>0.26262779761351973</v>
      </c>
      <c r="AZ242" s="41">
        <f t="shared" si="205"/>
        <v>0</v>
      </c>
      <c r="BA242" s="72">
        <f t="shared" si="206"/>
        <v>0</v>
      </c>
      <c r="BC242" s="65">
        <f t="shared" ca="1" si="185"/>
        <v>0</v>
      </c>
      <c r="BD242" s="65">
        <f t="shared" ca="1" si="186"/>
        <v>0</v>
      </c>
      <c r="BE242" s="65">
        <f t="shared" ca="1" si="187"/>
        <v>0</v>
      </c>
      <c r="BF242" s="65">
        <f t="shared" ca="1" si="188"/>
        <v>0</v>
      </c>
      <c r="BG242" s="65">
        <f t="shared" ca="1" si="189"/>
        <v>0</v>
      </c>
      <c r="BH242" s="65">
        <f t="shared" ca="1" si="190"/>
        <v>0</v>
      </c>
      <c r="BI242" s="65">
        <f t="shared" ca="1" si="191"/>
        <v>0</v>
      </c>
      <c r="BJ242" s="65">
        <f t="shared" ca="1" si="192"/>
        <v>0</v>
      </c>
      <c r="BK242" s="65">
        <f t="shared" ca="1" si="193"/>
        <v>0</v>
      </c>
      <c r="BL242" s="65">
        <f t="shared" ca="1" si="194"/>
        <v>0</v>
      </c>
      <c r="BM242" s="65">
        <f t="shared" ca="1" si="195"/>
        <v>0</v>
      </c>
      <c r="BN242" s="65">
        <f t="shared" ca="1" si="196"/>
        <v>0</v>
      </c>
      <c r="BO242" s="65">
        <f t="shared" ca="1" si="197"/>
        <v>0</v>
      </c>
      <c r="BP242" s="65">
        <f t="shared" ca="1" si="198"/>
        <v>0</v>
      </c>
      <c r="BQ242" s="65">
        <f t="shared" ca="1" si="199"/>
        <v>0</v>
      </c>
      <c r="BR242" s="65">
        <f t="shared" ca="1" si="200"/>
        <v>0</v>
      </c>
      <c r="BS242" s="65">
        <f t="shared" ca="1" si="201"/>
        <v>0</v>
      </c>
      <c r="BT242" s="65">
        <f t="shared" ca="1" si="202"/>
        <v>0</v>
      </c>
      <c r="BU242" s="65">
        <f t="shared" ca="1" si="179"/>
        <v>0</v>
      </c>
    </row>
    <row r="243" spans="1:73">
      <c r="A243" s="42">
        <f t="shared" si="180"/>
        <v>45231</v>
      </c>
      <c r="B243" s="30">
        <f>Inputs!$B$8</f>
        <v>50000</v>
      </c>
      <c r="C243" s="17">
        <f t="shared" si="170"/>
        <v>0</v>
      </c>
      <c r="D243" s="17">
        <f t="shared" ca="1" si="171"/>
        <v>0</v>
      </c>
      <c r="E243" s="25">
        <f>VLOOKUP($A243,[1]!CurveTable,MATCH($E$4,[1]!CurveType,0))</f>
        <v>5.8875000000000002</v>
      </c>
      <c r="F243" s="31">
        <f>E243-Inputs!$B$16</f>
        <v>5.9424999999999999</v>
      </c>
      <c r="G243" s="43">
        <f t="shared" si="212"/>
        <v>5.9424999999999999</v>
      </c>
      <c r="H243" s="25">
        <f>VLOOKUP($A243,[1]!CurveTable,MATCH($H$4,[1]!CurveType,0))</f>
        <v>0</v>
      </c>
      <c r="I243" s="31">
        <f>H243+Inputs!$B$22</f>
        <v>0</v>
      </c>
      <c r="J243" s="44">
        <f t="shared" si="213"/>
        <v>0</v>
      </c>
      <c r="K243" s="25">
        <f>VLOOKUP($A243,[1]!CurveTable,MATCH($K$4,[1]!CurveType,0))</f>
        <v>0</v>
      </c>
      <c r="L243" s="31">
        <v>0</v>
      </c>
      <c r="M243" s="45">
        <f t="shared" si="214"/>
        <v>0</v>
      </c>
      <c r="N243" s="25">
        <f>VLOOKUP($A243,[1]!CurveTable,MATCH($N$4,[1]!CurveType,0))</f>
        <v>0</v>
      </c>
      <c r="O243" s="31">
        <f>N243+Inputs!$E$22</f>
        <v>0</v>
      </c>
      <c r="P243" s="45">
        <f t="shared" si="215"/>
        <v>0</v>
      </c>
      <c r="Q243" s="25">
        <f>VLOOKUP($A243,[1]!CurveTable,MATCH($Q$4,[1]!CurveType,0))</f>
        <v>0</v>
      </c>
      <c r="R243" s="31">
        <v>0</v>
      </c>
      <c r="S243" s="45">
        <f t="shared" si="216"/>
        <v>0</v>
      </c>
      <c r="T243" s="4"/>
      <c r="U243" s="159">
        <f t="shared" si="181"/>
        <v>5.9424999999999999</v>
      </c>
      <c r="V243" s="160"/>
      <c r="W243" s="100">
        <f>VLOOKUP($A243,[1]!CurveTable,MATCH($W$4,[1]!CurveType,0))+$W$9</f>
        <v>0.17</v>
      </c>
      <c r="X243" s="100">
        <f>VLOOKUP($A243,[1]!CurveTable,MATCH($X$4,[1]!CurveType,0))+$X$9</f>
        <v>0.17500000000000002</v>
      </c>
      <c r="Y243" s="158">
        <f t="shared" ca="1" si="172"/>
        <v>0.17550371814775675</v>
      </c>
      <c r="Z243" s="4"/>
      <c r="AA243" s="159">
        <f t="shared" si="182"/>
        <v>5.9424999999999999</v>
      </c>
      <c r="AB243" s="160"/>
      <c r="AC243" s="100">
        <f>VLOOKUP($A243,[1]!CurveTable,MATCH($AC$4,[1]!CurveType,0))+$AC$9</f>
        <v>0.17</v>
      </c>
      <c r="AD243" s="100">
        <f>VLOOKUP($A243,[1]!CurveTable,MATCH($AD$4,[1]!CurveType,0))+$AD$9</f>
        <v>0.17500000000000002</v>
      </c>
      <c r="AE243" s="158">
        <f t="shared" ca="1" si="173"/>
        <v>0.17550371814775675</v>
      </c>
      <c r="AF243" s="4"/>
      <c r="AG243" s="52">
        <f ca="1">((Inputs!$F$20*(X243*AD243)*(A243-$C$3))+(Inputs!$F$19*W243*AC243*(DAY(EOMONTH(A243,0))/2)))/(AN243*Y243*AE243)</f>
        <v>0.75</v>
      </c>
      <c r="AH243" s="4"/>
      <c r="AI243" s="18">
        <f>Inputs!$B$15</f>
        <v>0.06</v>
      </c>
      <c r="AJ243" s="46"/>
      <c r="AK243" s="18">
        <f t="shared" si="174"/>
        <v>0</v>
      </c>
      <c r="AL243" s="46"/>
      <c r="AM243" s="62">
        <f t="shared" si="175"/>
        <v>45199</v>
      </c>
      <c r="AN243" s="63">
        <f t="shared" ca="1" si="176"/>
        <v>8006</v>
      </c>
      <c r="AO243" s="63">
        <f t="shared" si="203"/>
        <v>1</v>
      </c>
      <c r="AP243" s="19"/>
      <c r="AQ243" s="74">
        <f ca="1">_xll.SPRDOPT(U243,AA243,AI243,AX243,X243,AD243,AG243,AN243,AO243,0)</f>
        <v>0.34171128844491977</v>
      </c>
      <c r="AR243" s="47">
        <f t="shared" ca="1" si="183"/>
        <v>0</v>
      </c>
      <c r="AS243" s="135">
        <f t="shared" ca="1" si="184"/>
        <v>0.34171128844491977</v>
      </c>
      <c r="AU243" s="5">
        <f t="shared" si="204"/>
        <v>30</v>
      </c>
      <c r="AV243" s="148">
        <f t="shared" si="177"/>
        <v>45245</v>
      </c>
      <c r="AW243" s="41">
        <f t="shared" ca="1" si="178"/>
        <v>8052</v>
      </c>
      <c r="AX243" s="100">
        <f>VLOOKUP($A243,[1]!CurveTable,MATCH(AX$4,[1]!CurveType,0))</f>
        <v>6.1822910719343802E-2</v>
      </c>
      <c r="AY243" s="149">
        <f ca="1">1/(1+CHOOSE(F$3,(AX244+(Inputs!$B$14/10000))/2,(AX243+(Inputs!$B$14/10000))/2))^(2*AW243/365.25)</f>
        <v>0.2612554631688318</v>
      </c>
      <c r="AZ243" s="41">
        <f t="shared" si="205"/>
        <v>0</v>
      </c>
      <c r="BA243" s="72">
        <f t="shared" si="206"/>
        <v>0</v>
      </c>
      <c r="BC243" s="65">
        <f t="shared" ca="1" si="185"/>
        <v>0</v>
      </c>
      <c r="BD243" s="65">
        <f t="shared" ca="1" si="186"/>
        <v>0</v>
      </c>
      <c r="BE243" s="65">
        <f t="shared" ca="1" si="187"/>
        <v>0</v>
      </c>
      <c r="BF243" s="65">
        <f t="shared" ca="1" si="188"/>
        <v>0</v>
      </c>
      <c r="BG243" s="65">
        <f t="shared" ca="1" si="189"/>
        <v>0</v>
      </c>
      <c r="BH243" s="65">
        <f t="shared" ca="1" si="190"/>
        <v>0</v>
      </c>
      <c r="BI243" s="65">
        <f t="shared" ca="1" si="191"/>
        <v>0</v>
      </c>
      <c r="BJ243" s="65">
        <f t="shared" ca="1" si="192"/>
        <v>0</v>
      </c>
      <c r="BK243" s="65">
        <f t="shared" ca="1" si="193"/>
        <v>0</v>
      </c>
      <c r="BL243" s="65">
        <f t="shared" ca="1" si="194"/>
        <v>0</v>
      </c>
      <c r="BM243" s="65">
        <f t="shared" ca="1" si="195"/>
        <v>0</v>
      </c>
      <c r="BN243" s="65">
        <f t="shared" ca="1" si="196"/>
        <v>0</v>
      </c>
      <c r="BO243" s="65">
        <f t="shared" ca="1" si="197"/>
        <v>0</v>
      </c>
      <c r="BP243" s="65">
        <f t="shared" ca="1" si="198"/>
        <v>0</v>
      </c>
      <c r="BQ243" s="65">
        <f t="shared" ca="1" si="199"/>
        <v>0</v>
      </c>
      <c r="BR243" s="65">
        <f t="shared" ca="1" si="200"/>
        <v>0</v>
      </c>
      <c r="BS243" s="65">
        <f t="shared" ca="1" si="201"/>
        <v>0</v>
      </c>
      <c r="BT243" s="65">
        <f t="shared" ca="1" si="202"/>
        <v>0</v>
      </c>
      <c r="BU243" s="65">
        <f t="shared" ca="1" si="179"/>
        <v>0</v>
      </c>
    </row>
    <row r="244" spans="1:73">
      <c r="A244" s="42">
        <f t="shared" si="180"/>
        <v>45261</v>
      </c>
      <c r="B244" s="30">
        <f>Inputs!$B$8</f>
        <v>50000</v>
      </c>
      <c r="C244" s="17">
        <f t="shared" si="170"/>
        <v>0</v>
      </c>
      <c r="D244" s="17">
        <f t="shared" ca="1" si="171"/>
        <v>0</v>
      </c>
      <c r="E244" s="25">
        <f>VLOOKUP($A244,[1]!CurveTable,MATCH($E$4,[1]!CurveType,0))</f>
        <v>6.0395000000000003</v>
      </c>
      <c r="F244" s="31">
        <f>E244-Inputs!$B$16</f>
        <v>6.0945</v>
      </c>
      <c r="G244" s="43">
        <f t="shared" si="212"/>
        <v>6.0945</v>
      </c>
      <c r="H244" s="25">
        <f>VLOOKUP($A244,[1]!CurveTable,MATCH($H$4,[1]!CurveType,0))</f>
        <v>0</v>
      </c>
      <c r="I244" s="31">
        <f>H244+Inputs!$B$22</f>
        <v>0</v>
      </c>
      <c r="J244" s="44">
        <f t="shared" si="213"/>
        <v>0</v>
      </c>
      <c r="K244" s="25">
        <f>VLOOKUP($A244,[1]!CurveTable,MATCH($K$4,[1]!CurveType,0))</f>
        <v>0</v>
      </c>
      <c r="L244" s="31">
        <v>0</v>
      </c>
      <c r="M244" s="45">
        <f t="shared" si="214"/>
        <v>0</v>
      </c>
      <c r="N244" s="25">
        <f>VLOOKUP($A244,[1]!CurveTable,MATCH($N$4,[1]!CurveType,0))</f>
        <v>0</v>
      </c>
      <c r="O244" s="31">
        <f>N244+Inputs!$E$22</f>
        <v>0</v>
      </c>
      <c r="P244" s="45">
        <f t="shared" si="215"/>
        <v>0</v>
      </c>
      <c r="Q244" s="25">
        <f>VLOOKUP($A244,[1]!CurveTable,MATCH($Q$4,[1]!CurveType,0))</f>
        <v>0</v>
      </c>
      <c r="R244" s="31">
        <v>0</v>
      </c>
      <c r="S244" s="45">
        <f t="shared" si="216"/>
        <v>0</v>
      </c>
      <c r="T244" s="4"/>
      <c r="U244" s="159">
        <f t="shared" si="181"/>
        <v>6.0945</v>
      </c>
      <c r="V244" s="160"/>
      <c r="W244" s="100">
        <f>VLOOKUP($A244,[1]!CurveTable,MATCH($W$4,[1]!CurveType,0))+$W$9</f>
        <v>0.17</v>
      </c>
      <c r="X244" s="100">
        <f>VLOOKUP($A244,[1]!CurveTable,MATCH($X$4,[1]!CurveType,0))+$X$9</f>
        <v>0.17500000000000002</v>
      </c>
      <c r="Y244" s="158">
        <f t="shared" ca="1" si="172"/>
        <v>0.17549604415909453</v>
      </c>
      <c r="Z244" s="4"/>
      <c r="AA244" s="159">
        <f t="shared" si="182"/>
        <v>6.0945</v>
      </c>
      <c r="AB244" s="160"/>
      <c r="AC244" s="100">
        <f>VLOOKUP($A244,[1]!CurveTable,MATCH($AC$4,[1]!CurveType,0))+$AC$9</f>
        <v>0.17</v>
      </c>
      <c r="AD244" s="100">
        <f>VLOOKUP($A244,[1]!CurveTable,MATCH($AD$4,[1]!CurveType,0))+$AD$9</f>
        <v>0.17500000000000002</v>
      </c>
      <c r="AE244" s="158">
        <f t="shared" ca="1" si="173"/>
        <v>0.17549604415909453</v>
      </c>
      <c r="AF244" s="4"/>
      <c r="AG244" s="52">
        <f ca="1">((Inputs!$F$20*(X244*AD244)*(A244-$C$3))+(Inputs!$F$19*W244*AC244*(DAY(EOMONTH(A244,0))/2)))/(AN244*Y244*AE244)</f>
        <v>0.74999999999999989</v>
      </c>
      <c r="AH244" s="4"/>
      <c r="AI244" s="18">
        <f>Inputs!$B$15</f>
        <v>0.06</v>
      </c>
      <c r="AJ244" s="46"/>
      <c r="AK244" s="18">
        <f t="shared" si="174"/>
        <v>0</v>
      </c>
      <c r="AL244" s="46"/>
      <c r="AM244" s="62">
        <f t="shared" si="175"/>
        <v>45230</v>
      </c>
      <c r="AN244" s="63">
        <f t="shared" ca="1" si="176"/>
        <v>8037</v>
      </c>
      <c r="AO244" s="63">
        <f t="shared" si="203"/>
        <v>1</v>
      </c>
      <c r="AP244" s="19"/>
      <c r="AQ244" s="74">
        <f ca="1">_xll.SPRDOPT(U244,AA244,AI244,AX244,X244,AD244,AG244,AN244,AO244,0)</f>
        <v>0.34945483088074686</v>
      </c>
      <c r="AR244" s="47">
        <f t="shared" ca="1" si="183"/>
        <v>0</v>
      </c>
      <c r="AS244" s="135">
        <f t="shared" ca="1" si="184"/>
        <v>0.34945483088074686</v>
      </c>
      <c r="AU244" s="5">
        <f t="shared" si="204"/>
        <v>31</v>
      </c>
      <c r="AV244" s="148">
        <f t="shared" si="177"/>
        <v>45275</v>
      </c>
      <c r="AW244" s="41">
        <f t="shared" ca="1" si="178"/>
        <v>8082</v>
      </c>
      <c r="AX244" s="100">
        <f>VLOOKUP($A244,[1]!CurveTable,MATCH(AX$4,[1]!CurveType,0))</f>
        <v>6.1826156347219101E-2</v>
      </c>
      <c r="AY244" s="149">
        <f ca="1">1/(1+CHOOSE(F$3,(AX245+(Inputs!$B$14/10000))/2,(AX244+(Inputs!$B$14/10000))/2))^(2*AW244/365.25)</f>
        <v>0.25993408905744481</v>
      </c>
      <c r="AZ244" s="41">
        <f t="shared" si="205"/>
        <v>0</v>
      </c>
      <c r="BA244" s="72">
        <f t="shared" si="206"/>
        <v>0</v>
      </c>
      <c r="BC244" s="65">
        <f t="shared" ca="1" si="185"/>
        <v>0</v>
      </c>
      <c r="BD244" s="65">
        <f t="shared" ca="1" si="186"/>
        <v>0</v>
      </c>
      <c r="BE244" s="65">
        <f t="shared" ca="1" si="187"/>
        <v>0</v>
      </c>
      <c r="BF244" s="65">
        <f t="shared" ca="1" si="188"/>
        <v>0</v>
      </c>
      <c r="BG244" s="65">
        <f t="shared" ca="1" si="189"/>
        <v>0</v>
      </c>
      <c r="BH244" s="65">
        <f t="shared" ca="1" si="190"/>
        <v>0</v>
      </c>
      <c r="BI244" s="65">
        <f t="shared" ca="1" si="191"/>
        <v>0</v>
      </c>
      <c r="BJ244" s="65">
        <f t="shared" ca="1" si="192"/>
        <v>0</v>
      </c>
      <c r="BK244" s="65">
        <f t="shared" ca="1" si="193"/>
        <v>0</v>
      </c>
      <c r="BL244" s="65">
        <f t="shared" ca="1" si="194"/>
        <v>0</v>
      </c>
      <c r="BM244" s="65">
        <f t="shared" ca="1" si="195"/>
        <v>0</v>
      </c>
      <c r="BN244" s="65">
        <f t="shared" ca="1" si="196"/>
        <v>0</v>
      </c>
      <c r="BO244" s="65">
        <f t="shared" ca="1" si="197"/>
        <v>0</v>
      </c>
      <c r="BP244" s="65">
        <f t="shared" ca="1" si="198"/>
        <v>0</v>
      </c>
      <c r="BQ244" s="65">
        <f t="shared" ca="1" si="199"/>
        <v>0</v>
      </c>
      <c r="BR244" s="65">
        <f t="shared" ca="1" si="200"/>
        <v>0</v>
      </c>
      <c r="BS244" s="65">
        <f t="shared" ca="1" si="201"/>
        <v>0</v>
      </c>
      <c r="BT244" s="65">
        <f t="shared" ca="1" si="202"/>
        <v>0</v>
      </c>
      <c r="BU244" s="65">
        <f t="shared" ca="1" si="179"/>
        <v>0</v>
      </c>
    </row>
    <row r="245" spans="1:73">
      <c r="A245" s="42">
        <f t="shared" si="180"/>
        <v>45292</v>
      </c>
      <c r="B245" s="30">
        <f>Inputs!$B$8</f>
        <v>50000</v>
      </c>
      <c r="C245" s="17">
        <f t="shared" si="170"/>
        <v>0</v>
      </c>
      <c r="D245" s="17">
        <f t="shared" ca="1" si="171"/>
        <v>0</v>
      </c>
      <c r="E245" s="25">
        <f>VLOOKUP($A245,[1]!CurveTable,MATCH($E$4,[1]!CurveType,0))</f>
        <v>6.117</v>
      </c>
      <c r="F245" s="31">
        <f>E245-Inputs!$B$16</f>
        <v>6.1719999999999997</v>
      </c>
      <c r="G245" s="43">
        <f t="shared" si="212"/>
        <v>6.1719999999999997</v>
      </c>
      <c r="H245" s="25">
        <f>VLOOKUP($A245,[1]!CurveTable,MATCH($H$4,[1]!CurveType,0))</f>
        <v>0</v>
      </c>
      <c r="I245" s="31">
        <f>H245+Inputs!$B$22</f>
        <v>0</v>
      </c>
      <c r="J245" s="44">
        <f t="shared" si="213"/>
        <v>0</v>
      </c>
      <c r="K245" s="25">
        <f>VLOOKUP($A245,[1]!CurveTable,MATCH($K$4,[1]!CurveType,0))</f>
        <v>0</v>
      </c>
      <c r="L245" s="31">
        <v>0</v>
      </c>
      <c r="M245" s="45">
        <f t="shared" si="214"/>
        <v>0</v>
      </c>
      <c r="N245" s="25">
        <f>VLOOKUP($A245,[1]!CurveTable,MATCH($N$4,[1]!CurveType,0))</f>
        <v>0</v>
      </c>
      <c r="O245" s="31">
        <f>N245+Inputs!$E$22</f>
        <v>0</v>
      </c>
      <c r="P245" s="45">
        <f t="shared" si="215"/>
        <v>0</v>
      </c>
      <c r="Q245" s="25">
        <f>VLOOKUP($A245,[1]!CurveTable,MATCH($Q$4,[1]!CurveType,0))</f>
        <v>0</v>
      </c>
      <c r="R245" s="31">
        <v>0</v>
      </c>
      <c r="S245" s="45">
        <f t="shared" si="216"/>
        <v>0</v>
      </c>
      <c r="T245" s="4"/>
      <c r="U245" s="159">
        <f t="shared" si="181"/>
        <v>6.1719999999999997</v>
      </c>
      <c r="V245" s="160"/>
      <c r="W245" s="100">
        <f>VLOOKUP($A245,[1]!CurveTable,MATCH($W$4,[1]!CurveType,0))+$W$9</f>
        <v>0.17</v>
      </c>
      <c r="X245" s="100">
        <f>VLOOKUP($A245,[1]!CurveTable,MATCH($X$4,[1]!CurveType,0))+$X$9</f>
        <v>0.17500000000000002</v>
      </c>
      <c r="Y245" s="158">
        <f t="shared" ca="1" si="172"/>
        <v>0.17550501782150163</v>
      </c>
      <c r="Z245" s="4"/>
      <c r="AA245" s="159">
        <f t="shared" si="182"/>
        <v>6.1719999999999997</v>
      </c>
      <c r="AB245" s="160"/>
      <c r="AC245" s="100">
        <f>VLOOKUP($A245,[1]!CurveTable,MATCH($AC$4,[1]!CurveType,0))+$AC$9</f>
        <v>0.17</v>
      </c>
      <c r="AD245" s="100">
        <f>VLOOKUP($A245,[1]!CurveTable,MATCH($AD$4,[1]!CurveType,0))+$AD$9</f>
        <v>0.17500000000000002</v>
      </c>
      <c r="AE245" s="158">
        <f t="shared" ca="1" si="173"/>
        <v>0.17550501782150163</v>
      </c>
      <c r="AF245" s="4"/>
      <c r="AG245" s="52">
        <f ca="1">((Inputs!$F$20*(X245*AD245)*(A245-$C$3))+(Inputs!$F$19*W245*AC245*(DAY(EOMONTH(A245,0))/2)))/(AN245*Y245*AE245)</f>
        <v>0.75</v>
      </c>
      <c r="AH245" s="4"/>
      <c r="AI245" s="18">
        <f>Inputs!$B$15</f>
        <v>0.06</v>
      </c>
      <c r="AJ245" s="46"/>
      <c r="AK245" s="18">
        <f t="shared" si="174"/>
        <v>0</v>
      </c>
      <c r="AL245" s="46"/>
      <c r="AM245" s="62">
        <f t="shared" si="175"/>
        <v>45260</v>
      </c>
      <c r="AN245" s="63">
        <f t="shared" ca="1" si="176"/>
        <v>8067</v>
      </c>
      <c r="AO245" s="63">
        <f t="shared" si="203"/>
        <v>1</v>
      </c>
      <c r="AP245" s="19"/>
      <c r="AQ245" s="74">
        <f ca="1">_xll.SPRDOPT(U245,AA245,AI245,AX245,X245,AD245,AG245,AN245,AO245,0)</f>
        <v>0.35282702139417127</v>
      </c>
      <c r="AR245" s="47">
        <f t="shared" ca="1" si="183"/>
        <v>0</v>
      </c>
      <c r="AS245" s="135">
        <f t="shared" ca="1" si="184"/>
        <v>0.35282702139417127</v>
      </c>
      <c r="AU245" s="5">
        <f t="shared" si="204"/>
        <v>31</v>
      </c>
      <c r="AV245" s="148">
        <f t="shared" si="177"/>
        <v>45306</v>
      </c>
      <c r="AW245" s="41">
        <f t="shared" ca="1" si="178"/>
        <v>8113</v>
      </c>
      <c r="AX245" s="100">
        <f>VLOOKUP($A245,[1]!CurveTable,MATCH(AX$4,[1]!CurveType,0))</f>
        <v>6.18295101626938E-2</v>
      </c>
      <c r="AY245" s="149">
        <f ca="1">1/(1+CHOOSE(F$3,(AX246+(Inputs!$B$14/10000))/2,(AX245+(Inputs!$B$14/10000))/2))^(2*AW245/365.25)</f>
        <v>0.25857554938858712</v>
      </c>
      <c r="AZ245" s="41">
        <f t="shared" si="205"/>
        <v>0</v>
      </c>
      <c r="BA245" s="72">
        <f t="shared" si="206"/>
        <v>0</v>
      </c>
      <c r="BC245" s="65">
        <f t="shared" ca="1" si="185"/>
        <v>0</v>
      </c>
      <c r="BD245" s="65">
        <f t="shared" ca="1" si="186"/>
        <v>0</v>
      </c>
      <c r="BE245" s="65">
        <f t="shared" ca="1" si="187"/>
        <v>0</v>
      </c>
      <c r="BF245" s="65">
        <f t="shared" ca="1" si="188"/>
        <v>0</v>
      </c>
      <c r="BG245" s="65">
        <f t="shared" ca="1" si="189"/>
        <v>0</v>
      </c>
      <c r="BH245" s="65">
        <f t="shared" ca="1" si="190"/>
        <v>0</v>
      </c>
      <c r="BI245" s="65">
        <f t="shared" ca="1" si="191"/>
        <v>0</v>
      </c>
      <c r="BJ245" s="65">
        <f t="shared" ca="1" si="192"/>
        <v>0</v>
      </c>
      <c r="BK245" s="65">
        <f t="shared" ca="1" si="193"/>
        <v>0</v>
      </c>
      <c r="BL245" s="65">
        <f t="shared" ca="1" si="194"/>
        <v>0</v>
      </c>
      <c r="BM245" s="65">
        <f t="shared" ca="1" si="195"/>
        <v>0</v>
      </c>
      <c r="BN245" s="65">
        <f t="shared" ca="1" si="196"/>
        <v>0</v>
      </c>
      <c r="BO245" s="65">
        <f t="shared" ca="1" si="197"/>
        <v>0</v>
      </c>
      <c r="BP245" s="65">
        <f t="shared" ca="1" si="198"/>
        <v>0</v>
      </c>
      <c r="BQ245" s="65">
        <f t="shared" ca="1" si="199"/>
        <v>0</v>
      </c>
      <c r="BR245" s="65">
        <f t="shared" ca="1" si="200"/>
        <v>0</v>
      </c>
      <c r="BS245" s="65">
        <f t="shared" ca="1" si="201"/>
        <v>0</v>
      </c>
      <c r="BT245" s="65">
        <f t="shared" ca="1" si="202"/>
        <v>0</v>
      </c>
      <c r="BU245" s="65">
        <f t="shared" ca="1" si="179"/>
        <v>0</v>
      </c>
    </row>
    <row r="246" spans="1:73">
      <c r="A246" s="42">
        <f t="shared" si="180"/>
        <v>45323</v>
      </c>
      <c r="B246" s="30">
        <f>Inputs!$B$8</f>
        <v>50000</v>
      </c>
      <c r="C246" s="17">
        <f t="shared" si="170"/>
        <v>0</v>
      </c>
      <c r="D246" s="17">
        <f t="shared" ca="1" si="171"/>
        <v>0</v>
      </c>
      <c r="E246" s="25">
        <f>VLOOKUP($A246,[1]!CurveTable,MATCH($E$4,[1]!CurveType,0))</f>
        <v>6.03</v>
      </c>
      <c r="F246" s="31">
        <f>E246-Inputs!$B$16</f>
        <v>6.085</v>
      </c>
      <c r="G246" s="43">
        <f t="shared" si="212"/>
        <v>6.085</v>
      </c>
      <c r="H246" s="25">
        <f>VLOOKUP($A246,[1]!CurveTable,MATCH($H$4,[1]!CurveType,0))</f>
        <v>0</v>
      </c>
      <c r="I246" s="31">
        <f>H246+Inputs!$B$22</f>
        <v>0</v>
      </c>
      <c r="J246" s="44">
        <f t="shared" si="213"/>
        <v>0</v>
      </c>
      <c r="K246" s="25">
        <f>VLOOKUP($A246,[1]!CurveTable,MATCH($K$4,[1]!CurveType,0))</f>
        <v>0</v>
      </c>
      <c r="L246" s="31">
        <v>0</v>
      </c>
      <c r="M246" s="45">
        <f t="shared" si="214"/>
        <v>0</v>
      </c>
      <c r="N246" s="25">
        <f>VLOOKUP($A246,[1]!CurveTable,MATCH($N$4,[1]!CurveType,0))</f>
        <v>0</v>
      </c>
      <c r="O246" s="31">
        <f>N246+Inputs!$E$22</f>
        <v>0</v>
      </c>
      <c r="P246" s="45">
        <f t="shared" si="215"/>
        <v>0</v>
      </c>
      <c r="Q246" s="25">
        <f>VLOOKUP($A246,[1]!CurveTable,MATCH($Q$4,[1]!CurveType,0))</f>
        <v>0</v>
      </c>
      <c r="R246" s="31">
        <v>0</v>
      </c>
      <c r="S246" s="45">
        <f t="shared" si="216"/>
        <v>0</v>
      </c>
      <c r="T246" s="4"/>
      <c r="U246" s="159">
        <f t="shared" si="181"/>
        <v>6.085</v>
      </c>
      <c r="V246" s="160"/>
      <c r="W246" s="100">
        <f>VLOOKUP($A246,[1]!CurveTable,MATCH($W$4,[1]!CurveType,0))+$W$9</f>
        <v>0.17</v>
      </c>
      <c r="X246" s="100">
        <f>VLOOKUP($A246,[1]!CurveTable,MATCH($X$4,[1]!CurveType,0))+$X$9</f>
        <v>0.17500000000000002</v>
      </c>
      <c r="Y246" s="158">
        <f t="shared" ca="1" si="172"/>
        <v>0.17549291974383852</v>
      </c>
      <c r="Z246" s="4"/>
      <c r="AA246" s="159">
        <f t="shared" si="182"/>
        <v>6.085</v>
      </c>
      <c r="AB246" s="160"/>
      <c r="AC246" s="100">
        <f>VLOOKUP($A246,[1]!CurveTable,MATCH($AC$4,[1]!CurveType,0))+$AC$9</f>
        <v>0.17</v>
      </c>
      <c r="AD246" s="100">
        <f>VLOOKUP($A246,[1]!CurveTable,MATCH($AD$4,[1]!CurveType,0))+$AD$9</f>
        <v>0.17500000000000002</v>
      </c>
      <c r="AE246" s="158">
        <f t="shared" ca="1" si="173"/>
        <v>0.17549291974383852</v>
      </c>
      <c r="AF246" s="4"/>
      <c r="AG246" s="52">
        <f ca="1">((Inputs!$F$20*(X246*AD246)*(A246-$C$3))+(Inputs!$F$19*W246*AC246*(DAY(EOMONTH(A246,0))/2)))/(AN246*Y246*AE246)</f>
        <v>0.74999999999999989</v>
      </c>
      <c r="AH246" s="4"/>
      <c r="AI246" s="18">
        <f>Inputs!$B$15</f>
        <v>0.06</v>
      </c>
      <c r="AJ246" s="46"/>
      <c r="AK246" s="18">
        <f t="shared" si="174"/>
        <v>0</v>
      </c>
      <c r="AL246" s="46"/>
      <c r="AM246" s="62">
        <f t="shared" si="175"/>
        <v>45291</v>
      </c>
      <c r="AN246" s="63">
        <f t="shared" ca="1" si="176"/>
        <v>8098</v>
      </c>
      <c r="AO246" s="63">
        <f t="shared" si="203"/>
        <v>1</v>
      </c>
      <c r="AP246" s="19"/>
      <c r="AQ246" s="74">
        <f ca="1">_xll.SPRDOPT(U246,AA246,AI246,AX246,X246,AD246,AG246,AN246,AO246,0)</f>
        <v>0.34656209368612401</v>
      </c>
      <c r="AR246" s="47">
        <f t="shared" ca="1" si="183"/>
        <v>0</v>
      </c>
      <c r="AS246" s="135">
        <f t="shared" ca="1" si="184"/>
        <v>0.34656209368612401</v>
      </c>
      <c r="AU246" s="5">
        <f t="shared" si="204"/>
        <v>29</v>
      </c>
      <c r="AV246" s="148">
        <f t="shared" si="177"/>
        <v>45337</v>
      </c>
      <c r="AW246" s="41">
        <f t="shared" ca="1" si="178"/>
        <v>8144</v>
      </c>
      <c r="AX246" s="100">
        <f>VLOOKUP($A246,[1]!CurveTable,MATCH(AX$4,[1]!CurveType,0))</f>
        <v>6.1832863978172004E-2</v>
      </c>
      <c r="AY246" s="149">
        <f ca="1">1/(1+CHOOSE(F$3,(AX247+(Inputs!$B$14/10000))/2,(AX246+(Inputs!$B$14/10000))/2))^(2*AW246/365.25)</f>
        <v>0.25722396808082448</v>
      </c>
      <c r="AZ246" s="41">
        <f t="shared" si="205"/>
        <v>0</v>
      </c>
      <c r="BA246" s="72">
        <f t="shared" si="206"/>
        <v>0</v>
      </c>
      <c r="BC246" s="65">
        <f t="shared" ca="1" si="185"/>
        <v>0</v>
      </c>
      <c r="BD246" s="65">
        <f t="shared" ca="1" si="186"/>
        <v>0</v>
      </c>
      <c r="BE246" s="65">
        <f t="shared" ca="1" si="187"/>
        <v>0</v>
      </c>
      <c r="BF246" s="65">
        <f t="shared" ca="1" si="188"/>
        <v>0</v>
      </c>
      <c r="BG246" s="65">
        <f t="shared" ca="1" si="189"/>
        <v>0</v>
      </c>
      <c r="BH246" s="65">
        <f t="shared" ca="1" si="190"/>
        <v>0</v>
      </c>
      <c r="BI246" s="65">
        <f t="shared" ca="1" si="191"/>
        <v>0</v>
      </c>
      <c r="BJ246" s="65">
        <f t="shared" ca="1" si="192"/>
        <v>0</v>
      </c>
      <c r="BK246" s="65">
        <f t="shared" ca="1" si="193"/>
        <v>0</v>
      </c>
      <c r="BL246" s="65">
        <f t="shared" ca="1" si="194"/>
        <v>0</v>
      </c>
      <c r="BM246" s="65">
        <f t="shared" ca="1" si="195"/>
        <v>0</v>
      </c>
      <c r="BN246" s="65">
        <f t="shared" ca="1" si="196"/>
        <v>0</v>
      </c>
      <c r="BO246" s="65">
        <f t="shared" ca="1" si="197"/>
        <v>0</v>
      </c>
      <c r="BP246" s="65">
        <f t="shared" ca="1" si="198"/>
        <v>0</v>
      </c>
      <c r="BQ246" s="65">
        <f t="shared" ca="1" si="199"/>
        <v>0</v>
      </c>
      <c r="BR246" s="65">
        <f t="shared" ca="1" si="200"/>
        <v>0</v>
      </c>
      <c r="BS246" s="65">
        <f t="shared" ca="1" si="201"/>
        <v>0</v>
      </c>
      <c r="BT246" s="65">
        <f t="shared" ca="1" si="202"/>
        <v>0</v>
      </c>
      <c r="BU246" s="65">
        <f t="shared" ca="1" si="179"/>
        <v>0</v>
      </c>
    </row>
    <row r="247" spans="1:73">
      <c r="A247" s="42">
        <f t="shared" si="180"/>
        <v>45352</v>
      </c>
      <c r="B247" s="30">
        <f>Inputs!$B$8</f>
        <v>50000</v>
      </c>
      <c r="C247" s="17">
        <f t="shared" si="170"/>
        <v>0</v>
      </c>
      <c r="D247" s="17">
        <f t="shared" ca="1" si="171"/>
        <v>0</v>
      </c>
      <c r="E247" s="25">
        <f>VLOOKUP($A247,[1]!CurveTable,MATCH($E$4,[1]!CurveType,0))</f>
        <v>5.891</v>
      </c>
      <c r="F247" s="31">
        <f>E247-Inputs!$B$16</f>
        <v>5.9459999999999997</v>
      </c>
      <c r="G247" s="43">
        <f t="shared" si="212"/>
        <v>5.9459999999999997</v>
      </c>
      <c r="H247" s="25">
        <f>VLOOKUP($A247,[1]!CurveTable,MATCH($H$4,[1]!CurveType,0))</f>
        <v>0</v>
      </c>
      <c r="I247" s="31">
        <f>H247+Inputs!$B$22</f>
        <v>0</v>
      </c>
      <c r="J247" s="44">
        <f t="shared" si="213"/>
        <v>0</v>
      </c>
      <c r="K247" s="25">
        <f>VLOOKUP($A247,[1]!CurveTable,MATCH($K$4,[1]!CurveType,0))</f>
        <v>0</v>
      </c>
      <c r="L247" s="31">
        <v>0</v>
      </c>
      <c r="M247" s="45">
        <f t="shared" si="214"/>
        <v>0</v>
      </c>
      <c r="N247" s="25">
        <f>VLOOKUP($A247,[1]!CurveTable,MATCH($N$4,[1]!CurveType,0))</f>
        <v>0</v>
      </c>
      <c r="O247" s="31">
        <f>N247+Inputs!$E$22</f>
        <v>0</v>
      </c>
      <c r="P247" s="45">
        <f t="shared" si="215"/>
        <v>0</v>
      </c>
      <c r="Q247" s="25">
        <f>VLOOKUP($A247,[1]!CurveTable,MATCH($Q$4,[1]!CurveType,0))</f>
        <v>0</v>
      </c>
      <c r="R247" s="31">
        <v>0</v>
      </c>
      <c r="S247" s="45">
        <f t="shared" si="216"/>
        <v>0</v>
      </c>
      <c r="T247" s="4"/>
      <c r="U247" s="159">
        <f t="shared" si="181"/>
        <v>5.9459999999999997</v>
      </c>
      <c r="V247" s="160"/>
      <c r="W247" s="100">
        <f>VLOOKUP($A247,[1]!CurveTable,MATCH($W$4,[1]!CurveType,0))+$W$9</f>
        <v>0.17</v>
      </c>
      <c r="X247" s="100">
        <f>VLOOKUP($A247,[1]!CurveTable,MATCH($X$4,[1]!CurveType,0))+$X$9</f>
        <v>0.17500000000000002</v>
      </c>
      <c r="Y247" s="158">
        <f t="shared" ca="1" si="172"/>
        <v>0.17547970384297806</v>
      </c>
      <c r="Z247" s="4"/>
      <c r="AA247" s="159">
        <f t="shared" si="182"/>
        <v>5.9459999999999997</v>
      </c>
      <c r="AB247" s="160"/>
      <c r="AC247" s="100">
        <f>VLOOKUP($A247,[1]!CurveTable,MATCH($AC$4,[1]!CurveType,0))+$AC$9</f>
        <v>0.17</v>
      </c>
      <c r="AD247" s="100">
        <f>VLOOKUP($A247,[1]!CurveTable,MATCH($AD$4,[1]!CurveType,0))+$AD$9</f>
        <v>0.17500000000000002</v>
      </c>
      <c r="AE247" s="158">
        <f t="shared" ca="1" si="173"/>
        <v>0.17547970384297806</v>
      </c>
      <c r="AF247" s="4"/>
      <c r="AG247" s="52">
        <f ca="1">((Inputs!$F$20*(X247*AD247)*(A247-$C$3))+(Inputs!$F$19*W247*AC247*(DAY(EOMONTH(A247,0))/2)))/(AN247*Y247*AE247)</f>
        <v>0.75</v>
      </c>
      <c r="AH247" s="4"/>
      <c r="AI247" s="18">
        <f>Inputs!$B$15</f>
        <v>0.06</v>
      </c>
      <c r="AJ247" s="46"/>
      <c r="AK247" s="18">
        <f t="shared" si="174"/>
        <v>0</v>
      </c>
      <c r="AL247" s="46"/>
      <c r="AM247" s="62">
        <f t="shared" si="175"/>
        <v>45322</v>
      </c>
      <c r="AN247" s="63">
        <f t="shared" ca="1" si="176"/>
        <v>8129</v>
      </c>
      <c r="AO247" s="63">
        <f t="shared" si="203"/>
        <v>1</v>
      </c>
      <c r="AP247" s="19"/>
      <c r="AQ247" s="74">
        <f ca="1">_xll.SPRDOPT(U247,AA247,AI247,AX247,X247,AD247,AG247,AN247,AO247,0)</f>
        <v>0.33732059354200661</v>
      </c>
      <c r="AR247" s="47">
        <f t="shared" ca="1" si="183"/>
        <v>0</v>
      </c>
      <c r="AS247" s="135">
        <f t="shared" ca="1" si="184"/>
        <v>0.33732059354200661</v>
      </c>
      <c r="AU247" s="5">
        <f t="shared" si="204"/>
        <v>31</v>
      </c>
      <c r="AV247" s="148">
        <f t="shared" si="177"/>
        <v>45366</v>
      </c>
      <c r="AW247" s="41">
        <f t="shared" ca="1" si="178"/>
        <v>8173</v>
      </c>
      <c r="AX247" s="100">
        <f>VLOOKUP($A247,[1]!CurveTable,MATCH(AX$4,[1]!CurveType,0))</f>
        <v>6.1836001418461801E-2</v>
      </c>
      <c r="AY247" s="149">
        <f ca="1">1/(1+CHOOSE(F$3,(AX248+(Inputs!$B$14/10000))/2,(AX247+(Inputs!$B$14/10000))/2))^(2*AW247/365.25)</f>
        <v>0.25596585411709638</v>
      </c>
      <c r="AZ247" s="41">
        <f t="shared" si="205"/>
        <v>0</v>
      </c>
      <c r="BA247" s="72">
        <f t="shared" si="206"/>
        <v>0</v>
      </c>
      <c r="BC247" s="65">
        <f t="shared" ca="1" si="185"/>
        <v>0</v>
      </c>
      <c r="BD247" s="65">
        <f t="shared" ca="1" si="186"/>
        <v>0</v>
      </c>
      <c r="BE247" s="65">
        <f t="shared" ca="1" si="187"/>
        <v>0</v>
      </c>
      <c r="BF247" s="65">
        <f t="shared" ca="1" si="188"/>
        <v>0</v>
      </c>
      <c r="BG247" s="65">
        <f t="shared" ca="1" si="189"/>
        <v>0</v>
      </c>
      <c r="BH247" s="65">
        <f t="shared" ca="1" si="190"/>
        <v>0</v>
      </c>
      <c r="BI247" s="65">
        <f t="shared" ca="1" si="191"/>
        <v>0</v>
      </c>
      <c r="BJ247" s="65">
        <f t="shared" ca="1" si="192"/>
        <v>0</v>
      </c>
      <c r="BK247" s="65">
        <f t="shared" ca="1" si="193"/>
        <v>0</v>
      </c>
      <c r="BL247" s="65">
        <f t="shared" ca="1" si="194"/>
        <v>0</v>
      </c>
      <c r="BM247" s="65">
        <f t="shared" ca="1" si="195"/>
        <v>0</v>
      </c>
      <c r="BN247" s="65">
        <f t="shared" ca="1" si="196"/>
        <v>0</v>
      </c>
      <c r="BO247" s="65">
        <f t="shared" ca="1" si="197"/>
        <v>0</v>
      </c>
      <c r="BP247" s="65">
        <f t="shared" ca="1" si="198"/>
        <v>0</v>
      </c>
      <c r="BQ247" s="65">
        <f t="shared" ca="1" si="199"/>
        <v>0</v>
      </c>
      <c r="BR247" s="65">
        <f t="shared" ca="1" si="200"/>
        <v>0</v>
      </c>
      <c r="BS247" s="65">
        <f t="shared" ca="1" si="201"/>
        <v>0</v>
      </c>
      <c r="BT247" s="65">
        <f t="shared" ca="1" si="202"/>
        <v>0</v>
      </c>
      <c r="BU247" s="65">
        <f t="shared" ca="1" si="179"/>
        <v>0</v>
      </c>
    </row>
    <row r="248" spans="1:73">
      <c r="A248" s="42">
        <f t="shared" si="180"/>
        <v>45383</v>
      </c>
      <c r="B248" s="30">
        <f>Inputs!$B$8</f>
        <v>50000</v>
      </c>
      <c r="C248" s="17">
        <f t="shared" si="170"/>
        <v>0</v>
      </c>
      <c r="D248" s="17">
        <f t="shared" ca="1" si="171"/>
        <v>0</v>
      </c>
      <c r="E248" s="25">
        <f>VLOOKUP($A248,[1]!CurveTable,MATCH($E$4,[1]!CurveType,0))</f>
        <v>5.7370000000000001</v>
      </c>
      <c r="F248" s="31">
        <f>E248-Inputs!$B$16</f>
        <v>5.7919999999999998</v>
      </c>
      <c r="G248" s="43">
        <f t="shared" si="212"/>
        <v>5.7919999999999998</v>
      </c>
      <c r="H248" s="25">
        <f>VLOOKUP($A248,[1]!CurveTable,MATCH($H$4,[1]!CurveType,0))</f>
        <v>0</v>
      </c>
      <c r="I248" s="31">
        <f>H248+Inputs!$B$22</f>
        <v>0</v>
      </c>
      <c r="J248" s="44">
        <f t="shared" si="213"/>
        <v>0</v>
      </c>
      <c r="K248" s="25">
        <f>VLOOKUP($A248,[1]!CurveTable,MATCH($K$4,[1]!CurveType,0))</f>
        <v>0</v>
      </c>
      <c r="L248" s="31">
        <v>0</v>
      </c>
      <c r="M248" s="45">
        <f t="shared" si="214"/>
        <v>0</v>
      </c>
      <c r="N248" s="25">
        <f>VLOOKUP($A248,[1]!CurveTable,MATCH($N$4,[1]!CurveType,0))</f>
        <v>0</v>
      </c>
      <c r="O248" s="31">
        <f>N248+Inputs!$E$22</f>
        <v>0</v>
      </c>
      <c r="P248" s="45">
        <f t="shared" si="215"/>
        <v>0</v>
      </c>
      <c r="Q248" s="25">
        <f>VLOOKUP($A248,[1]!CurveTable,MATCH($Q$4,[1]!CurveType,0))</f>
        <v>0</v>
      </c>
      <c r="R248" s="31">
        <v>0</v>
      </c>
      <c r="S248" s="45">
        <f t="shared" si="216"/>
        <v>0</v>
      </c>
      <c r="T248" s="4"/>
      <c r="U248" s="159">
        <f t="shared" si="181"/>
        <v>5.7919999999999998</v>
      </c>
      <c r="V248" s="160"/>
      <c r="W248" s="100">
        <f>VLOOKUP($A248,[1]!CurveTable,MATCH($W$4,[1]!CurveType,0))+$W$9</f>
        <v>0.17</v>
      </c>
      <c r="X248" s="100">
        <f>VLOOKUP($A248,[1]!CurveTable,MATCH($X$4,[1]!CurveType,0))+$X$9</f>
        <v>0.17500000000000002</v>
      </c>
      <c r="Y248" s="158">
        <f t="shared" ca="1" si="172"/>
        <v>0.17549434608058329</v>
      </c>
      <c r="Z248" s="4"/>
      <c r="AA248" s="159">
        <f t="shared" si="182"/>
        <v>5.7919999999999998</v>
      </c>
      <c r="AB248" s="160"/>
      <c r="AC248" s="100">
        <f>VLOOKUP($A248,[1]!CurveTable,MATCH($AC$4,[1]!CurveType,0))+$AC$9</f>
        <v>0.17</v>
      </c>
      <c r="AD248" s="100">
        <f>VLOOKUP($A248,[1]!CurveTable,MATCH($AD$4,[1]!CurveType,0))+$AD$9</f>
        <v>0.17500000000000002</v>
      </c>
      <c r="AE248" s="158">
        <f t="shared" ca="1" si="173"/>
        <v>0.17549434608058329</v>
      </c>
      <c r="AF248" s="4"/>
      <c r="AG248" s="52">
        <f ca="1">((Inputs!$F$20*(X248*AD248)*(A248-$C$3))+(Inputs!$F$19*W248*AC248*(DAY(EOMONTH(A248,0))/2)))/(AN248*Y248*AE248)</f>
        <v>0.74999999999999989</v>
      </c>
      <c r="AH248" s="4"/>
      <c r="AI248" s="18">
        <f>Inputs!$B$15</f>
        <v>0.06</v>
      </c>
      <c r="AJ248" s="46"/>
      <c r="AK248" s="18">
        <f t="shared" si="174"/>
        <v>0</v>
      </c>
      <c r="AL248" s="46"/>
      <c r="AM248" s="62">
        <f t="shared" si="175"/>
        <v>45351</v>
      </c>
      <c r="AN248" s="63">
        <f t="shared" ca="1" si="176"/>
        <v>8158</v>
      </c>
      <c r="AO248" s="63">
        <f t="shared" si="203"/>
        <v>1</v>
      </c>
      <c r="AP248" s="19"/>
      <c r="AQ248" s="74">
        <f ca="1">_xll.SPRDOPT(U248,AA248,AI248,AX248,X248,AD248,AG248,AN248,AO248,0)</f>
        <v>0.327339099859976</v>
      </c>
      <c r="AR248" s="47">
        <f t="shared" ca="1" si="183"/>
        <v>0</v>
      </c>
      <c r="AS248" s="135">
        <f t="shared" ca="1" si="184"/>
        <v>0.327339099859976</v>
      </c>
      <c r="AU248" s="5">
        <f t="shared" si="204"/>
        <v>30</v>
      </c>
      <c r="AV248" s="148">
        <f t="shared" si="177"/>
        <v>45397</v>
      </c>
      <c r="AW248" s="41">
        <f t="shared" ca="1" si="178"/>
        <v>8204</v>
      </c>
      <c r="AX248" s="100">
        <f>VLOOKUP($A248,[1]!CurveTable,MATCH(AX$4,[1]!CurveType,0))</f>
        <v>6.1839355233947603E-2</v>
      </c>
      <c r="AY248" s="149">
        <f ca="1">1/(1+CHOOSE(F$3,(AX249+(Inputs!$B$14/10000))/2,(AX248+(Inputs!$B$14/10000))/2))^(2*AW248/365.25)</f>
        <v>0.25462764166207641</v>
      </c>
      <c r="AZ248" s="41">
        <f t="shared" si="205"/>
        <v>0</v>
      </c>
      <c r="BA248" s="72">
        <f t="shared" si="206"/>
        <v>0</v>
      </c>
      <c r="BC248" s="65">
        <f t="shared" ca="1" si="185"/>
        <v>0</v>
      </c>
      <c r="BD248" s="65">
        <f t="shared" ca="1" si="186"/>
        <v>0</v>
      </c>
      <c r="BE248" s="65">
        <f t="shared" ca="1" si="187"/>
        <v>0</v>
      </c>
      <c r="BF248" s="65">
        <f t="shared" ca="1" si="188"/>
        <v>0</v>
      </c>
      <c r="BG248" s="65">
        <f t="shared" ca="1" si="189"/>
        <v>0</v>
      </c>
      <c r="BH248" s="65">
        <f t="shared" ca="1" si="190"/>
        <v>0</v>
      </c>
      <c r="BI248" s="65">
        <f t="shared" ca="1" si="191"/>
        <v>0</v>
      </c>
      <c r="BJ248" s="65">
        <f t="shared" ca="1" si="192"/>
        <v>0</v>
      </c>
      <c r="BK248" s="65">
        <f t="shared" ca="1" si="193"/>
        <v>0</v>
      </c>
      <c r="BL248" s="65">
        <f t="shared" ca="1" si="194"/>
        <v>0</v>
      </c>
      <c r="BM248" s="65">
        <f t="shared" ca="1" si="195"/>
        <v>0</v>
      </c>
      <c r="BN248" s="65">
        <f t="shared" ca="1" si="196"/>
        <v>0</v>
      </c>
      <c r="BO248" s="65">
        <f t="shared" ca="1" si="197"/>
        <v>0</v>
      </c>
      <c r="BP248" s="65">
        <f t="shared" ca="1" si="198"/>
        <v>0</v>
      </c>
      <c r="BQ248" s="65">
        <f t="shared" ca="1" si="199"/>
        <v>0</v>
      </c>
      <c r="BR248" s="65">
        <f t="shared" ca="1" si="200"/>
        <v>0</v>
      </c>
      <c r="BS248" s="65">
        <f t="shared" ca="1" si="201"/>
        <v>0</v>
      </c>
      <c r="BT248" s="65">
        <f t="shared" ca="1" si="202"/>
        <v>0</v>
      </c>
      <c r="BU248" s="65">
        <f t="shared" ca="1" si="179"/>
        <v>0</v>
      </c>
    </row>
    <row r="249" spans="1:73">
      <c r="A249" s="42">
        <f t="shared" si="180"/>
        <v>45413</v>
      </c>
      <c r="B249" s="30">
        <f>Inputs!$B$8</f>
        <v>50000</v>
      </c>
      <c r="C249" s="17">
        <f t="shared" si="170"/>
        <v>0</v>
      </c>
      <c r="D249" s="17">
        <f t="shared" ca="1" si="171"/>
        <v>0</v>
      </c>
      <c r="E249" s="25">
        <f>VLOOKUP($A249,[1]!CurveTable,MATCH($E$4,[1]!CurveType,0))</f>
        <v>5.742</v>
      </c>
      <c r="F249" s="31">
        <f>E249-Inputs!$B$16</f>
        <v>5.7969999999999997</v>
      </c>
      <c r="G249" s="43">
        <f t="shared" si="212"/>
        <v>5.7969999999999997</v>
      </c>
      <c r="H249" s="25">
        <f>VLOOKUP($A249,[1]!CurveTable,MATCH($H$4,[1]!CurveType,0))</f>
        <v>0</v>
      </c>
      <c r="I249" s="31">
        <f>H249+Inputs!$B$22</f>
        <v>0</v>
      </c>
      <c r="J249" s="44">
        <f t="shared" si="213"/>
        <v>0</v>
      </c>
      <c r="K249" s="25">
        <f>VLOOKUP($A249,[1]!CurveTable,MATCH($K$4,[1]!CurveType,0))</f>
        <v>0</v>
      </c>
      <c r="L249" s="31">
        <v>0</v>
      </c>
      <c r="M249" s="45">
        <f t="shared" si="214"/>
        <v>0</v>
      </c>
      <c r="N249" s="25">
        <f>VLOOKUP($A249,[1]!CurveTable,MATCH($N$4,[1]!CurveType,0))</f>
        <v>0</v>
      </c>
      <c r="O249" s="31">
        <f>N249+Inputs!$E$22</f>
        <v>0</v>
      </c>
      <c r="P249" s="45">
        <f t="shared" si="215"/>
        <v>0</v>
      </c>
      <c r="Q249" s="25">
        <f>VLOOKUP($A249,[1]!CurveTable,MATCH($Q$4,[1]!CurveType,0))</f>
        <v>0</v>
      </c>
      <c r="R249" s="31">
        <v>0</v>
      </c>
      <c r="S249" s="45">
        <f t="shared" si="216"/>
        <v>0</v>
      </c>
      <c r="T249" s="4"/>
      <c r="U249" s="159">
        <f t="shared" si="181"/>
        <v>5.7969999999999997</v>
      </c>
      <c r="V249" s="160"/>
      <c r="W249" s="100">
        <f>VLOOKUP($A249,[1]!CurveTable,MATCH($W$4,[1]!CurveType,0))+$W$9</f>
        <v>0.34</v>
      </c>
      <c r="X249" s="100">
        <f>VLOOKUP($A249,[1]!CurveTable,MATCH($X$4,[1]!CurveType,0))+$X$9</f>
        <v>0.34500000000000003</v>
      </c>
      <c r="Y249" s="158">
        <f t="shared" ca="1" si="172"/>
        <v>0.34596875972912849</v>
      </c>
      <c r="Z249" s="4"/>
      <c r="AA249" s="159">
        <f t="shared" si="182"/>
        <v>5.7969999999999997</v>
      </c>
      <c r="AB249" s="160"/>
      <c r="AC249" s="100">
        <f>VLOOKUP($A249,[1]!CurveTable,MATCH($AC$4,[1]!CurveType,0))+$AC$9</f>
        <v>0.17</v>
      </c>
      <c r="AD249" s="100">
        <f>VLOOKUP($A249,[1]!CurveTable,MATCH($AD$4,[1]!CurveType,0))+$AD$9</f>
        <v>0.17500000000000002</v>
      </c>
      <c r="AE249" s="158">
        <f t="shared" ca="1" si="173"/>
        <v>0.1754868496144173</v>
      </c>
      <c r="AF249" s="4"/>
      <c r="AG249" s="52">
        <f ca="1">((Inputs!$F$20*(X249*AD249)*(A249-$C$3))+(Inputs!$F$19*W249*AC249*(DAY(EOMONTH(A249,0))/2)))/(AN249*Y249*AE249)</f>
        <v>0.74999986034772714</v>
      </c>
      <c r="AH249" s="4"/>
      <c r="AI249" s="18">
        <f>Inputs!$B$15</f>
        <v>0.06</v>
      </c>
      <c r="AJ249" s="46"/>
      <c r="AK249" s="18">
        <f t="shared" si="174"/>
        <v>0</v>
      </c>
      <c r="AL249" s="46"/>
      <c r="AM249" s="62">
        <f t="shared" si="175"/>
        <v>45382</v>
      </c>
      <c r="AN249" s="63">
        <f t="shared" ca="1" si="176"/>
        <v>8189</v>
      </c>
      <c r="AO249" s="63">
        <f t="shared" si="203"/>
        <v>1</v>
      </c>
      <c r="AP249" s="19"/>
      <c r="AQ249" s="74">
        <f ca="1">_xll.SPRDOPT(U249,AA249,AI249,AX249,X249,AD249,AG249,AN249,AO249,0)</f>
        <v>0.62744397001015173</v>
      </c>
      <c r="AR249" s="47">
        <f t="shared" ca="1" si="183"/>
        <v>0</v>
      </c>
      <c r="AS249" s="135">
        <f t="shared" ca="1" si="184"/>
        <v>0.62744397001015173</v>
      </c>
      <c r="AU249" s="5">
        <f t="shared" si="204"/>
        <v>31</v>
      </c>
      <c r="AV249" s="148">
        <f t="shared" si="177"/>
        <v>45427</v>
      </c>
      <c r="AW249" s="41">
        <f t="shared" ca="1" si="178"/>
        <v>8234</v>
      </c>
      <c r="AX249" s="100">
        <f>VLOOKUP($A249,[1]!CurveTable,MATCH(AX$4,[1]!CurveType,0))</f>
        <v>6.1842600861840701E-2</v>
      </c>
      <c r="AY249" s="149">
        <f ca="1">1/(1+CHOOSE(F$3,(AX250+(Inputs!$B$14/10000))/2,(AX249+(Inputs!$B$14/10000))/2))^(2*AW249/365.25)</f>
        <v>0.25333912595534025</v>
      </c>
      <c r="AZ249" s="41">
        <f t="shared" si="205"/>
        <v>0</v>
      </c>
      <c r="BA249" s="72">
        <f t="shared" si="206"/>
        <v>0</v>
      </c>
      <c r="BC249" s="65">
        <f t="shared" ca="1" si="185"/>
        <v>0</v>
      </c>
      <c r="BD249" s="65">
        <f t="shared" ca="1" si="186"/>
        <v>0</v>
      </c>
      <c r="BE249" s="65">
        <f t="shared" ca="1" si="187"/>
        <v>0</v>
      </c>
      <c r="BF249" s="65">
        <f t="shared" ca="1" si="188"/>
        <v>0</v>
      </c>
      <c r="BG249" s="65">
        <f t="shared" ca="1" si="189"/>
        <v>0</v>
      </c>
      <c r="BH249" s="65">
        <f t="shared" ca="1" si="190"/>
        <v>0</v>
      </c>
      <c r="BI249" s="65">
        <f t="shared" ca="1" si="191"/>
        <v>0</v>
      </c>
      <c r="BJ249" s="65">
        <f t="shared" ca="1" si="192"/>
        <v>0</v>
      </c>
      <c r="BK249" s="65">
        <f t="shared" ca="1" si="193"/>
        <v>0</v>
      </c>
      <c r="BL249" s="65">
        <f t="shared" ca="1" si="194"/>
        <v>0</v>
      </c>
      <c r="BM249" s="65">
        <f t="shared" ca="1" si="195"/>
        <v>0</v>
      </c>
      <c r="BN249" s="65">
        <f t="shared" ca="1" si="196"/>
        <v>0</v>
      </c>
      <c r="BO249" s="65">
        <f t="shared" ca="1" si="197"/>
        <v>0</v>
      </c>
      <c r="BP249" s="65">
        <f t="shared" ca="1" si="198"/>
        <v>0</v>
      </c>
      <c r="BQ249" s="65">
        <f t="shared" ca="1" si="199"/>
        <v>0</v>
      </c>
      <c r="BR249" s="65">
        <f t="shared" ca="1" si="200"/>
        <v>0</v>
      </c>
      <c r="BS249" s="65">
        <f t="shared" ca="1" si="201"/>
        <v>0</v>
      </c>
      <c r="BT249" s="65">
        <f t="shared" ca="1" si="202"/>
        <v>0</v>
      </c>
      <c r="BU249" s="65">
        <f t="shared" ca="1" si="179"/>
        <v>0</v>
      </c>
    </row>
    <row r="250" spans="1:73">
      <c r="A250" s="42">
        <f t="shared" si="180"/>
        <v>45444</v>
      </c>
      <c r="B250" s="30">
        <f>Inputs!$B$8</f>
        <v>50000</v>
      </c>
      <c r="C250" s="17">
        <f t="shared" si="170"/>
        <v>0</v>
      </c>
      <c r="D250" s="17">
        <f t="shared" ca="1" si="171"/>
        <v>0</v>
      </c>
      <c r="E250" s="25">
        <f>VLOOKUP($A250,[1]!CurveTable,MATCH($E$4,[1]!CurveType,0))</f>
        <v>5.78</v>
      </c>
      <c r="F250" s="31">
        <f>E250-Inputs!$B$16</f>
        <v>5.835</v>
      </c>
      <c r="G250" s="43">
        <f t="shared" ref="G250:G256" si="217">F250</f>
        <v>5.835</v>
      </c>
      <c r="H250" s="25">
        <f>VLOOKUP($A250,[1]!CurveTable,MATCH($H$4,[1]!CurveType,0))</f>
        <v>0</v>
      </c>
      <c r="I250" s="31">
        <f>H250+Inputs!$B$22</f>
        <v>0</v>
      </c>
      <c r="J250" s="44">
        <f t="shared" ref="J250:J256" si="218">I250</f>
        <v>0</v>
      </c>
      <c r="K250" s="25">
        <f>VLOOKUP($A250,[1]!CurveTable,MATCH($K$4,[1]!CurveType,0))</f>
        <v>0</v>
      </c>
      <c r="L250" s="31">
        <v>0</v>
      </c>
      <c r="M250" s="45">
        <f t="shared" ref="M250:M256" si="219">L250</f>
        <v>0</v>
      </c>
      <c r="N250" s="25">
        <f>VLOOKUP($A250,[1]!CurveTable,MATCH($N$4,[1]!CurveType,0))</f>
        <v>0</v>
      </c>
      <c r="O250" s="31">
        <f>N250+Inputs!$E$22</f>
        <v>0</v>
      </c>
      <c r="P250" s="45">
        <f t="shared" ref="P250:P256" si="220">O250</f>
        <v>0</v>
      </c>
      <c r="Q250" s="25">
        <f>VLOOKUP($A250,[1]!CurveTable,MATCH($Q$4,[1]!CurveType,0))</f>
        <v>0</v>
      </c>
      <c r="R250" s="31">
        <v>0</v>
      </c>
      <c r="S250" s="45">
        <f t="shared" ref="S250:S256" si="221">R250</f>
        <v>0</v>
      </c>
      <c r="T250" s="4"/>
      <c r="U250" s="159">
        <f t="shared" si="181"/>
        <v>5.835</v>
      </c>
      <c r="V250" s="160"/>
      <c r="W250" s="100">
        <f>VLOOKUP($A250,[1]!CurveTable,MATCH($W$4,[1]!CurveType,0))+$W$9</f>
        <v>0.34</v>
      </c>
      <c r="X250" s="100">
        <f>VLOOKUP($A250,[1]!CurveTable,MATCH($X$4,[1]!CurveType,0))+$X$9</f>
        <v>0.34500000000000003</v>
      </c>
      <c r="Y250" s="158">
        <f t="shared" ca="1" si="172"/>
        <v>0.34597599427092235</v>
      </c>
      <c r="Z250" s="4"/>
      <c r="AA250" s="159">
        <f t="shared" si="182"/>
        <v>5.835</v>
      </c>
      <c r="AB250" s="160"/>
      <c r="AC250" s="100">
        <f>VLOOKUP($A250,[1]!CurveTable,MATCH($AC$4,[1]!CurveType,0))+$AC$9</f>
        <v>0.17</v>
      </c>
      <c r="AD250" s="100">
        <f>VLOOKUP($A250,[1]!CurveTable,MATCH($AD$4,[1]!CurveType,0))+$AD$9</f>
        <v>0.17500000000000002</v>
      </c>
      <c r="AE250" s="158">
        <f t="shared" ca="1" si="173"/>
        <v>0.17549068225850947</v>
      </c>
      <c r="AF250" s="4"/>
      <c r="AG250" s="52">
        <f ca="1">((Inputs!$F$20*(X250*AD250)*(A250-$C$3))+(Inputs!$F$19*W250*AC250*(DAY(EOMONTH(A250,0))/2)))/(AN250*Y250*AE250)</f>
        <v>0.74999986534298391</v>
      </c>
      <c r="AH250" s="4"/>
      <c r="AI250" s="18">
        <f>Inputs!$B$15</f>
        <v>0.06</v>
      </c>
      <c r="AJ250" s="46"/>
      <c r="AK250" s="18">
        <f t="shared" si="174"/>
        <v>0</v>
      </c>
      <c r="AL250" s="46"/>
      <c r="AM250" s="62">
        <f t="shared" si="175"/>
        <v>45412</v>
      </c>
      <c r="AN250" s="63">
        <f t="shared" ca="1" si="176"/>
        <v>8219</v>
      </c>
      <c r="AO250" s="63">
        <f t="shared" si="203"/>
        <v>1</v>
      </c>
      <c r="AP250" s="19"/>
      <c r="AQ250" s="74">
        <f ca="1">_xll.SPRDOPT(U250,AA250,AI250,AX250,X250,AD250,AG250,AN250,AO250,0)</f>
        <v>0.62936761795337304</v>
      </c>
      <c r="AR250" s="47">
        <f t="shared" ca="1" si="183"/>
        <v>0</v>
      </c>
      <c r="AS250" s="135">
        <f t="shared" ca="1" si="184"/>
        <v>0.62936761795337304</v>
      </c>
      <c r="AU250" s="5">
        <f t="shared" si="204"/>
        <v>30</v>
      </c>
      <c r="AV250" s="148">
        <f t="shared" si="177"/>
        <v>45458</v>
      </c>
      <c r="AW250" s="41">
        <f t="shared" ca="1" si="178"/>
        <v>8265</v>
      </c>
      <c r="AX250" s="100">
        <f>VLOOKUP($A250,[1]!CurveTable,MATCH(AX$4,[1]!CurveType,0))</f>
        <v>6.1845954677333601E-2</v>
      </c>
      <c r="AY250" s="149">
        <f ca="1">1/(1+CHOOSE(F$3,(AX251+(Inputs!$B$14/10000))/2,(AX250+(Inputs!$B$14/10000))/2))^(2*AW250/365.25)</f>
        <v>0.2520143724821457</v>
      </c>
      <c r="AZ250" s="41">
        <f t="shared" si="205"/>
        <v>0</v>
      </c>
      <c r="BA250" s="72">
        <f t="shared" si="206"/>
        <v>0</v>
      </c>
      <c r="BC250" s="65">
        <f t="shared" ca="1" si="185"/>
        <v>0</v>
      </c>
      <c r="BD250" s="65">
        <f t="shared" ca="1" si="186"/>
        <v>0</v>
      </c>
      <c r="BE250" s="65">
        <f t="shared" ca="1" si="187"/>
        <v>0</v>
      </c>
      <c r="BF250" s="65">
        <f t="shared" ca="1" si="188"/>
        <v>0</v>
      </c>
      <c r="BG250" s="65">
        <f t="shared" ca="1" si="189"/>
        <v>0</v>
      </c>
      <c r="BH250" s="65">
        <f t="shared" ca="1" si="190"/>
        <v>0</v>
      </c>
      <c r="BI250" s="65">
        <f t="shared" ca="1" si="191"/>
        <v>0</v>
      </c>
      <c r="BJ250" s="65">
        <f t="shared" ca="1" si="192"/>
        <v>0</v>
      </c>
      <c r="BK250" s="65">
        <f t="shared" ca="1" si="193"/>
        <v>0</v>
      </c>
      <c r="BL250" s="65">
        <f t="shared" ca="1" si="194"/>
        <v>0</v>
      </c>
      <c r="BM250" s="65">
        <f t="shared" ca="1" si="195"/>
        <v>0</v>
      </c>
      <c r="BN250" s="65">
        <f t="shared" ca="1" si="196"/>
        <v>0</v>
      </c>
      <c r="BO250" s="65">
        <f t="shared" ca="1" si="197"/>
        <v>0</v>
      </c>
      <c r="BP250" s="65">
        <f t="shared" ca="1" si="198"/>
        <v>0</v>
      </c>
      <c r="BQ250" s="65">
        <f t="shared" ca="1" si="199"/>
        <v>0</v>
      </c>
      <c r="BR250" s="65">
        <f t="shared" ca="1" si="200"/>
        <v>0</v>
      </c>
      <c r="BS250" s="65">
        <f t="shared" ca="1" si="201"/>
        <v>0</v>
      </c>
      <c r="BT250" s="65">
        <f t="shared" ca="1" si="202"/>
        <v>0</v>
      </c>
      <c r="BU250" s="65">
        <f t="shared" ca="1" si="179"/>
        <v>0</v>
      </c>
    </row>
    <row r="251" spans="1:73">
      <c r="A251" s="42">
        <f t="shared" si="180"/>
        <v>45474</v>
      </c>
      <c r="B251" s="30">
        <f>Inputs!$B$8</f>
        <v>50000</v>
      </c>
      <c r="C251" s="17">
        <f t="shared" si="170"/>
        <v>0</v>
      </c>
      <c r="D251" s="17">
        <f t="shared" ca="1" si="171"/>
        <v>0</v>
      </c>
      <c r="E251" s="25">
        <f>VLOOKUP($A251,[1]!CurveTable,MATCH($E$4,[1]!CurveType,0))</f>
        <v>5.8250000000000002</v>
      </c>
      <c r="F251" s="31">
        <f>E251-Inputs!$B$16</f>
        <v>5.88</v>
      </c>
      <c r="G251" s="43">
        <f t="shared" si="217"/>
        <v>5.88</v>
      </c>
      <c r="H251" s="25">
        <f>VLOOKUP($A251,[1]!CurveTable,MATCH($H$4,[1]!CurveType,0))</f>
        <v>0</v>
      </c>
      <c r="I251" s="31">
        <f>H251+Inputs!$B$22</f>
        <v>0</v>
      </c>
      <c r="J251" s="44">
        <f t="shared" si="218"/>
        <v>0</v>
      </c>
      <c r="K251" s="25">
        <f>VLOOKUP($A251,[1]!CurveTable,MATCH($K$4,[1]!CurveType,0))</f>
        <v>0</v>
      </c>
      <c r="L251" s="31">
        <v>0</v>
      </c>
      <c r="M251" s="45">
        <f t="shared" si="219"/>
        <v>0</v>
      </c>
      <c r="N251" s="25">
        <f>VLOOKUP($A251,[1]!CurveTable,MATCH($N$4,[1]!CurveType,0))</f>
        <v>0</v>
      </c>
      <c r="O251" s="31">
        <f>N251+Inputs!$E$22</f>
        <v>0</v>
      </c>
      <c r="P251" s="45">
        <f t="shared" si="220"/>
        <v>0</v>
      </c>
      <c r="Q251" s="25">
        <f>VLOOKUP($A251,[1]!CurveTable,MATCH($Q$4,[1]!CurveType,0))</f>
        <v>0</v>
      </c>
      <c r="R251" s="31">
        <v>0</v>
      </c>
      <c r="S251" s="45">
        <f t="shared" si="221"/>
        <v>0</v>
      </c>
      <c r="T251" s="4"/>
      <c r="U251" s="159">
        <f t="shared" si="181"/>
        <v>5.88</v>
      </c>
      <c r="V251" s="160"/>
      <c r="W251" s="100">
        <f>VLOOKUP($A251,[1]!CurveTable,MATCH($W$4,[1]!CurveType,0))+$W$9</f>
        <v>0.34</v>
      </c>
      <c r="X251" s="100">
        <f>VLOOKUP($A251,[1]!CurveTable,MATCH($X$4,[1]!CurveType,0))+$X$9</f>
        <v>0.34500000000000003</v>
      </c>
      <c r="Y251" s="158">
        <f t="shared" ca="1" si="172"/>
        <v>0.34596160673307863</v>
      </c>
      <c r="Z251" s="4"/>
      <c r="AA251" s="159">
        <f t="shared" si="182"/>
        <v>5.88</v>
      </c>
      <c r="AB251" s="160"/>
      <c r="AC251" s="100">
        <f>VLOOKUP($A251,[1]!CurveTable,MATCH($AC$4,[1]!CurveType,0))+$AC$9</f>
        <v>0.17</v>
      </c>
      <c r="AD251" s="100">
        <f>VLOOKUP($A251,[1]!CurveTable,MATCH($AD$4,[1]!CurveType,0))+$AD$9</f>
        <v>0.17500000000000002</v>
      </c>
      <c r="AE251" s="158">
        <f t="shared" ca="1" si="173"/>
        <v>0.17548325483439361</v>
      </c>
      <c r="AF251" s="4"/>
      <c r="AG251" s="52">
        <f ca="1">((Inputs!$F$20*(X251*AD251)*(A251-$C$3))+(Inputs!$F$19*W251*AC251*(DAY(EOMONTH(A251,0))/2)))/(AN251*Y251*AE251)</f>
        <v>0.74999986137276142</v>
      </c>
      <c r="AH251" s="4"/>
      <c r="AI251" s="18">
        <f>Inputs!$B$15</f>
        <v>0.06</v>
      </c>
      <c r="AJ251" s="46"/>
      <c r="AK251" s="18">
        <f t="shared" si="174"/>
        <v>0</v>
      </c>
      <c r="AL251" s="46"/>
      <c r="AM251" s="62">
        <f t="shared" si="175"/>
        <v>45443</v>
      </c>
      <c r="AN251" s="63">
        <f t="shared" ca="1" si="176"/>
        <v>8250</v>
      </c>
      <c r="AO251" s="63">
        <f t="shared" si="203"/>
        <v>1</v>
      </c>
      <c r="AP251" s="19"/>
      <c r="AQ251" s="74">
        <f ca="1">_xll.SPRDOPT(U251,AA251,AI251,AX251,X251,AD251,AG251,AN251,AO251,0)</f>
        <v>0.63195030053486045</v>
      </c>
      <c r="AR251" s="47">
        <f t="shared" ca="1" si="183"/>
        <v>0</v>
      </c>
      <c r="AS251" s="135">
        <f t="shared" ca="1" si="184"/>
        <v>0.63195030053486045</v>
      </c>
      <c r="AU251" s="5">
        <f t="shared" si="204"/>
        <v>31</v>
      </c>
      <c r="AV251" s="148">
        <f t="shared" si="177"/>
        <v>45488</v>
      </c>
      <c r="AW251" s="41">
        <f t="shared" ca="1" si="178"/>
        <v>8295</v>
      </c>
      <c r="AX251" s="100">
        <f>VLOOKUP($A251,[1]!CurveTable,MATCH(AX$4,[1]!CurveType,0))</f>
        <v>6.1849200305233304E-2</v>
      </c>
      <c r="AY251" s="149">
        <f ca="1">1/(1+CHOOSE(F$3,(AX252+(Inputs!$B$14/10000))/2,(AX251+(Inputs!$B$14/10000))/2))^(2*AW251/365.25)</f>
        <v>0.25073881732700237</v>
      </c>
      <c r="AZ251" s="41">
        <f t="shared" si="205"/>
        <v>0</v>
      </c>
      <c r="BA251" s="72">
        <f t="shared" si="206"/>
        <v>0</v>
      </c>
      <c r="BC251" s="65">
        <f t="shared" ca="1" si="185"/>
        <v>0</v>
      </c>
      <c r="BD251" s="65">
        <f t="shared" ca="1" si="186"/>
        <v>0</v>
      </c>
      <c r="BE251" s="65">
        <f t="shared" ca="1" si="187"/>
        <v>0</v>
      </c>
      <c r="BF251" s="65">
        <f t="shared" ca="1" si="188"/>
        <v>0</v>
      </c>
      <c r="BG251" s="65">
        <f t="shared" ca="1" si="189"/>
        <v>0</v>
      </c>
      <c r="BH251" s="65">
        <f t="shared" ca="1" si="190"/>
        <v>0</v>
      </c>
      <c r="BI251" s="65">
        <f t="shared" ca="1" si="191"/>
        <v>0</v>
      </c>
      <c r="BJ251" s="65">
        <f t="shared" ca="1" si="192"/>
        <v>0</v>
      </c>
      <c r="BK251" s="65">
        <f t="shared" ca="1" si="193"/>
        <v>0</v>
      </c>
      <c r="BL251" s="65">
        <f t="shared" ca="1" si="194"/>
        <v>0</v>
      </c>
      <c r="BM251" s="65">
        <f t="shared" ca="1" si="195"/>
        <v>0</v>
      </c>
      <c r="BN251" s="65">
        <f t="shared" ca="1" si="196"/>
        <v>0</v>
      </c>
      <c r="BO251" s="65">
        <f t="shared" ca="1" si="197"/>
        <v>0</v>
      </c>
      <c r="BP251" s="65">
        <f t="shared" ca="1" si="198"/>
        <v>0</v>
      </c>
      <c r="BQ251" s="65">
        <f t="shared" ca="1" si="199"/>
        <v>0</v>
      </c>
      <c r="BR251" s="65">
        <f t="shared" ca="1" si="200"/>
        <v>0</v>
      </c>
      <c r="BS251" s="65">
        <f t="shared" ca="1" si="201"/>
        <v>0</v>
      </c>
      <c r="BT251" s="65">
        <f t="shared" ca="1" si="202"/>
        <v>0</v>
      </c>
      <c r="BU251" s="65">
        <f t="shared" ca="1" si="179"/>
        <v>0</v>
      </c>
    </row>
    <row r="252" spans="1:73">
      <c r="A252" s="42">
        <f t="shared" si="180"/>
        <v>45505</v>
      </c>
      <c r="B252" s="30">
        <f>Inputs!$B$8</f>
        <v>50000</v>
      </c>
      <c r="C252" s="17">
        <f t="shared" si="170"/>
        <v>0</v>
      </c>
      <c r="D252" s="17">
        <f t="shared" ca="1" si="171"/>
        <v>0</v>
      </c>
      <c r="E252" s="25">
        <f>VLOOKUP($A252,[1]!CurveTable,MATCH($E$4,[1]!CurveType,0))</f>
        <v>5.8630000000000004</v>
      </c>
      <c r="F252" s="31">
        <f>E252-Inputs!$B$16</f>
        <v>5.9180000000000001</v>
      </c>
      <c r="G252" s="43">
        <f t="shared" si="217"/>
        <v>5.9180000000000001</v>
      </c>
      <c r="H252" s="25">
        <f>VLOOKUP($A252,[1]!CurveTable,MATCH($H$4,[1]!CurveType,0))</f>
        <v>0</v>
      </c>
      <c r="I252" s="31">
        <f>H252+Inputs!$B$22</f>
        <v>0</v>
      </c>
      <c r="J252" s="44">
        <f t="shared" si="218"/>
        <v>0</v>
      </c>
      <c r="K252" s="25">
        <f>VLOOKUP($A252,[1]!CurveTable,MATCH($K$4,[1]!CurveType,0))</f>
        <v>0</v>
      </c>
      <c r="L252" s="31">
        <v>0</v>
      </c>
      <c r="M252" s="45">
        <f t="shared" si="219"/>
        <v>0</v>
      </c>
      <c r="N252" s="25">
        <f>VLOOKUP($A252,[1]!CurveTable,MATCH($N$4,[1]!CurveType,0))</f>
        <v>0</v>
      </c>
      <c r="O252" s="31">
        <f>N252+Inputs!$E$22</f>
        <v>0</v>
      </c>
      <c r="P252" s="45">
        <f t="shared" si="220"/>
        <v>0</v>
      </c>
      <c r="Q252" s="25">
        <f>VLOOKUP($A252,[1]!CurveTable,MATCH($Q$4,[1]!CurveType,0))</f>
        <v>0</v>
      </c>
      <c r="R252" s="31">
        <v>0</v>
      </c>
      <c r="S252" s="45">
        <f t="shared" si="221"/>
        <v>0</v>
      </c>
      <c r="T252" s="4"/>
      <c r="U252" s="159">
        <f t="shared" si="181"/>
        <v>5.9180000000000001</v>
      </c>
      <c r="V252" s="160"/>
      <c r="W252" s="100">
        <f>VLOOKUP($A252,[1]!CurveTable,MATCH($W$4,[1]!CurveType,0))+$W$9</f>
        <v>0.34</v>
      </c>
      <c r="X252" s="100">
        <f>VLOOKUP($A252,[1]!CurveTable,MATCH($X$4,[1]!CurveType,0))+$X$9</f>
        <v>0.34500000000000003</v>
      </c>
      <c r="Y252" s="158">
        <f t="shared" ca="1" si="172"/>
        <v>0.34597890248710772</v>
      </c>
      <c r="Z252" s="4"/>
      <c r="AA252" s="159">
        <f t="shared" si="182"/>
        <v>5.9180000000000001</v>
      </c>
      <c r="AB252" s="160"/>
      <c r="AC252" s="100">
        <f>VLOOKUP($A252,[1]!CurveTable,MATCH($AC$4,[1]!CurveType,0))+$AC$9</f>
        <v>0.17</v>
      </c>
      <c r="AD252" s="100">
        <f>VLOOKUP($A252,[1]!CurveTable,MATCH($AD$4,[1]!CurveType,0))+$AD$9</f>
        <v>0.17500000000000002</v>
      </c>
      <c r="AE252" s="158">
        <f t="shared" ca="1" si="173"/>
        <v>0.17549204463299356</v>
      </c>
      <c r="AF252" s="4"/>
      <c r="AG252" s="52">
        <f ca="1">((Inputs!$F$20*(X252*AD252)*(A252-$C$3))+(Inputs!$F$19*W252*AC252*(DAY(EOMONTH(A252,0))/2)))/(AN252*Y252*AE252)</f>
        <v>0.74999986188793544</v>
      </c>
      <c r="AH252" s="4"/>
      <c r="AI252" s="18">
        <f>Inputs!$B$15</f>
        <v>0.06</v>
      </c>
      <c r="AJ252" s="46"/>
      <c r="AK252" s="18">
        <f t="shared" si="174"/>
        <v>0</v>
      </c>
      <c r="AL252" s="46"/>
      <c r="AM252" s="62">
        <f t="shared" si="175"/>
        <v>45473</v>
      </c>
      <c r="AN252" s="63">
        <f t="shared" ca="1" si="176"/>
        <v>8280</v>
      </c>
      <c r="AO252" s="63">
        <f t="shared" si="203"/>
        <v>1</v>
      </c>
      <c r="AP252" s="19"/>
      <c r="AQ252" s="74">
        <f ca="1">_xll.SPRDOPT(U252,AA252,AI252,AX252,X252,AD252,AG252,AN252,AO252,0)</f>
        <v>0.63381932362776561</v>
      </c>
      <c r="AR252" s="47">
        <f t="shared" ca="1" si="183"/>
        <v>0</v>
      </c>
      <c r="AS252" s="135">
        <f t="shared" ca="1" si="184"/>
        <v>0.63381932362776561</v>
      </c>
      <c r="AU252" s="5">
        <f t="shared" si="204"/>
        <v>31</v>
      </c>
      <c r="AV252" s="148">
        <f t="shared" si="177"/>
        <v>45519</v>
      </c>
      <c r="AW252" s="41">
        <f t="shared" ca="1" si="178"/>
        <v>8326</v>
      </c>
      <c r="AX252" s="100">
        <f>VLOOKUP($A252,[1]!CurveTable,MATCH(AX$4,[1]!CurveType,0))</f>
        <v>6.1852554120733802E-2</v>
      </c>
      <c r="AY252" s="149">
        <f ca="1">1/(1+CHOOSE(F$3,(AX253+(Inputs!$B$14/10000))/2,(AX252+(Inputs!$B$14/10000))/2))^(2*AW252/365.25)</f>
        <v>0.24942739033394615</v>
      </c>
      <c r="AZ252" s="41">
        <f t="shared" si="205"/>
        <v>0</v>
      </c>
      <c r="BA252" s="72">
        <f t="shared" si="206"/>
        <v>0</v>
      </c>
      <c r="BC252" s="65">
        <f t="shared" ca="1" si="185"/>
        <v>0</v>
      </c>
      <c r="BD252" s="65">
        <f t="shared" ca="1" si="186"/>
        <v>0</v>
      </c>
      <c r="BE252" s="65">
        <f t="shared" ca="1" si="187"/>
        <v>0</v>
      </c>
      <c r="BF252" s="65">
        <f t="shared" ca="1" si="188"/>
        <v>0</v>
      </c>
      <c r="BG252" s="65">
        <f t="shared" ca="1" si="189"/>
        <v>0</v>
      </c>
      <c r="BH252" s="65">
        <f t="shared" ca="1" si="190"/>
        <v>0</v>
      </c>
      <c r="BI252" s="65">
        <f t="shared" ca="1" si="191"/>
        <v>0</v>
      </c>
      <c r="BJ252" s="65">
        <f t="shared" ca="1" si="192"/>
        <v>0</v>
      </c>
      <c r="BK252" s="65">
        <f t="shared" ca="1" si="193"/>
        <v>0</v>
      </c>
      <c r="BL252" s="65">
        <f t="shared" ca="1" si="194"/>
        <v>0</v>
      </c>
      <c r="BM252" s="65">
        <f t="shared" ca="1" si="195"/>
        <v>0</v>
      </c>
      <c r="BN252" s="65">
        <f t="shared" ca="1" si="196"/>
        <v>0</v>
      </c>
      <c r="BO252" s="65">
        <f t="shared" ca="1" si="197"/>
        <v>0</v>
      </c>
      <c r="BP252" s="65">
        <f t="shared" ca="1" si="198"/>
        <v>0</v>
      </c>
      <c r="BQ252" s="65">
        <f t="shared" ca="1" si="199"/>
        <v>0</v>
      </c>
      <c r="BR252" s="65">
        <f t="shared" ca="1" si="200"/>
        <v>0</v>
      </c>
      <c r="BS252" s="65">
        <f t="shared" ca="1" si="201"/>
        <v>0</v>
      </c>
      <c r="BT252" s="65">
        <f t="shared" ca="1" si="202"/>
        <v>0</v>
      </c>
      <c r="BU252" s="65">
        <f t="shared" ca="1" si="179"/>
        <v>0</v>
      </c>
    </row>
    <row r="253" spans="1:73">
      <c r="A253" s="42">
        <f t="shared" si="180"/>
        <v>45536</v>
      </c>
      <c r="B253" s="30">
        <f>Inputs!$B$8</f>
        <v>50000</v>
      </c>
      <c r="C253" s="17">
        <f t="shared" si="170"/>
        <v>0</v>
      </c>
      <c r="D253" s="17">
        <f t="shared" ca="1" si="171"/>
        <v>0</v>
      </c>
      <c r="E253" s="25">
        <f>VLOOKUP($A253,[1]!CurveTable,MATCH($E$4,[1]!CurveType,0))</f>
        <v>5.8570000000000002</v>
      </c>
      <c r="F253" s="31">
        <f>E253-Inputs!$B$16</f>
        <v>5.9119999999999999</v>
      </c>
      <c r="G253" s="43">
        <f t="shared" si="217"/>
        <v>5.9119999999999999</v>
      </c>
      <c r="H253" s="25">
        <f>VLOOKUP($A253,[1]!CurveTable,MATCH($H$4,[1]!CurveType,0))</f>
        <v>0</v>
      </c>
      <c r="I253" s="31">
        <f>H253+Inputs!$B$22</f>
        <v>0</v>
      </c>
      <c r="J253" s="44">
        <f t="shared" si="218"/>
        <v>0</v>
      </c>
      <c r="K253" s="25">
        <f>VLOOKUP($A253,[1]!CurveTable,MATCH($K$4,[1]!CurveType,0))</f>
        <v>0</v>
      </c>
      <c r="L253" s="31">
        <v>0</v>
      </c>
      <c r="M253" s="45">
        <f t="shared" si="219"/>
        <v>0</v>
      </c>
      <c r="N253" s="25">
        <f>VLOOKUP($A253,[1]!CurveTable,MATCH($N$4,[1]!CurveType,0))</f>
        <v>0</v>
      </c>
      <c r="O253" s="31">
        <f>N253+Inputs!$E$22</f>
        <v>0</v>
      </c>
      <c r="P253" s="45">
        <f t="shared" si="220"/>
        <v>0</v>
      </c>
      <c r="Q253" s="25">
        <f>VLOOKUP($A253,[1]!CurveTable,MATCH($Q$4,[1]!CurveType,0))</f>
        <v>0</v>
      </c>
      <c r="R253" s="31">
        <v>0</v>
      </c>
      <c r="S253" s="45">
        <f t="shared" si="221"/>
        <v>0</v>
      </c>
      <c r="T253" s="4"/>
      <c r="U253" s="159">
        <f t="shared" si="181"/>
        <v>5.9119999999999999</v>
      </c>
      <c r="V253" s="160"/>
      <c r="W253" s="100">
        <f>VLOOKUP($A253,[1]!CurveTable,MATCH($W$4,[1]!CurveType,0))+$W$9</f>
        <v>0.34</v>
      </c>
      <c r="X253" s="100">
        <f>VLOOKUP($A253,[1]!CurveTable,MATCH($X$4,[1]!CurveType,0))+$X$9</f>
        <v>0.34500000000000003</v>
      </c>
      <c r="Y253" s="158">
        <f t="shared" ca="1" si="172"/>
        <v>0.3459652054102989</v>
      </c>
      <c r="Z253" s="4"/>
      <c r="AA253" s="159">
        <f t="shared" si="182"/>
        <v>5.9119999999999999</v>
      </c>
      <c r="AB253" s="160"/>
      <c r="AC253" s="100">
        <f>VLOOKUP($A253,[1]!CurveTable,MATCH($AC$4,[1]!CurveType,0))+$AC$9</f>
        <v>0.17</v>
      </c>
      <c r="AD253" s="100">
        <f>VLOOKUP($A253,[1]!CurveTable,MATCH($AD$4,[1]!CurveType,0))+$AD$9</f>
        <v>0.17500000000000002</v>
      </c>
      <c r="AE253" s="158">
        <f t="shared" ca="1" si="173"/>
        <v>0.17548525807928272</v>
      </c>
      <c r="AF253" s="4"/>
      <c r="AG253" s="52">
        <f ca="1">((Inputs!$F$20*(X253*AD253)*(A253-$C$3))+(Inputs!$F$19*W253*AC253*(DAY(EOMONTH(A253,0))/2)))/(AN253*Y253*AE253)</f>
        <v>0.74999986682277153</v>
      </c>
      <c r="AH253" s="4"/>
      <c r="AI253" s="18">
        <f>Inputs!$B$15</f>
        <v>0.06</v>
      </c>
      <c r="AJ253" s="46"/>
      <c r="AK253" s="18">
        <f t="shared" si="174"/>
        <v>0</v>
      </c>
      <c r="AL253" s="46"/>
      <c r="AM253" s="62">
        <f t="shared" si="175"/>
        <v>45504</v>
      </c>
      <c r="AN253" s="63">
        <f t="shared" ca="1" si="176"/>
        <v>8311</v>
      </c>
      <c r="AO253" s="63">
        <f t="shared" si="203"/>
        <v>1</v>
      </c>
      <c r="AP253" s="19"/>
      <c r="AQ253" s="74">
        <f ca="1">_xll.SPRDOPT(U253,AA253,AI253,AX253,X253,AD253,AG253,AN253,AO253,0)</f>
        <v>0.63087361407927911</v>
      </c>
      <c r="AR253" s="47">
        <f t="shared" ca="1" si="183"/>
        <v>0</v>
      </c>
      <c r="AS253" s="135">
        <f t="shared" ca="1" si="184"/>
        <v>0.63087361407927911</v>
      </c>
      <c r="AU253" s="5">
        <f t="shared" si="204"/>
        <v>30</v>
      </c>
      <c r="AV253" s="148">
        <f t="shared" si="177"/>
        <v>45550</v>
      </c>
      <c r="AW253" s="41">
        <f t="shared" ca="1" si="178"/>
        <v>8357</v>
      </c>
      <c r="AX253" s="100">
        <f>VLOOKUP($A253,[1]!CurveTable,MATCH(AX$4,[1]!CurveType,0))</f>
        <v>6.18559079362377E-2</v>
      </c>
      <c r="AY253" s="149">
        <f ca="1">1/(1+CHOOSE(F$3,(AX254+(Inputs!$B$14/10000))/2,(AX253+(Inputs!$B$14/10000))/2))^(2*AW253/365.25)</f>
        <v>0.24812268544473856</v>
      </c>
      <c r="AZ253" s="41">
        <f t="shared" si="205"/>
        <v>0</v>
      </c>
      <c r="BA253" s="72">
        <f t="shared" si="206"/>
        <v>0</v>
      </c>
      <c r="BC253" s="65">
        <f t="shared" ca="1" si="185"/>
        <v>0</v>
      </c>
      <c r="BD253" s="65">
        <f t="shared" ca="1" si="186"/>
        <v>0</v>
      </c>
      <c r="BE253" s="65">
        <f t="shared" ca="1" si="187"/>
        <v>0</v>
      </c>
      <c r="BF253" s="65">
        <f t="shared" ca="1" si="188"/>
        <v>0</v>
      </c>
      <c r="BG253" s="65">
        <f t="shared" ca="1" si="189"/>
        <v>0</v>
      </c>
      <c r="BH253" s="65">
        <f t="shared" ca="1" si="190"/>
        <v>0</v>
      </c>
      <c r="BI253" s="65">
        <f t="shared" ca="1" si="191"/>
        <v>0</v>
      </c>
      <c r="BJ253" s="65">
        <f t="shared" ca="1" si="192"/>
        <v>0</v>
      </c>
      <c r="BK253" s="65">
        <f t="shared" ca="1" si="193"/>
        <v>0</v>
      </c>
      <c r="BL253" s="65">
        <f t="shared" ca="1" si="194"/>
        <v>0</v>
      </c>
      <c r="BM253" s="65">
        <f t="shared" ca="1" si="195"/>
        <v>0</v>
      </c>
      <c r="BN253" s="65">
        <f t="shared" ca="1" si="196"/>
        <v>0</v>
      </c>
      <c r="BO253" s="65">
        <f t="shared" ca="1" si="197"/>
        <v>0</v>
      </c>
      <c r="BP253" s="65">
        <f t="shared" ca="1" si="198"/>
        <v>0</v>
      </c>
      <c r="BQ253" s="65">
        <f t="shared" ca="1" si="199"/>
        <v>0</v>
      </c>
      <c r="BR253" s="65">
        <f t="shared" ca="1" si="200"/>
        <v>0</v>
      </c>
      <c r="BS253" s="65">
        <f t="shared" ca="1" si="201"/>
        <v>0</v>
      </c>
      <c r="BT253" s="65">
        <f t="shared" ca="1" si="202"/>
        <v>0</v>
      </c>
      <c r="BU253" s="65">
        <f t="shared" ca="1" si="179"/>
        <v>0</v>
      </c>
    </row>
    <row r="254" spans="1:73">
      <c r="A254" s="42">
        <f t="shared" si="180"/>
        <v>45566</v>
      </c>
      <c r="B254" s="30">
        <f>Inputs!$B$8</f>
        <v>50000</v>
      </c>
      <c r="C254" s="17">
        <f t="shared" si="170"/>
        <v>0</v>
      </c>
      <c r="D254" s="17">
        <f t="shared" ca="1" si="171"/>
        <v>0</v>
      </c>
      <c r="E254" s="25">
        <f>VLOOKUP($A254,[1]!CurveTable,MATCH($E$4,[1]!CurveType,0))</f>
        <v>5.8570000000000002</v>
      </c>
      <c r="F254" s="31">
        <f>E254-Inputs!$B$16</f>
        <v>5.9119999999999999</v>
      </c>
      <c r="G254" s="43">
        <f t="shared" si="217"/>
        <v>5.9119999999999999</v>
      </c>
      <c r="H254" s="25">
        <f>VLOOKUP($A254,[1]!CurveTable,MATCH($H$4,[1]!CurveType,0))</f>
        <v>0</v>
      </c>
      <c r="I254" s="31">
        <f>H254+Inputs!$B$22</f>
        <v>0</v>
      </c>
      <c r="J254" s="44">
        <f t="shared" si="218"/>
        <v>0</v>
      </c>
      <c r="K254" s="25">
        <f>VLOOKUP($A254,[1]!CurveTable,MATCH($K$4,[1]!CurveType,0))</f>
        <v>0</v>
      </c>
      <c r="L254" s="31">
        <v>0</v>
      </c>
      <c r="M254" s="45">
        <f t="shared" si="219"/>
        <v>0</v>
      </c>
      <c r="N254" s="25">
        <f>VLOOKUP($A254,[1]!CurveTable,MATCH($N$4,[1]!CurveType,0))</f>
        <v>0</v>
      </c>
      <c r="O254" s="31">
        <f>N254+Inputs!$E$22</f>
        <v>0</v>
      </c>
      <c r="P254" s="45">
        <f t="shared" si="220"/>
        <v>0</v>
      </c>
      <c r="Q254" s="25">
        <f>VLOOKUP($A254,[1]!CurveTable,MATCH($Q$4,[1]!CurveType,0))</f>
        <v>0</v>
      </c>
      <c r="R254" s="31">
        <v>0</v>
      </c>
      <c r="S254" s="45">
        <f t="shared" si="221"/>
        <v>0</v>
      </c>
      <c r="T254" s="4"/>
      <c r="U254" s="159">
        <f t="shared" si="181"/>
        <v>5.9119999999999999</v>
      </c>
      <c r="V254" s="160"/>
      <c r="W254" s="100">
        <f>VLOOKUP($A254,[1]!CurveTable,MATCH($W$4,[1]!CurveType,0))+$W$9</f>
        <v>0.17</v>
      </c>
      <c r="X254" s="100">
        <f>VLOOKUP($A254,[1]!CurveTable,MATCH($X$4,[1]!CurveType,0))+$X$9</f>
        <v>0.17500000000000002</v>
      </c>
      <c r="Y254" s="158">
        <f t="shared" ca="1" si="172"/>
        <v>0.17547793250153476</v>
      </c>
      <c r="Z254" s="4"/>
      <c r="AA254" s="159">
        <f t="shared" si="182"/>
        <v>5.9119999999999999</v>
      </c>
      <c r="AB254" s="160"/>
      <c r="AC254" s="100">
        <f>VLOOKUP($A254,[1]!CurveTable,MATCH($AC$4,[1]!CurveType,0))+$AC$9</f>
        <v>0.17</v>
      </c>
      <c r="AD254" s="100">
        <f>VLOOKUP($A254,[1]!CurveTable,MATCH($AD$4,[1]!CurveType,0))+$AD$9</f>
        <v>0.17500000000000002</v>
      </c>
      <c r="AE254" s="158">
        <f t="shared" ca="1" si="173"/>
        <v>0.17547793250153476</v>
      </c>
      <c r="AF254" s="4"/>
      <c r="AG254" s="52">
        <f ca="1">((Inputs!$F$20*(X254*AD254)*(A254-$C$3))+(Inputs!$F$19*W254*AC254*(DAY(EOMONTH(A254,0))/2)))/(AN254*Y254*AE254)</f>
        <v>0.75</v>
      </c>
      <c r="AH254" s="4"/>
      <c r="AI254" s="18">
        <f>Inputs!$B$15</f>
        <v>0.06</v>
      </c>
      <c r="AJ254" s="46"/>
      <c r="AK254" s="18">
        <f t="shared" si="174"/>
        <v>0</v>
      </c>
      <c r="AL254" s="46"/>
      <c r="AM254" s="62">
        <f t="shared" si="175"/>
        <v>45535</v>
      </c>
      <c r="AN254" s="63">
        <f t="shared" ca="1" si="176"/>
        <v>8342</v>
      </c>
      <c r="AO254" s="63">
        <f t="shared" si="203"/>
        <v>1</v>
      </c>
      <c r="AP254" s="19"/>
      <c r="AQ254" s="74">
        <f ca="1">_xll.SPRDOPT(U254,AA254,AI254,AX254,X254,AD254,AG254,AN254,AO254,0)</f>
        <v>0.32748047863266855</v>
      </c>
      <c r="AR254" s="47">
        <f t="shared" ca="1" si="183"/>
        <v>0</v>
      </c>
      <c r="AS254" s="135">
        <f t="shared" ca="1" si="184"/>
        <v>0.32748047863266855</v>
      </c>
      <c r="AU254" s="5">
        <f t="shared" si="204"/>
        <v>31</v>
      </c>
      <c r="AV254" s="148">
        <f t="shared" si="177"/>
        <v>45580</v>
      </c>
      <c r="AW254" s="41">
        <f t="shared" ca="1" si="178"/>
        <v>8387</v>
      </c>
      <c r="AX254" s="100">
        <f>VLOOKUP($A254,[1]!CurveTable,MATCH(AX$4,[1]!CurveType,0))</f>
        <v>6.1859153564149102E-2</v>
      </c>
      <c r="AY254" s="149">
        <f ca="1">1/(1+CHOOSE(F$3,(AX255+(Inputs!$B$14/10000))/2,(AX254+(Inputs!$B$14/10000))/2))^(2*AW254/365.25)</f>
        <v>0.24686643638177896</v>
      </c>
      <c r="AZ254" s="41">
        <f t="shared" si="205"/>
        <v>0</v>
      </c>
      <c r="BA254" s="72">
        <f t="shared" si="206"/>
        <v>0</v>
      </c>
      <c r="BC254" s="65">
        <f t="shared" ca="1" si="185"/>
        <v>0</v>
      </c>
      <c r="BD254" s="65">
        <f t="shared" ca="1" si="186"/>
        <v>0</v>
      </c>
      <c r="BE254" s="65">
        <f t="shared" ca="1" si="187"/>
        <v>0</v>
      </c>
      <c r="BF254" s="65">
        <f t="shared" ca="1" si="188"/>
        <v>0</v>
      </c>
      <c r="BG254" s="65">
        <f t="shared" ca="1" si="189"/>
        <v>0</v>
      </c>
      <c r="BH254" s="65">
        <f t="shared" ca="1" si="190"/>
        <v>0</v>
      </c>
      <c r="BI254" s="65">
        <f t="shared" ca="1" si="191"/>
        <v>0</v>
      </c>
      <c r="BJ254" s="65">
        <f t="shared" ca="1" si="192"/>
        <v>0</v>
      </c>
      <c r="BK254" s="65">
        <f t="shared" ca="1" si="193"/>
        <v>0</v>
      </c>
      <c r="BL254" s="65">
        <f t="shared" ca="1" si="194"/>
        <v>0</v>
      </c>
      <c r="BM254" s="65">
        <f t="shared" ca="1" si="195"/>
        <v>0</v>
      </c>
      <c r="BN254" s="65">
        <f t="shared" ca="1" si="196"/>
        <v>0</v>
      </c>
      <c r="BO254" s="65">
        <f t="shared" ca="1" si="197"/>
        <v>0</v>
      </c>
      <c r="BP254" s="65">
        <f t="shared" ca="1" si="198"/>
        <v>0</v>
      </c>
      <c r="BQ254" s="65">
        <f t="shared" ca="1" si="199"/>
        <v>0</v>
      </c>
      <c r="BR254" s="65">
        <f t="shared" ca="1" si="200"/>
        <v>0</v>
      </c>
      <c r="BS254" s="65">
        <f t="shared" ca="1" si="201"/>
        <v>0</v>
      </c>
      <c r="BT254" s="65">
        <f t="shared" ca="1" si="202"/>
        <v>0</v>
      </c>
      <c r="BU254" s="65">
        <f t="shared" ca="1" si="179"/>
        <v>0</v>
      </c>
    </row>
    <row r="255" spans="1:73">
      <c r="A255" s="42">
        <f t="shared" si="180"/>
        <v>45597</v>
      </c>
      <c r="B255" s="30">
        <f>Inputs!$B$8</f>
        <v>50000</v>
      </c>
      <c r="C255" s="17">
        <f t="shared" si="170"/>
        <v>0</v>
      </c>
      <c r="D255" s="17">
        <f t="shared" ca="1" si="171"/>
        <v>0</v>
      </c>
      <c r="E255" s="25">
        <f>VLOOKUP($A255,[1]!CurveTable,MATCH($E$4,[1]!CurveType,0))</f>
        <v>6.0049999999999999</v>
      </c>
      <c r="F255" s="31">
        <f>E255-Inputs!$B$16</f>
        <v>6.06</v>
      </c>
      <c r="G255" s="43">
        <f t="shared" si="217"/>
        <v>6.06</v>
      </c>
      <c r="H255" s="25">
        <f>VLOOKUP($A255,[1]!CurveTable,MATCH($H$4,[1]!CurveType,0))</f>
        <v>0</v>
      </c>
      <c r="I255" s="31">
        <f>H255+Inputs!$B$22</f>
        <v>0</v>
      </c>
      <c r="J255" s="44">
        <f t="shared" si="218"/>
        <v>0</v>
      </c>
      <c r="K255" s="25">
        <f>VLOOKUP($A255,[1]!CurveTable,MATCH($K$4,[1]!CurveType,0))</f>
        <v>0</v>
      </c>
      <c r="L255" s="31">
        <v>0</v>
      </c>
      <c r="M255" s="45">
        <f t="shared" si="219"/>
        <v>0</v>
      </c>
      <c r="N255" s="25">
        <f>VLOOKUP($A255,[1]!CurveTable,MATCH($N$4,[1]!CurveType,0))</f>
        <v>0</v>
      </c>
      <c r="O255" s="31">
        <f>N255+Inputs!$E$22</f>
        <v>0</v>
      </c>
      <c r="P255" s="45">
        <f t="shared" si="220"/>
        <v>0</v>
      </c>
      <c r="Q255" s="25">
        <f>VLOOKUP($A255,[1]!CurveTable,MATCH($Q$4,[1]!CurveType,0))</f>
        <v>0</v>
      </c>
      <c r="R255" s="31">
        <v>0</v>
      </c>
      <c r="S255" s="45">
        <f t="shared" si="221"/>
        <v>0</v>
      </c>
      <c r="T255" s="4"/>
      <c r="U255" s="159">
        <f t="shared" si="181"/>
        <v>6.06</v>
      </c>
      <c r="V255" s="160"/>
      <c r="W255" s="100">
        <f>VLOOKUP($A255,[1]!CurveTable,MATCH($W$4,[1]!CurveType,0))+$W$9</f>
        <v>0.17</v>
      </c>
      <c r="X255" s="100">
        <f>VLOOKUP($A255,[1]!CurveTable,MATCH($X$4,[1]!CurveType,0))+$X$9</f>
        <v>0.17500000000000002</v>
      </c>
      <c r="Y255" s="158">
        <f t="shared" ca="1" si="172"/>
        <v>0.17548172724869229</v>
      </c>
      <c r="Z255" s="4"/>
      <c r="AA255" s="159">
        <f t="shared" si="182"/>
        <v>6.06</v>
      </c>
      <c r="AB255" s="160"/>
      <c r="AC255" s="100">
        <f>VLOOKUP($A255,[1]!CurveTable,MATCH($AC$4,[1]!CurveType,0))+$AC$9</f>
        <v>0.17</v>
      </c>
      <c r="AD255" s="100">
        <f>VLOOKUP($A255,[1]!CurveTable,MATCH($AD$4,[1]!CurveType,0))+$AD$9</f>
        <v>0.17500000000000002</v>
      </c>
      <c r="AE255" s="158">
        <f t="shared" ca="1" si="173"/>
        <v>0.17548172724869229</v>
      </c>
      <c r="AF255" s="4"/>
      <c r="AG255" s="52">
        <f ca="1">((Inputs!$F$20*(X255*AD255)*(A255-$C$3))+(Inputs!$F$19*W255*AC255*(DAY(EOMONTH(A255,0))/2)))/(AN255*Y255*AE255)</f>
        <v>0.74999999999999989</v>
      </c>
      <c r="AH255" s="4"/>
      <c r="AI255" s="18">
        <f>Inputs!$B$15</f>
        <v>0.06</v>
      </c>
      <c r="AJ255" s="46"/>
      <c r="AK255" s="18">
        <f t="shared" si="174"/>
        <v>0</v>
      </c>
      <c r="AL255" s="46"/>
      <c r="AM255" s="62">
        <f t="shared" si="175"/>
        <v>45565</v>
      </c>
      <c r="AN255" s="63">
        <f t="shared" ca="1" si="176"/>
        <v>8372</v>
      </c>
      <c r="AO255" s="63">
        <f t="shared" si="203"/>
        <v>1</v>
      </c>
      <c r="AP255" s="19"/>
      <c r="AQ255" s="74">
        <f ca="1">_xll.SPRDOPT(U255,AA255,AI255,AX255,X255,AD255,AG255,AN255,AO255,0)</f>
        <v>0.33472435730146527</v>
      </c>
      <c r="AR255" s="47">
        <f t="shared" ca="1" si="183"/>
        <v>0</v>
      </c>
      <c r="AS255" s="135">
        <f t="shared" ca="1" si="184"/>
        <v>0.33472435730146527</v>
      </c>
      <c r="AU255" s="5">
        <f t="shared" si="204"/>
        <v>30</v>
      </c>
      <c r="AV255" s="148">
        <f t="shared" si="177"/>
        <v>45611</v>
      </c>
      <c r="AW255" s="41">
        <f t="shared" ca="1" si="178"/>
        <v>8418</v>
      </c>
      <c r="AX255" s="100">
        <f>VLOOKUP($A255,[1]!CurveTable,MATCH(AX$4,[1]!CurveType,0))</f>
        <v>6.1862507379660599E-2</v>
      </c>
      <c r="AY255" s="149">
        <f ca="1">1/(1+CHOOSE(F$3,(AX256+(Inputs!$B$14/10000))/2,(AX255+(Inputs!$B$14/10000))/2))^(2*AW255/365.25)</f>
        <v>0.24557486054187019</v>
      </c>
      <c r="AZ255" s="41">
        <f t="shared" si="205"/>
        <v>0</v>
      </c>
      <c r="BA255" s="72">
        <f t="shared" si="206"/>
        <v>0</v>
      </c>
      <c r="BC255" s="65">
        <f t="shared" ca="1" si="185"/>
        <v>0</v>
      </c>
      <c r="BD255" s="65">
        <f t="shared" ca="1" si="186"/>
        <v>0</v>
      </c>
      <c r="BE255" s="65">
        <f t="shared" ca="1" si="187"/>
        <v>0</v>
      </c>
      <c r="BF255" s="65">
        <f t="shared" ca="1" si="188"/>
        <v>0</v>
      </c>
      <c r="BG255" s="65">
        <f t="shared" ca="1" si="189"/>
        <v>0</v>
      </c>
      <c r="BH255" s="65">
        <f t="shared" ca="1" si="190"/>
        <v>0</v>
      </c>
      <c r="BI255" s="65">
        <f t="shared" ca="1" si="191"/>
        <v>0</v>
      </c>
      <c r="BJ255" s="65">
        <f t="shared" ca="1" si="192"/>
        <v>0</v>
      </c>
      <c r="BK255" s="65">
        <f t="shared" ca="1" si="193"/>
        <v>0</v>
      </c>
      <c r="BL255" s="65">
        <f t="shared" ca="1" si="194"/>
        <v>0</v>
      </c>
      <c r="BM255" s="65">
        <f t="shared" ca="1" si="195"/>
        <v>0</v>
      </c>
      <c r="BN255" s="65">
        <f t="shared" ca="1" si="196"/>
        <v>0</v>
      </c>
      <c r="BO255" s="65">
        <f t="shared" ca="1" si="197"/>
        <v>0</v>
      </c>
      <c r="BP255" s="65">
        <f t="shared" ca="1" si="198"/>
        <v>0</v>
      </c>
      <c r="BQ255" s="65">
        <f t="shared" ca="1" si="199"/>
        <v>0</v>
      </c>
      <c r="BR255" s="65">
        <f t="shared" ca="1" si="200"/>
        <v>0</v>
      </c>
      <c r="BS255" s="65">
        <f t="shared" ca="1" si="201"/>
        <v>0</v>
      </c>
      <c r="BT255" s="65">
        <f t="shared" ca="1" si="202"/>
        <v>0</v>
      </c>
      <c r="BU255" s="65">
        <f t="shared" ca="1" si="179"/>
        <v>0</v>
      </c>
    </row>
    <row r="256" spans="1:73">
      <c r="A256" s="42">
        <f t="shared" si="180"/>
        <v>45627</v>
      </c>
      <c r="B256" s="30">
        <f>Inputs!$B$8</f>
        <v>50000</v>
      </c>
      <c r="C256" s="17">
        <f t="shared" si="170"/>
        <v>0</v>
      </c>
      <c r="D256" s="17">
        <f t="shared" ca="1" si="171"/>
        <v>0</v>
      </c>
      <c r="E256" s="25">
        <f>VLOOKUP($A256,[1]!CurveTable,MATCH($E$4,[1]!CurveType,0))</f>
        <v>6.157</v>
      </c>
      <c r="F256" s="31">
        <f>E256-Inputs!$B$16</f>
        <v>6.2119999999999997</v>
      </c>
      <c r="G256" s="43">
        <f t="shared" si="217"/>
        <v>6.2119999999999997</v>
      </c>
      <c r="H256" s="25">
        <f>VLOOKUP($A256,[1]!CurveTable,MATCH($H$4,[1]!CurveType,0))</f>
        <v>0</v>
      </c>
      <c r="I256" s="31">
        <f>H256+Inputs!$B$22</f>
        <v>0</v>
      </c>
      <c r="J256" s="44">
        <f t="shared" si="218"/>
        <v>0</v>
      </c>
      <c r="K256" s="25">
        <f>VLOOKUP($A256,[1]!CurveTable,MATCH($K$4,[1]!CurveType,0))</f>
        <v>0</v>
      </c>
      <c r="L256" s="31">
        <v>0</v>
      </c>
      <c r="M256" s="45">
        <f t="shared" si="219"/>
        <v>0</v>
      </c>
      <c r="N256" s="25">
        <f>VLOOKUP($A256,[1]!CurveTable,MATCH($N$4,[1]!CurveType,0))</f>
        <v>0</v>
      </c>
      <c r="O256" s="31">
        <f>N256+Inputs!$E$22</f>
        <v>0</v>
      </c>
      <c r="P256" s="45">
        <f t="shared" si="220"/>
        <v>0</v>
      </c>
      <c r="Q256" s="25">
        <f>VLOOKUP($A256,[1]!CurveTable,MATCH($Q$4,[1]!CurveType,0))</f>
        <v>0</v>
      </c>
      <c r="R256" s="31">
        <v>0</v>
      </c>
      <c r="S256" s="45">
        <f t="shared" si="221"/>
        <v>0</v>
      </c>
      <c r="T256" s="4"/>
      <c r="U256" s="159">
        <f t="shared" si="181"/>
        <v>6.2119999999999997</v>
      </c>
      <c r="V256" s="160"/>
      <c r="W256" s="100">
        <f>VLOOKUP($A256,[1]!CurveTable,MATCH($W$4,[1]!CurveType,0))+$W$9</f>
        <v>0.17</v>
      </c>
      <c r="X256" s="100">
        <f>VLOOKUP($A256,[1]!CurveTable,MATCH($X$4,[1]!CurveType,0))+$X$9</f>
        <v>0.17500000000000002</v>
      </c>
      <c r="Y256" s="158">
        <f t="shared" ca="1" si="172"/>
        <v>0.17547446773083397</v>
      </c>
      <c r="Z256" s="4"/>
      <c r="AA256" s="159">
        <f t="shared" si="182"/>
        <v>6.2119999999999997</v>
      </c>
      <c r="AB256" s="160"/>
      <c r="AC256" s="100">
        <f>VLOOKUP($A256,[1]!CurveTable,MATCH($AC$4,[1]!CurveType,0))+$AC$9</f>
        <v>0.17</v>
      </c>
      <c r="AD256" s="100">
        <f>VLOOKUP($A256,[1]!CurveTable,MATCH($AD$4,[1]!CurveType,0))+$AD$9</f>
        <v>0.17500000000000002</v>
      </c>
      <c r="AE256" s="158">
        <f t="shared" ca="1" si="173"/>
        <v>0.17547446773083397</v>
      </c>
      <c r="AF256" s="4"/>
      <c r="AG256" s="52">
        <f ca="1">((Inputs!$F$20*(X256*AD256)*(A256-$C$3))+(Inputs!$F$19*W256*AC256*(DAY(EOMONTH(A256,0))/2)))/(AN256*Y256*AE256)</f>
        <v>0.75000000000000011</v>
      </c>
      <c r="AH256" s="4"/>
      <c r="AI256" s="18">
        <f>Inputs!$B$15</f>
        <v>0.06</v>
      </c>
      <c r="AJ256" s="46"/>
      <c r="AK256" s="18">
        <f t="shared" si="174"/>
        <v>0</v>
      </c>
      <c r="AL256" s="46"/>
      <c r="AM256" s="62">
        <f t="shared" si="175"/>
        <v>45596</v>
      </c>
      <c r="AN256" s="63">
        <f t="shared" ca="1" si="176"/>
        <v>8403</v>
      </c>
      <c r="AO256" s="63">
        <f t="shared" si="203"/>
        <v>1</v>
      </c>
      <c r="AP256" s="19"/>
      <c r="AQ256" s="74">
        <f ca="1">_xll.SPRDOPT(U256,AA256,AI256,AX256,X256,AD256,AG256,AN256,AO256,0)</f>
        <v>0.3421006421749716</v>
      </c>
      <c r="AR256" s="47">
        <f t="shared" ca="1" si="183"/>
        <v>0</v>
      </c>
      <c r="AS256" s="135">
        <f t="shared" ca="1" si="184"/>
        <v>0.3421006421749716</v>
      </c>
      <c r="AU256" s="5">
        <f t="shared" si="204"/>
        <v>31</v>
      </c>
      <c r="AV256" s="148">
        <f t="shared" si="177"/>
        <v>45641</v>
      </c>
      <c r="AW256" s="41">
        <f t="shared" ca="1" si="178"/>
        <v>8448</v>
      </c>
      <c r="AX256" s="100">
        <f>VLOOKUP($A256,[1]!CurveTable,MATCH(AX$4,[1]!CurveType,0))</f>
        <v>6.18657530075781E-2</v>
      </c>
      <c r="AY256" s="149">
        <f ca="1">1/(1+CHOOSE(F$3,(AX257+(Inputs!$B$14/10000))/2,(AX256+(Inputs!$B$14/10000))/2))^(2*AW256/365.25)</f>
        <v>0.24433125428109009</v>
      </c>
      <c r="AZ256" s="41">
        <f t="shared" si="205"/>
        <v>0</v>
      </c>
      <c r="BA256" s="72">
        <f t="shared" si="206"/>
        <v>0</v>
      </c>
      <c r="BC256" s="65">
        <f t="shared" ca="1" si="185"/>
        <v>0</v>
      </c>
      <c r="BD256" s="65">
        <f t="shared" ca="1" si="186"/>
        <v>0</v>
      </c>
      <c r="BE256" s="65">
        <f t="shared" ca="1" si="187"/>
        <v>0</v>
      </c>
      <c r="BF256" s="65">
        <f t="shared" ca="1" si="188"/>
        <v>0</v>
      </c>
      <c r="BG256" s="65">
        <f t="shared" ca="1" si="189"/>
        <v>0</v>
      </c>
      <c r="BH256" s="65">
        <f t="shared" ca="1" si="190"/>
        <v>0</v>
      </c>
      <c r="BI256" s="65">
        <f t="shared" ca="1" si="191"/>
        <v>0</v>
      </c>
      <c r="BJ256" s="65">
        <f t="shared" ca="1" si="192"/>
        <v>0</v>
      </c>
      <c r="BK256" s="65">
        <f t="shared" ca="1" si="193"/>
        <v>0</v>
      </c>
      <c r="BL256" s="65">
        <f t="shared" ca="1" si="194"/>
        <v>0</v>
      </c>
      <c r="BM256" s="65">
        <f t="shared" ca="1" si="195"/>
        <v>0</v>
      </c>
      <c r="BN256" s="65">
        <f t="shared" ca="1" si="196"/>
        <v>0</v>
      </c>
      <c r="BO256" s="65">
        <f t="shared" ca="1" si="197"/>
        <v>0</v>
      </c>
      <c r="BP256" s="65">
        <f t="shared" ca="1" si="198"/>
        <v>0</v>
      </c>
      <c r="BQ256" s="65">
        <f t="shared" ca="1" si="199"/>
        <v>0</v>
      </c>
      <c r="BR256" s="65">
        <f t="shared" ca="1" si="200"/>
        <v>0</v>
      </c>
      <c r="BS256" s="65">
        <f t="shared" ca="1" si="201"/>
        <v>0</v>
      </c>
      <c r="BT256" s="65">
        <f t="shared" ca="1" si="202"/>
        <v>0</v>
      </c>
      <c r="BU256" s="65">
        <f t="shared" ca="1" si="179"/>
        <v>0</v>
      </c>
    </row>
    <row r="257" spans="1:73">
      <c r="A257" s="42">
        <f t="shared" si="180"/>
        <v>45658</v>
      </c>
      <c r="B257" s="30"/>
      <c r="C257" s="17"/>
      <c r="D257" s="17"/>
      <c r="E257" s="25"/>
      <c r="F257" s="31"/>
      <c r="G257" s="43"/>
      <c r="H257" s="25"/>
      <c r="I257" s="31"/>
      <c r="J257" s="44"/>
      <c r="K257" s="25"/>
      <c r="L257" s="31"/>
      <c r="M257" s="45"/>
      <c r="N257" s="25"/>
      <c r="O257" s="31"/>
      <c r="P257" s="45"/>
      <c r="Q257" s="25"/>
      <c r="R257" s="31"/>
      <c r="S257" s="45"/>
      <c r="T257" s="4"/>
      <c r="U257" s="159"/>
      <c r="V257" s="160"/>
      <c r="W257" s="100"/>
      <c r="X257" s="100"/>
      <c r="Y257" s="158"/>
      <c r="Z257" s="4"/>
      <c r="AA257" s="159"/>
      <c r="AB257" s="160"/>
      <c r="AC257" s="100"/>
      <c r="AD257" s="100"/>
      <c r="AE257" s="158"/>
      <c r="AF257" s="4"/>
      <c r="AG257" s="52"/>
      <c r="AH257" s="4"/>
      <c r="AI257" s="18"/>
      <c r="AJ257" s="46"/>
      <c r="AK257" s="18"/>
      <c r="AL257" s="46"/>
      <c r="AM257" s="62"/>
      <c r="AN257" s="63"/>
      <c r="AO257" s="63"/>
      <c r="AP257" s="19"/>
      <c r="AQ257" s="74"/>
      <c r="AR257" s="47"/>
      <c r="AS257" s="135"/>
      <c r="AU257" s="5"/>
      <c r="AV257" s="148"/>
      <c r="AW257" s="41"/>
      <c r="AX257" s="100"/>
      <c r="AY257" s="149"/>
      <c r="AZ257" s="41"/>
      <c r="BA257" s="72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</row>
    <row r="258" spans="1:73">
      <c r="A258" s="42">
        <f t="shared" si="180"/>
        <v>45689</v>
      </c>
      <c r="B258" s="30"/>
      <c r="C258" s="17"/>
      <c r="D258" s="17"/>
      <c r="E258" s="25"/>
      <c r="F258" s="31"/>
      <c r="G258" s="43"/>
      <c r="H258" s="25"/>
      <c r="I258" s="31"/>
      <c r="J258" s="44"/>
      <c r="K258" s="25"/>
      <c r="L258" s="31"/>
      <c r="M258" s="45"/>
      <c r="N258" s="25"/>
      <c r="O258" s="31"/>
      <c r="P258" s="45"/>
      <c r="Q258" s="25"/>
      <c r="R258" s="31"/>
      <c r="S258" s="45"/>
      <c r="T258" s="4"/>
      <c r="U258" s="159"/>
      <c r="V258" s="160"/>
      <c r="W258" s="100"/>
      <c r="X258" s="100"/>
      <c r="Y258" s="158"/>
      <c r="Z258" s="4"/>
      <c r="AA258" s="159"/>
      <c r="AB258" s="160"/>
      <c r="AC258" s="100"/>
      <c r="AD258" s="100"/>
      <c r="AE258" s="158"/>
      <c r="AF258" s="4"/>
      <c r="AG258" s="52"/>
      <c r="AH258" s="4"/>
      <c r="AI258" s="18"/>
      <c r="AJ258" s="46"/>
      <c r="AK258" s="18"/>
      <c r="AL258" s="46"/>
      <c r="AM258" s="62"/>
      <c r="AN258" s="63"/>
      <c r="AO258" s="63"/>
      <c r="AP258" s="19"/>
      <c r="AQ258" s="74"/>
      <c r="AR258" s="47"/>
      <c r="AS258" s="135"/>
      <c r="AU258" s="5"/>
      <c r="AV258" s="148"/>
      <c r="AW258" s="41"/>
      <c r="AX258" s="100"/>
      <c r="AY258" s="149"/>
      <c r="AZ258" s="41"/>
      <c r="BA258" s="72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</row>
    <row r="259" spans="1:73">
      <c r="A259" s="42">
        <f t="shared" si="180"/>
        <v>45717</v>
      </c>
      <c r="B259" s="30"/>
      <c r="C259" s="17"/>
      <c r="D259" s="17"/>
      <c r="E259" s="25"/>
      <c r="F259" s="31"/>
      <c r="G259" s="43"/>
      <c r="H259" s="25"/>
      <c r="I259" s="31"/>
      <c r="J259" s="44"/>
      <c r="K259" s="25"/>
      <c r="L259" s="31"/>
      <c r="M259" s="45"/>
      <c r="N259" s="25"/>
      <c r="O259" s="31"/>
      <c r="P259" s="45"/>
      <c r="Q259" s="25"/>
      <c r="R259" s="31"/>
      <c r="S259" s="45"/>
      <c r="T259" s="4"/>
      <c r="U259" s="159"/>
      <c r="V259" s="160"/>
      <c r="W259" s="100"/>
      <c r="X259" s="100"/>
      <c r="Y259" s="158"/>
      <c r="Z259" s="4"/>
      <c r="AA259" s="159"/>
      <c r="AB259" s="160"/>
      <c r="AC259" s="100"/>
      <c r="AD259" s="100"/>
      <c r="AE259" s="158"/>
      <c r="AF259" s="4"/>
      <c r="AG259" s="52"/>
      <c r="AH259" s="4"/>
      <c r="AI259" s="18"/>
      <c r="AJ259" s="46"/>
      <c r="AK259" s="18"/>
      <c r="AL259" s="46"/>
      <c r="AM259" s="62"/>
      <c r="AN259" s="63"/>
      <c r="AO259" s="63"/>
      <c r="AP259" s="19"/>
      <c r="AQ259" s="74"/>
      <c r="AR259" s="47"/>
      <c r="AS259" s="135"/>
      <c r="AU259" s="5"/>
      <c r="AV259" s="148"/>
      <c r="AW259" s="41"/>
      <c r="AX259" s="100"/>
      <c r="AY259" s="149"/>
      <c r="AZ259" s="41"/>
      <c r="BA259" s="72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</row>
    <row r="260" spans="1:73">
      <c r="A260" s="42">
        <f t="shared" si="180"/>
        <v>45748</v>
      </c>
      <c r="B260" s="30"/>
      <c r="C260" s="17"/>
      <c r="D260" s="17"/>
      <c r="E260" s="25"/>
      <c r="F260" s="31"/>
      <c r="G260" s="43"/>
      <c r="H260" s="25"/>
      <c r="I260" s="31"/>
      <c r="J260" s="44"/>
      <c r="K260" s="25"/>
      <c r="L260" s="31"/>
      <c r="M260" s="45"/>
      <c r="N260" s="25"/>
      <c r="O260" s="31"/>
      <c r="P260" s="45"/>
      <c r="Q260" s="25"/>
      <c r="R260" s="31"/>
      <c r="S260" s="45"/>
      <c r="T260" s="4"/>
      <c r="U260" s="159"/>
      <c r="V260" s="160"/>
      <c r="W260" s="100"/>
      <c r="X260" s="100"/>
      <c r="Y260" s="158"/>
      <c r="Z260" s="4"/>
      <c r="AA260" s="159"/>
      <c r="AB260" s="160"/>
      <c r="AC260" s="100"/>
      <c r="AD260" s="100"/>
      <c r="AE260" s="158"/>
      <c r="AF260" s="4"/>
      <c r="AG260" s="52"/>
      <c r="AH260" s="4"/>
      <c r="AI260" s="18"/>
      <c r="AJ260" s="46"/>
      <c r="AK260" s="18"/>
      <c r="AL260" s="46"/>
      <c r="AM260" s="62"/>
      <c r="AN260" s="63"/>
      <c r="AO260" s="63"/>
      <c r="AP260" s="19"/>
      <c r="AQ260" s="74"/>
      <c r="AR260" s="47"/>
      <c r="AS260" s="135"/>
      <c r="AU260" s="5"/>
      <c r="AV260" s="148"/>
      <c r="AW260" s="41"/>
      <c r="AX260" s="100"/>
      <c r="AY260" s="149"/>
      <c r="AZ260" s="41"/>
      <c r="BA260" s="72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</row>
    <row r="261" spans="1:73">
      <c r="A261" s="42">
        <f t="shared" si="180"/>
        <v>45778</v>
      </c>
      <c r="B261" s="30"/>
      <c r="C261" s="17"/>
      <c r="D261" s="17"/>
      <c r="E261" s="25"/>
      <c r="F261" s="31"/>
      <c r="G261" s="43"/>
      <c r="H261" s="25"/>
      <c r="I261" s="31"/>
      <c r="J261" s="44"/>
      <c r="K261" s="25"/>
      <c r="L261" s="31"/>
      <c r="M261" s="45"/>
      <c r="N261" s="25"/>
      <c r="O261" s="31"/>
      <c r="P261" s="45"/>
      <c r="Q261" s="25"/>
      <c r="R261" s="31"/>
      <c r="S261" s="45"/>
      <c r="T261" s="4"/>
      <c r="U261" s="159"/>
      <c r="V261" s="160"/>
      <c r="W261" s="100"/>
      <c r="X261" s="100"/>
      <c r="Y261" s="158"/>
      <c r="Z261" s="4"/>
      <c r="AA261" s="159"/>
      <c r="AB261" s="160"/>
      <c r="AC261" s="100"/>
      <c r="AD261" s="100"/>
      <c r="AE261" s="158"/>
      <c r="AF261" s="4"/>
      <c r="AG261" s="52"/>
      <c r="AH261" s="4"/>
      <c r="AI261" s="18"/>
      <c r="AJ261" s="46"/>
      <c r="AK261" s="18"/>
      <c r="AL261" s="46"/>
      <c r="AM261" s="62"/>
      <c r="AN261" s="63"/>
      <c r="AO261" s="63"/>
      <c r="AP261" s="19"/>
      <c r="AQ261" s="74"/>
      <c r="AR261" s="47"/>
      <c r="AS261" s="135"/>
      <c r="AU261" s="5"/>
      <c r="AV261" s="148"/>
      <c r="AW261" s="41"/>
      <c r="AX261" s="100"/>
      <c r="AY261" s="149"/>
      <c r="AZ261" s="41"/>
      <c r="BA261" s="72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</row>
    <row r="262" spans="1:73">
      <c r="A262" s="42">
        <f t="shared" si="180"/>
        <v>45809</v>
      </c>
      <c r="B262" s="30"/>
      <c r="C262" s="17"/>
      <c r="D262" s="17"/>
      <c r="E262" s="25"/>
      <c r="F262" s="31"/>
      <c r="G262" s="43"/>
      <c r="H262" s="25"/>
      <c r="I262" s="31"/>
      <c r="J262" s="44"/>
      <c r="K262" s="25"/>
      <c r="L262" s="31"/>
      <c r="M262" s="45"/>
      <c r="N262" s="25"/>
      <c r="O262" s="31"/>
      <c r="P262" s="45"/>
      <c r="Q262" s="25"/>
      <c r="R262" s="31"/>
      <c r="S262" s="45"/>
      <c r="T262" s="4"/>
      <c r="U262" s="159"/>
      <c r="V262" s="160"/>
      <c r="W262" s="100"/>
      <c r="X262" s="100"/>
      <c r="Y262" s="158"/>
      <c r="Z262" s="4"/>
      <c r="AA262" s="159"/>
      <c r="AB262" s="160"/>
      <c r="AC262" s="100"/>
      <c r="AD262" s="100"/>
      <c r="AE262" s="158"/>
      <c r="AF262" s="4"/>
      <c r="AG262" s="52"/>
      <c r="AH262" s="4"/>
      <c r="AI262" s="18"/>
      <c r="AJ262" s="46"/>
      <c r="AK262" s="18"/>
      <c r="AL262" s="46"/>
      <c r="AM262" s="62"/>
      <c r="AN262" s="63"/>
      <c r="AO262" s="63"/>
      <c r="AP262" s="19"/>
      <c r="AQ262" s="74"/>
      <c r="AR262" s="47"/>
      <c r="AS262" s="135"/>
      <c r="AU262" s="5"/>
      <c r="AV262" s="148"/>
      <c r="AW262" s="41"/>
      <c r="AX262" s="100"/>
      <c r="AY262" s="149"/>
      <c r="AZ262" s="41"/>
      <c r="BA262" s="72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</row>
    <row r="263" spans="1:73">
      <c r="A263" s="42">
        <f t="shared" si="180"/>
        <v>45839</v>
      </c>
      <c r="B263" s="30"/>
      <c r="C263" s="17"/>
      <c r="D263" s="17"/>
      <c r="E263" s="25"/>
      <c r="F263" s="31"/>
      <c r="G263" s="43"/>
      <c r="H263" s="25"/>
      <c r="I263" s="31"/>
      <c r="J263" s="44"/>
      <c r="K263" s="25"/>
      <c r="L263" s="31"/>
      <c r="M263" s="45"/>
      <c r="N263" s="25"/>
      <c r="O263" s="31"/>
      <c r="P263" s="45"/>
      <c r="Q263" s="25"/>
      <c r="R263" s="31"/>
      <c r="S263" s="45"/>
      <c r="T263" s="4"/>
      <c r="U263" s="159"/>
      <c r="V263" s="160"/>
      <c r="W263" s="100"/>
      <c r="X263" s="100"/>
      <c r="Y263" s="158"/>
      <c r="Z263" s="4"/>
      <c r="AA263" s="159"/>
      <c r="AB263" s="160"/>
      <c r="AC263" s="100"/>
      <c r="AD263" s="100"/>
      <c r="AE263" s="158"/>
      <c r="AF263" s="4"/>
      <c r="AG263" s="52"/>
      <c r="AH263" s="4"/>
      <c r="AI263" s="18"/>
      <c r="AJ263" s="46"/>
      <c r="AK263" s="18"/>
      <c r="AL263" s="46"/>
      <c r="AM263" s="62"/>
      <c r="AN263" s="63"/>
      <c r="AO263" s="63"/>
      <c r="AP263" s="19"/>
      <c r="AQ263" s="74"/>
      <c r="AR263" s="47"/>
      <c r="AS263" s="135"/>
      <c r="AU263" s="5"/>
      <c r="AV263" s="148"/>
      <c r="AW263" s="41"/>
      <c r="AX263" s="100"/>
      <c r="AY263" s="149"/>
      <c r="AZ263" s="41"/>
      <c r="BA263" s="72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</row>
    <row r="264" spans="1:73">
      <c r="A264" s="42">
        <f t="shared" si="180"/>
        <v>45870</v>
      </c>
      <c r="B264" s="30"/>
      <c r="C264" s="17"/>
      <c r="D264" s="17"/>
      <c r="E264" s="25"/>
      <c r="F264" s="31"/>
      <c r="G264" s="43"/>
      <c r="H264" s="25"/>
      <c r="I264" s="31"/>
      <c r="J264" s="44"/>
      <c r="K264" s="25"/>
      <c r="L264" s="31"/>
      <c r="M264" s="45"/>
      <c r="N264" s="25"/>
      <c r="O264" s="31"/>
      <c r="P264" s="45"/>
      <c r="Q264" s="25"/>
      <c r="R264" s="31"/>
      <c r="S264" s="45"/>
      <c r="T264" s="4"/>
      <c r="U264" s="159"/>
      <c r="V264" s="160"/>
      <c r="W264" s="100"/>
      <c r="X264" s="100"/>
      <c r="Y264" s="158"/>
      <c r="Z264" s="4"/>
      <c r="AA264" s="159"/>
      <c r="AB264" s="160"/>
      <c r="AC264" s="100"/>
      <c r="AD264" s="100"/>
      <c r="AE264" s="158"/>
      <c r="AF264" s="4"/>
      <c r="AG264" s="52"/>
      <c r="AH264" s="4"/>
      <c r="AI264" s="18"/>
      <c r="AJ264" s="46"/>
      <c r="AK264" s="18"/>
      <c r="AL264" s="46"/>
      <c r="AM264" s="62"/>
      <c r="AN264" s="63"/>
      <c r="AO264" s="63"/>
      <c r="AP264" s="19"/>
      <c r="AQ264" s="74"/>
      <c r="AR264" s="47"/>
      <c r="AS264" s="135"/>
      <c r="AU264" s="5"/>
      <c r="AV264" s="148"/>
      <c r="AW264" s="41"/>
      <c r="AX264" s="100"/>
      <c r="AY264" s="149"/>
      <c r="AZ264" s="41"/>
      <c r="BA264" s="72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</row>
    <row r="265" spans="1:73">
      <c r="A265" s="42">
        <f t="shared" si="180"/>
        <v>45901</v>
      </c>
      <c r="B265" s="30"/>
      <c r="C265" s="17"/>
      <c r="D265" s="17"/>
      <c r="E265" s="25"/>
      <c r="F265" s="31"/>
      <c r="G265" s="43"/>
      <c r="H265" s="25"/>
      <c r="I265" s="31"/>
      <c r="J265" s="44"/>
      <c r="K265" s="25"/>
      <c r="L265" s="31"/>
      <c r="M265" s="45"/>
      <c r="N265" s="25"/>
      <c r="O265" s="31"/>
      <c r="P265" s="45"/>
      <c r="Q265" s="25"/>
      <c r="R265" s="31"/>
      <c r="S265" s="45"/>
      <c r="T265" s="4"/>
      <c r="U265" s="159"/>
      <c r="V265" s="160"/>
      <c r="W265" s="100"/>
      <c r="X265" s="100"/>
      <c r="Y265" s="158"/>
      <c r="Z265" s="4"/>
      <c r="AA265" s="159"/>
      <c r="AB265" s="160"/>
      <c r="AC265" s="100"/>
      <c r="AD265" s="100"/>
      <c r="AE265" s="158"/>
      <c r="AF265" s="4"/>
      <c r="AG265" s="52"/>
      <c r="AH265" s="4"/>
      <c r="AI265" s="18"/>
      <c r="AJ265" s="46"/>
      <c r="AK265" s="18"/>
      <c r="AL265" s="46"/>
      <c r="AM265" s="62"/>
      <c r="AN265" s="63"/>
      <c r="AO265" s="63"/>
      <c r="AP265" s="19"/>
      <c r="AQ265" s="74"/>
      <c r="AR265" s="47"/>
      <c r="AS265" s="135"/>
      <c r="AU265" s="5"/>
      <c r="AV265" s="148"/>
      <c r="AW265" s="41"/>
      <c r="AX265" s="100"/>
      <c r="AY265" s="149"/>
      <c r="AZ265" s="41"/>
      <c r="BA265" s="72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</row>
    <row r="266" spans="1:73">
      <c r="A266" s="42">
        <f t="shared" si="180"/>
        <v>45931</v>
      </c>
      <c r="B266" s="30"/>
      <c r="C266" s="17"/>
      <c r="D266" s="17"/>
      <c r="E266" s="25"/>
      <c r="F266" s="31"/>
      <c r="G266" s="43"/>
      <c r="H266" s="25"/>
      <c r="I266" s="31"/>
      <c r="J266" s="44"/>
      <c r="K266" s="25"/>
      <c r="L266" s="31"/>
      <c r="M266" s="45"/>
      <c r="N266" s="25"/>
      <c r="O266" s="31"/>
      <c r="P266" s="45"/>
      <c r="Q266" s="25"/>
      <c r="R266" s="31"/>
      <c r="S266" s="45"/>
      <c r="T266" s="4"/>
      <c r="U266" s="159"/>
      <c r="V266" s="160"/>
      <c r="W266" s="100"/>
      <c r="X266" s="100"/>
      <c r="Y266" s="158"/>
      <c r="Z266" s="4"/>
      <c r="AA266" s="159"/>
      <c r="AB266" s="160"/>
      <c r="AC266" s="100"/>
      <c r="AD266" s="100"/>
      <c r="AE266" s="158"/>
      <c r="AF266" s="4"/>
      <c r="AG266" s="52"/>
      <c r="AH266" s="4"/>
      <c r="AI266" s="18"/>
      <c r="AJ266" s="46"/>
      <c r="AK266" s="18"/>
      <c r="AL266" s="46"/>
      <c r="AM266" s="62"/>
      <c r="AN266" s="63"/>
      <c r="AO266" s="63"/>
      <c r="AP266" s="19"/>
      <c r="AQ266" s="74"/>
      <c r="AR266" s="47"/>
      <c r="AS266" s="135"/>
      <c r="AU266" s="5"/>
      <c r="AV266" s="148"/>
      <c r="AW266" s="41"/>
      <c r="AX266" s="100"/>
      <c r="AY266" s="149"/>
      <c r="AZ266" s="41"/>
      <c r="BA266" s="72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</row>
    <row r="267" spans="1:73">
      <c r="A267" s="42">
        <f t="shared" ref="A267:A281" si="222">EDATE(A266,1)</f>
        <v>45962</v>
      </c>
      <c r="B267" s="30"/>
      <c r="C267" s="17"/>
      <c r="D267" s="17"/>
      <c r="E267" s="25"/>
      <c r="F267" s="31"/>
      <c r="G267" s="43"/>
      <c r="H267" s="25"/>
      <c r="I267" s="31"/>
      <c r="J267" s="44"/>
      <c r="K267" s="25"/>
      <c r="L267" s="31"/>
      <c r="M267" s="45"/>
      <c r="N267" s="25"/>
      <c r="O267" s="31"/>
      <c r="P267" s="45"/>
      <c r="Q267" s="25"/>
      <c r="R267" s="31"/>
      <c r="S267" s="45"/>
      <c r="T267" s="4"/>
      <c r="U267" s="159"/>
      <c r="V267" s="160"/>
      <c r="W267" s="100"/>
      <c r="X267" s="100"/>
      <c r="Y267" s="158"/>
      <c r="Z267" s="4"/>
      <c r="AA267" s="159"/>
      <c r="AB267" s="160"/>
      <c r="AC267" s="100"/>
      <c r="AD267" s="100"/>
      <c r="AE267" s="158"/>
      <c r="AF267" s="4"/>
      <c r="AG267" s="52"/>
      <c r="AH267" s="4"/>
      <c r="AI267" s="18"/>
      <c r="AJ267" s="46"/>
      <c r="AK267" s="18"/>
      <c r="AL267" s="46"/>
      <c r="AM267" s="62"/>
      <c r="AN267" s="63"/>
      <c r="AO267" s="63"/>
      <c r="AP267" s="19"/>
      <c r="AQ267" s="74"/>
      <c r="AR267" s="47"/>
      <c r="AS267" s="135"/>
      <c r="AU267" s="5"/>
      <c r="AV267" s="148"/>
      <c r="AW267" s="41"/>
      <c r="AX267" s="100"/>
      <c r="AY267" s="149"/>
      <c r="AZ267" s="41"/>
      <c r="BA267" s="72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</row>
    <row r="268" spans="1:73">
      <c r="A268" s="42">
        <f t="shared" si="222"/>
        <v>45992</v>
      </c>
      <c r="B268" s="30"/>
      <c r="C268" s="17"/>
      <c r="D268" s="17"/>
      <c r="E268" s="25"/>
      <c r="F268" s="31"/>
      <c r="G268" s="43"/>
      <c r="H268" s="25"/>
      <c r="I268" s="31"/>
      <c r="J268" s="44"/>
      <c r="K268" s="25"/>
      <c r="L268" s="31"/>
      <c r="M268" s="45"/>
      <c r="N268" s="25"/>
      <c r="O268" s="31"/>
      <c r="P268" s="45"/>
      <c r="Q268" s="25"/>
      <c r="R268" s="31"/>
      <c r="S268" s="45"/>
      <c r="T268" s="4"/>
      <c r="U268" s="159"/>
      <c r="V268" s="160"/>
      <c r="W268" s="100"/>
      <c r="X268" s="100"/>
      <c r="Y268" s="158"/>
      <c r="Z268" s="4"/>
      <c r="AA268" s="159"/>
      <c r="AB268" s="160"/>
      <c r="AC268" s="100"/>
      <c r="AD268" s="100"/>
      <c r="AE268" s="158"/>
      <c r="AF268" s="4"/>
      <c r="AG268" s="52"/>
      <c r="AH268" s="4"/>
      <c r="AI268" s="18"/>
      <c r="AJ268" s="46"/>
      <c r="AK268" s="18"/>
      <c r="AL268" s="46"/>
      <c r="AM268" s="62"/>
      <c r="AN268" s="63"/>
      <c r="AO268" s="63"/>
      <c r="AP268" s="19"/>
      <c r="AQ268" s="74"/>
      <c r="AR268" s="47"/>
      <c r="AS268" s="135"/>
      <c r="AU268" s="5"/>
      <c r="AV268" s="148"/>
      <c r="AW268" s="41"/>
      <c r="AX268" s="100"/>
      <c r="AY268" s="149"/>
      <c r="AZ268" s="41"/>
      <c r="BA268" s="72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</row>
    <row r="269" spans="1:73">
      <c r="A269" s="42">
        <f t="shared" si="222"/>
        <v>46023</v>
      </c>
      <c r="B269" s="30"/>
      <c r="C269" s="17"/>
      <c r="D269" s="17"/>
      <c r="E269" s="25"/>
      <c r="F269" s="31"/>
      <c r="G269" s="43"/>
      <c r="H269" s="25"/>
      <c r="I269" s="31"/>
      <c r="J269" s="44"/>
      <c r="K269" s="25"/>
      <c r="L269" s="31"/>
      <c r="M269" s="45"/>
      <c r="N269" s="25"/>
      <c r="O269" s="31"/>
      <c r="P269" s="45"/>
      <c r="Q269" s="25"/>
      <c r="R269" s="31"/>
      <c r="S269" s="45"/>
      <c r="T269" s="4"/>
      <c r="U269" s="159"/>
      <c r="V269" s="160"/>
      <c r="W269" s="100"/>
      <c r="X269" s="100"/>
      <c r="Y269" s="158"/>
      <c r="Z269" s="4"/>
      <c r="AA269" s="159"/>
      <c r="AB269" s="160"/>
      <c r="AC269" s="100"/>
      <c r="AD269" s="100"/>
      <c r="AE269" s="158"/>
      <c r="AF269" s="4"/>
      <c r="AG269" s="52"/>
      <c r="AH269" s="4"/>
      <c r="AI269" s="18"/>
      <c r="AJ269" s="46"/>
      <c r="AK269" s="18"/>
      <c r="AL269" s="46"/>
      <c r="AM269" s="62"/>
      <c r="AN269" s="63"/>
      <c r="AO269" s="63"/>
      <c r="AP269" s="19"/>
      <c r="AQ269" s="74"/>
      <c r="AR269" s="47"/>
      <c r="AS269" s="135"/>
      <c r="AU269" s="5"/>
      <c r="AV269" s="148"/>
      <c r="AW269" s="41"/>
      <c r="AX269" s="100"/>
      <c r="AY269" s="149"/>
      <c r="AZ269" s="41"/>
      <c r="BA269" s="72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</row>
    <row r="270" spans="1:73">
      <c r="A270" s="42">
        <f t="shared" si="222"/>
        <v>46054</v>
      </c>
      <c r="B270" s="30"/>
      <c r="C270" s="17"/>
      <c r="D270" s="17"/>
      <c r="E270" s="25"/>
      <c r="F270" s="31"/>
      <c r="G270" s="43"/>
      <c r="H270" s="25"/>
      <c r="I270" s="31"/>
      <c r="J270" s="44"/>
      <c r="K270" s="25"/>
      <c r="L270" s="31"/>
      <c r="M270" s="45"/>
      <c r="N270" s="25"/>
      <c r="O270" s="31"/>
      <c r="P270" s="45"/>
      <c r="Q270" s="25"/>
      <c r="R270" s="31"/>
      <c r="S270" s="45"/>
      <c r="T270" s="4"/>
      <c r="U270" s="159"/>
      <c r="V270" s="160"/>
      <c r="W270" s="100"/>
      <c r="X270" s="100"/>
      <c r="Y270" s="158"/>
      <c r="Z270" s="4"/>
      <c r="AA270" s="159"/>
      <c r="AB270" s="160"/>
      <c r="AC270" s="100"/>
      <c r="AD270" s="100"/>
      <c r="AE270" s="158"/>
      <c r="AF270" s="4"/>
      <c r="AG270" s="52"/>
      <c r="AH270" s="4"/>
      <c r="AI270" s="18"/>
      <c r="AJ270" s="46"/>
      <c r="AK270" s="18"/>
      <c r="AL270" s="46"/>
      <c r="AM270" s="62"/>
      <c r="AN270" s="63"/>
      <c r="AO270" s="63"/>
      <c r="AP270" s="19"/>
      <c r="AQ270" s="74"/>
      <c r="AR270" s="47"/>
      <c r="AS270" s="135"/>
      <c r="AU270" s="5"/>
      <c r="AV270" s="148"/>
      <c r="AW270" s="41"/>
      <c r="AX270" s="100"/>
      <c r="AY270" s="149"/>
      <c r="AZ270" s="41"/>
      <c r="BA270" s="72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</row>
    <row r="271" spans="1:73">
      <c r="A271" s="42">
        <f t="shared" si="222"/>
        <v>46082</v>
      </c>
      <c r="B271" s="30"/>
      <c r="C271" s="17"/>
      <c r="D271" s="17"/>
      <c r="E271" s="25"/>
      <c r="F271" s="31"/>
      <c r="G271" s="43"/>
      <c r="H271" s="25"/>
      <c r="I271" s="31"/>
      <c r="J271" s="44"/>
      <c r="K271" s="25"/>
      <c r="L271" s="31"/>
      <c r="M271" s="45"/>
      <c r="N271" s="25"/>
      <c r="O271" s="31"/>
      <c r="P271" s="45"/>
      <c r="Q271" s="25"/>
      <c r="R271" s="31"/>
      <c r="S271" s="45"/>
      <c r="T271" s="4"/>
      <c r="U271" s="159"/>
      <c r="V271" s="160"/>
      <c r="W271" s="100"/>
      <c r="X271" s="100"/>
      <c r="Y271" s="158"/>
      <c r="Z271" s="4"/>
      <c r="AA271" s="159"/>
      <c r="AB271" s="160"/>
      <c r="AC271" s="100"/>
      <c r="AD271" s="100"/>
      <c r="AE271" s="158"/>
      <c r="AF271" s="4"/>
      <c r="AG271" s="52"/>
      <c r="AH271" s="4"/>
      <c r="AI271" s="18"/>
      <c r="AJ271" s="46"/>
      <c r="AK271" s="18"/>
      <c r="AL271" s="46"/>
      <c r="AM271" s="62"/>
      <c r="AN271" s="63"/>
      <c r="AO271" s="63"/>
      <c r="AP271" s="19"/>
      <c r="AQ271" s="74"/>
      <c r="AR271" s="47"/>
      <c r="AS271" s="135"/>
      <c r="AU271" s="5"/>
      <c r="AV271" s="148"/>
      <c r="AW271" s="41"/>
      <c r="AX271" s="100"/>
      <c r="AY271" s="149"/>
      <c r="AZ271" s="41"/>
      <c r="BA271" s="72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</row>
    <row r="272" spans="1:73">
      <c r="A272" s="42">
        <f t="shared" si="222"/>
        <v>46113</v>
      </c>
      <c r="B272" s="30"/>
      <c r="C272" s="17"/>
      <c r="D272" s="17"/>
      <c r="E272" s="25"/>
      <c r="F272" s="31"/>
      <c r="G272" s="43"/>
      <c r="H272" s="25"/>
      <c r="I272" s="31"/>
      <c r="J272" s="44"/>
      <c r="K272" s="25"/>
      <c r="L272" s="31"/>
      <c r="M272" s="45"/>
      <c r="N272" s="25"/>
      <c r="O272" s="31"/>
      <c r="P272" s="45"/>
      <c r="Q272" s="25"/>
      <c r="R272" s="31"/>
      <c r="S272" s="45"/>
      <c r="T272" s="4"/>
      <c r="U272" s="159"/>
      <c r="V272" s="160"/>
      <c r="W272" s="100"/>
      <c r="X272" s="100"/>
      <c r="Y272" s="158"/>
      <c r="Z272" s="4"/>
      <c r="AA272" s="159"/>
      <c r="AB272" s="160"/>
      <c r="AC272" s="100"/>
      <c r="AD272" s="100"/>
      <c r="AE272" s="158"/>
      <c r="AF272" s="4"/>
      <c r="AG272" s="52"/>
      <c r="AH272" s="4"/>
      <c r="AI272" s="18"/>
      <c r="AJ272" s="46"/>
      <c r="AK272" s="18"/>
      <c r="AL272" s="46"/>
      <c r="AM272" s="62"/>
      <c r="AN272" s="63"/>
      <c r="AO272" s="63"/>
      <c r="AP272" s="19"/>
      <c r="AQ272" s="74"/>
      <c r="AR272" s="47"/>
      <c r="AS272" s="135"/>
      <c r="AU272" s="5"/>
      <c r="AV272" s="148"/>
      <c r="AW272" s="41"/>
      <c r="AX272" s="100"/>
      <c r="AY272" s="149"/>
      <c r="AZ272" s="41"/>
      <c r="BA272" s="72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</row>
    <row r="273" spans="1:73">
      <c r="A273" s="42">
        <f t="shared" si="222"/>
        <v>46143</v>
      </c>
      <c r="B273" s="30"/>
      <c r="C273" s="17"/>
      <c r="D273" s="17"/>
      <c r="E273" s="25"/>
      <c r="F273" s="31"/>
      <c r="G273" s="43"/>
      <c r="H273" s="25"/>
      <c r="I273" s="31"/>
      <c r="J273" s="44"/>
      <c r="K273" s="25"/>
      <c r="L273" s="31"/>
      <c r="M273" s="45"/>
      <c r="N273" s="25"/>
      <c r="O273" s="31"/>
      <c r="P273" s="45"/>
      <c r="Q273" s="25"/>
      <c r="R273" s="31"/>
      <c r="S273" s="45"/>
      <c r="T273" s="4"/>
      <c r="U273" s="159"/>
      <c r="V273" s="160"/>
      <c r="W273" s="100"/>
      <c r="X273" s="100"/>
      <c r="Y273" s="158"/>
      <c r="Z273" s="4"/>
      <c r="AA273" s="159"/>
      <c r="AB273" s="160"/>
      <c r="AC273" s="100"/>
      <c r="AD273" s="100"/>
      <c r="AE273" s="158"/>
      <c r="AF273" s="4"/>
      <c r="AG273" s="52"/>
      <c r="AH273" s="4"/>
      <c r="AI273" s="18"/>
      <c r="AJ273" s="46"/>
      <c r="AK273" s="18"/>
      <c r="AL273" s="46"/>
      <c r="AM273" s="62"/>
      <c r="AN273" s="63"/>
      <c r="AO273" s="63"/>
      <c r="AP273" s="19"/>
      <c r="AQ273" s="74"/>
      <c r="AR273" s="47"/>
      <c r="AS273" s="135"/>
      <c r="AU273" s="5"/>
      <c r="AV273" s="148"/>
      <c r="AW273" s="41"/>
      <c r="AX273" s="100"/>
      <c r="AY273" s="149"/>
      <c r="AZ273" s="41"/>
      <c r="BA273" s="72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</row>
    <row r="274" spans="1:73">
      <c r="A274" s="42">
        <f t="shared" si="222"/>
        <v>46174</v>
      </c>
      <c r="B274" s="30"/>
      <c r="C274" s="17"/>
      <c r="D274" s="17"/>
      <c r="E274" s="25"/>
      <c r="F274" s="31"/>
      <c r="G274" s="43"/>
      <c r="H274" s="25"/>
      <c r="I274" s="31"/>
      <c r="J274" s="44"/>
      <c r="K274" s="25"/>
      <c r="L274" s="31"/>
      <c r="M274" s="45"/>
      <c r="N274" s="25"/>
      <c r="O274" s="31"/>
      <c r="P274" s="45"/>
      <c r="Q274" s="25"/>
      <c r="R274" s="31"/>
      <c r="S274" s="45"/>
      <c r="T274" s="4"/>
      <c r="U274" s="159"/>
      <c r="V274" s="160"/>
      <c r="W274" s="100"/>
      <c r="X274" s="100"/>
      <c r="Y274" s="158"/>
      <c r="Z274" s="4"/>
      <c r="AA274" s="159"/>
      <c r="AB274" s="160"/>
      <c r="AC274" s="100"/>
      <c r="AD274" s="100"/>
      <c r="AE274" s="158"/>
      <c r="AF274" s="4"/>
      <c r="AG274" s="52"/>
      <c r="AH274" s="4"/>
      <c r="AI274" s="18"/>
      <c r="AJ274" s="46"/>
      <c r="AK274" s="18"/>
      <c r="AL274" s="46"/>
      <c r="AM274" s="62"/>
      <c r="AN274" s="63"/>
      <c r="AO274" s="63"/>
      <c r="AP274" s="19"/>
      <c r="AQ274" s="74"/>
      <c r="AR274" s="47"/>
      <c r="AS274" s="135"/>
      <c r="AU274" s="5"/>
      <c r="AV274" s="148"/>
      <c r="AW274" s="41"/>
      <c r="AX274" s="100"/>
      <c r="AY274" s="149"/>
      <c r="AZ274" s="41"/>
      <c r="BA274" s="72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</row>
    <row r="275" spans="1:73">
      <c r="A275" s="42">
        <f t="shared" si="222"/>
        <v>46204</v>
      </c>
      <c r="B275" s="30"/>
      <c r="C275" s="17"/>
      <c r="D275" s="17"/>
      <c r="E275" s="25"/>
      <c r="F275" s="31"/>
      <c r="G275" s="43"/>
      <c r="H275" s="25"/>
      <c r="I275" s="31"/>
      <c r="J275" s="44"/>
      <c r="K275" s="25"/>
      <c r="L275" s="31"/>
      <c r="M275" s="45"/>
      <c r="N275" s="25"/>
      <c r="O275" s="31"/>
      <c r="P275" s="45"/>
      <c r="Q275" s="25"/>
      <c r="R275" s="31"/>
      <c r="S275" s="45"/>
      <c r="T275" s="4"/>
      <c r="U275" s="159"/>
      <c r="V275" s="160"/>
      <c r="W275" s="100"/>
      <c r="X275" s="100"/>
      <c r="Y275" s="158"/>
      <c r="Z275" s="4"/>
      <c r="AA275" s="159"/>
      <c r="AB275" s="160"/>
      <c r="AC275" s="100"/>
      <c r="AD275" s="100"/>
      <c r="AE275" s="158"/>
      <c r="AF275" s="4"/>
      <c r="AG275" s="52"/>
      <c r="AH275" s="4"/>
      <c r="AI275" s="18"/>
      <c r="AJ275" s="46"/>
      <c r="AK275" s="18"/>
      <c r="AL275" s="46"/>
      <c r="AM275" s="62"/>
      <c r="AN275" s="63"/>
      <c r="AO275" s="63"/>
      <c r="AP275" s="19"/>
      <c r="AQ275" s="74"/>
      <c r="AR275" s="47"/>
      <c r="AS275" s="135"/>
      <c r="AU275" s="5"/>
      <c r="AV275" s="148"/>
      <c r="AW275" s="41"/>
      <c r="AX275" s="100"/>
      <c r="AY275" s="149"/>
      <c r="AZ275" s="41"/>
      <c r="BA275" s="72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</row>
    <row r="276" spans="1:73">
      <c r="A276" s="42">
        <f t="shared" si="222"/>
        <v>46235</v>
      </c>
      <c r="B276" s="30"/>
      <c r="C276" s="17"/>
      <c r="D276" s="17"/>
      <c r="E276" s="25"/>
      <c r="F276" s="31"/>
      <c r="G276" s="43"/>
      <c r="H276" s="25"/>
      <c r="I276" s="31"/>
      <c r="J276" s="44"/>
      <c r="K276" s="25"/>
      <c r="L276" s="31"/>
      <c r="M276" s="45"/>
      <c r="N276" s="25"/>
      <c r="O276" s="31"/>
      <c r="P276" s="45"/>
      <c r="Q276" s="25"/>
      <c r="R276" s="31"/>
      <c r="S276" s="45"/>
      <c r="T276" s="4"/>
      <c r="U276" s="159"/>
      <c r="V276" s="160"/>
      <c r="W276" s="100"/>
      <c r="X276" s="100"/>
      <c r="Y276" s="158"/>
      <c r="Z276" s="4"/>
      <c r="AA276" s="159"/>
      <c r="AB276" s="160"/>
      <c r="AC276" s="100"/>
      <c r="AD276" s="100"/>
      <c r="AE276" s="158"/>
      <c r="AF276" s="4"/>
      <c r="AG276" s="52"/>
      <c r="AH276" s="4"/>
      <c r="AI276" s="18"/>
      <c r="AJ276" s="46"/>
      <c r="AK276" s="18"/>
      <c r="AL276" s="46"/>
      <c r="AM276" s="62"/>
      <c r="AN276" s="63"/>
      <c r="AO276" s="63"/>
      <c r="AP276" s="19"/>
      <c r="AQ276" s="74"/>
      <c r="AR276" s="47"/>
      <c r="AS276" s="135"/>
      <c r="AU276" s="5"/>
      <c r="AV276" s="148"/>
      <c r="AW276" s="41"/>
      <c r="AX276" s="100"/>
      <c r="AY276" s="149"/>
      <c r="AZ276" s="41"/>
      <c r="BA276" s="72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</row>
    <row r="277" spans="1:73">
      <c r="A277" s="42">
        <f t="shared" si="222"/>
        <v>46266</v>
      </c>
      <c r="B277" s="30"/>
      <c r="C277" s="17"/>
      <c r="D277" s="17"/>
      <c r="E277" s="25"/>
      <c r="F277" s="31"/>
      <c r="G277" s="43"/>
      <c r="H277" s="25"/>
      <c r="I277" s="31"/>
      <c r="J277" s="44"/>
      <c r="K277" s="25"/>
      <c r="L277" s="31"/>
      <c r="M277" s="45"/>
      <c r="N277" s="25"/>
      <c r="O277" s="31"/>
      <c r="P277" s="45"/>
      <c r="Q277" s="25"/>
      <c r="R277" s="31"/>
      <c r="S277" s="45"/>
      <c r="T277" s="4"/>
      <c r="U277" s="159"/>
      <c r="V277" s="160"/>
      <c r="W277" s="100"/>
      <c r="X277" s="100"/>
      <c r="Y277" s="158"/>
      <c r="Z277" s="4"/>
      <c r="AA277" s="159"/>
      <c r="AB277" s="160"/>
      <c r="AC277" s="100"/>
      <c r="AD277" s="100"/>
      <c r="AE277" s="158"/>
      <c r="AF277" s="4"/>
      <c r="AG277" s="52"/>
      <c r="AH277" s="4"/>
      <c r="AI277" s="18"/>
      <c r="AJ277" s="46"/>
      <c r="AK277" s="18"/>
      <c r="AL277" s="46"/>
      <c r="AM277" s="62"/>
      <c r="AN277" s="63"/>
      <c r="AO277" s="63"/>
      <c r="AP277" s="19"/>
      <c r="AQ277" s="74"/>
      <c r="AR277" s="47"/>
      <c r="AS277" s="135"/>
      <c r="AU277" s="5"/>
      <c r="AV277" s="148"/>
      <c r="AW277" s="41"/>
      <c r="AX277" s="100"/>
      <c r="AY277" s="149"/>
      <c r="AZ277" s="41"/>
      <c r="BA277" s="72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</row>
    <row r="278" spans="1:73">
      <c r="A278" s="42">
        <f t="shared" si="222"/>
        <v>46296</v>
      </c>
      <c r="B278" s="30"/>
      <c r="C278" s="17"/>
      <c r="D278" s="17"/>
      <c r="E278" s="25"/>
      <c r="F278" s="31"/>
      <c r="G278" s="43"/>
      <c r="H278" s="25"/>
      <c r="I278" s="31"/>
      <c r="J278" s="44"/>
      <c r="K278" s="25"/>
      <c r="L278" s="31"/>
      <c r="M278" s="45"/>
      <c r="N278" s="25"/>
      <c r="O278" s="31"/>
      <c r="P278" s="45"/>
      <c r="Q278" s="25"/>
      <c r="R278" s="31"/>
      <c r="S278" s="45"/>
      <c r="T278" s="4"/>
      <c r="U278" s="159"/>
      <c r="V278" s="160"/>
      <c r="W278" s="100"/>
      <c r="X278" s="100"/>
      <c r="Y278" s="158"/>
      <c r="Z278" s="4"/>
      <c r="AA278" s="159"/>
      <c r="AB278" s="160"/>
      <c r="AC278" s="100"/>
      <c r="AD278" s="100"/>
      <c r="AE278" s="158"/>
      <c r="AF278" s="4"/>
      <c r="AG278" s="52"/>
      <c r="AH278" s="4"/>
      <c r="AI278" s="18"/>
      <c r="AJ278" s="46"/>
      <c r="AK278" s="18"/>
      <c r="AL278" s="46"/>
      <c r="AM278" s="62"/>
      <c r="AN278" s="63"/>
      <c r="AO278" s="63"/>
      <c r="AP278" s="19"/>
      <c r="AQ278" s="74"/>
      <c r="AR278" s="47"/>
      <c r="AS278" s="135"/>
      <c r="AU278" s="5"/>
      <c r="AV278" s="148"/>
      <c r="AW278" s="41"/>
      <c r="AX278" s="100"/>
      <c r="AY278" s="149"/>
      <c r="AZ278" s="41"/>
      <c r="BA278" s="72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</row>
    <row r="279" spans="1:73">
      <c r="A279" s="42">
        <f t="shared" si="222"/>
        <v>46327</v>
      </c>
      <c r="B279" s="30"/>
      <c r="C279" s="17"/>
      <c r="D279" s="17"/>
      <c r="E279" s="25"/>
      <c r="F279" s="31"/>
      <c r="G279" s="43"/>
      <c r="H279" s="25"/>
      <c r="I279" s="31"/>
      <c r="J279" s="44"/>
      <c r="K279" s="25"/>
      <c r="L279" s="31"/>
      <c r="M279" s="45"/>
      <c r="N279" s="25"/>
      <c r="O279" s="31"/>
      <c r="P279" s="45"/>
      <c r="Q279" s="25"/>
      <c r="R279" s="31"/>
      <c r="S279" s="45"/>
      <c r="T279" s="4"/>
      <c r="U279" s="159"/>
      <c r="V279" s="160"/>
      <c r="W279" s="100"/>
      <c r="X279" s="100"/>
      <c r="Y279" s="158"/>
      <c r="Z279" s="4"/>
      <c r="AA279" s="159"/>
      <c r="AB279" s="160"/>
      <c r="AC279" s="100"/>
      <c r="AD279" s="100"/>
      <c r="AE279" s="158"/>
      <c r="AF279" s="4"/>
      <c r="AG279" s="52"/>
      <c r="AH279" s="4"/>
      <c r="AI279" s="18"/>
      <c r="AJ279" s="46"/>
      <c r="AK279" s="18"/>
      <c r="AL279" s="46"/>
      <c r="AM279" s="62"/>
      <c r="AN279" s="63"/>
      <c r="AO279" s="63"/>
      <c r="AP279" s="19"/>
      <c r="AQ279" s="74"/>
      <c r="AR279" s="47"/>
      <c r="AS279" s="135"/>
      <c r="AU279" s="5"/>
      <c r="AV279" s="148"/>
      <c r="AW279" s="41"/>
      <c r="AX279" s="100"/>
      <c r="AY279" s="149"/>
      <c r="AZ279" s="41"/>
      <c r="BA279" s="72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</row>
    <row r="280" spans="1:73" ht="13.5" thickBot="1">
      <c r="A280" s="42">
        <f t="shared" si="222"/>
        <v>46357</v>
      </c>
      <c r="B280" s="30"/>
      <c r="C280" s="17"/>
      <c r="D280" s="17"/>
      <c r="E280" s="25"/>
      <c r="F280" s="31"/>
      <c r="G280" s="43"/>
      <c r="H280" s="25"/>
      <c r="I280" s="31"/>
      <c r="J280" s="44"/>
      <c r="K280" s="25"/>
      <c r="L280" s="31"/>
      <c r="M280" s="45"/>
      <c r="N280" s="25"/>
      <c r="O280" s="31"/>
      <c r="P280" s="45"/>
      <c r="Q280" s="25"/>
      <c r="R280" s="31"/>
      <c r="S280" s="45"/>
      <c r="T280" s="4"/>
      <c r="U280" s="159"/>
      <c r="V280" s="162"/>
      <c r="W280" s="100"/>
      <c r="X280" s="100"/>
      <c r="Y280" s="163"/>
      <c r="Z280" s="4"/>
      <c r="AA280" s="161"/>
      <c r="AB280" s="162"/>
      <c r="AC280" s="100"/>
      <c r="AD280" s="100"/>
      <c r="AE280" s="163"/>
      <c r="AF280" s="4"/>
      <c r="AG280" s="52"/>
      <c r="AH280" s="4"/>
      <c r="AI280" s="18"/>
      <c r="AJ280" s="46"/>
      <c r="AK280" s="18"/>
      <c r="AL280" s="46"/>
      <c r="AM280" s="62"/>
      <c r="AN280" s="63"/>
      <c r="AO280" s="63"/>
      <c r="AP280" s="19"/>
      <c r="AQ280" s="74"/>
      <c r="AR280" s="47"/>
      <c r="AS280" s="136"/>
      <c r="AU280" s="150"/>
      <c r="AV280" s="6"/>
      <c r="AW280" s="75"/>
      <c r="AX280" s="100"/>
      <c r="AY280" s="151"/>
      <c r="AZ280" s="75"/>
      <c r="BA280" s="152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</row>
    <row r="281" spans="1:73">
      <c r="A281" s="42">
        <f t="shared" si="222"/>
        <v>46388</v>
      </c>
      <c r="B281" s="30"/>
      <c r="C281" s="17"/>
      <c r="D281" s="17"/>
      <c r="E281" s="25"/>
      <c r="F281" s="31"/>
      <c r="G281" s="43"/>
      <c r="H281" s="25"/>
      <c r="I281" s="31"/>
      <c r="J281" s="44"/>
      <c r="K281" s="25"/>
      <c r="L281" s="31"/>
      <c r="M281" s="45"/>
      <c r="N281" s="25"/>
      <c r="O281" s="31"/>
      <c r="P281" s="45"/>
      <c r="Q281" s="25"/>
      <c r="R281" s="31"/>
      <c r="S281" s="45"/>
      <c r="T281" s="4"/>
      <c r="U281" s="45"/>
      <c r="V281" s="4"/>
      <c r="W281" s="25"/>
      <c r="X281" s="25"/>
      <c r="Y281" s="25"/>
      <c r="Z281" s="4"/>
      <c r="AA281" s="45"/>
      <c r="AB281" s="4"/>
      <c r="AC281" s="25"/>
      <c r="AD281" s="25"/>
      <c r="AE281" s="25"/>
      <c r="AF281" s="4"/>
      <c r="AG281" s="52"/>
      <c r="AH281" s="4"/>
      <c r="AI281" s="18"/>
      <c r="AJ281" s="46"/>
      <c r="AK281" s="18"/>
      <c r="AL281" s="46"/>
      <c r="AM281" s="62"/>
      <c r="AN281" s="63"/>
      <c r="AO281" s="63"/>
      <c r="AP281" s="19"/>
      <c r="AQ281" s="64"/>
      <c r="AR281" s="47"/>
      <c r="AS281" s="47"/>
      <c r="AV281" s="22"/>
      <c r="AW281" s="3"/>
      <c r="AX281" s="100">
        <f>VLOOKUP($A281,[1]!CurveTable,MATCH(AX$4,[1]!CurveType,0))</f>
        <v>6.1948083770264201E-2</v>
      </c>
      <c r="AY281" s="23"/>
      <c r="AZ281" s="3"/>
      <c r="BA281" s="3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</row>
    <row r="282" spans="1:73">
      <c r="E282" s="25"/>
      <c r="W282" s="25"/>
      <c r="Y282" s="25"/>
      <c r="AC282" s="25"/>
      <c r="AE282" s="25"/>
      <c r="AI282" s="18"/>
      <c r="AK282" s="18"/>
      <c r="AM282" s="48"/>
      <c r="AN282" s="48"/>
      <c r="AO282" s="48"/>
      <c r="AP282" s="48"/>
      <c r="AQ282" s="48"/>
    </row>
    <row r="283" spans="1:73">
      <c r="E283" s="25"/>
      <c r="W283" s="25"/>
      <c r="Y283" s="25"/>
      <c r="AC283" s="25"/>
      <c r="AE283" s="25"/>
      <c r="AI283" s="18"/>
      <c r="AK283" s="18"/>
      <c r="AM283" s="48"/>
      <c r="AN283" s="48"/>
      <c r="AO283" s="48"/>
      <c r="AP283" s="48"/>
      <c r="AQ283" s="48"/>
    </row>
    <row r="284" spans="1:73">
      <c r="E284" s="25"/>
      <c r="W284" s="25"/>
      <c r="Y284" s="25"/>
      <c r="AC284" s="25"/>
      <c r="AE284" s="25"/>
      <c r="AI284" s="18"/>
      <c r="AK284" s="18"/>
      <c r="AM284" s="48"/>
      <c r="AN284" s="48"/>
      <c r="AO284" s="48"/>
      <c r="AP284" s="48"/>
      <c r="AQ284" s="48"/>
    </row>
    <row r="285" spans="1:73">
      <c r="E285" s="25"/>
      <c r="W285" s="25"/>
      <c r="Y285" s="25"/>
      <c r="AC285" s="25"/>
      <c r="AE285" s="25"/>
      <c r="AI285" s="18"/>
      <c r="AK285" s="18"/>
      <c r="AM285" s="48"/>
      <c r="AN285" s="48"/>
      <c r="AO285" s="48"/>
      <c r="AP285" s="48"/>
      <c r="AQ285" s="48"/>
    </row>
    <row r="286" spans="1:73">
      <c r="E286" s="25"/>
      <c r="W286" s="25"/>
      <c r="Y286" s="25"/>
      <c r="AC286" s="25"/>
      <c r="AE286" s="25"/>
      <c r="AI286" s="18"/>
      <c r="AK286" s="18"/>
      <c r="AM286" s="48"/>
      <c r="AN286" s="48"/>
      <c r="AO286" s="48"/>
      <c r="AP286" s="48"/>
      <c r="AQ286" s="48"/>
    </row>
    <row r="287" spans="1:73">
      <c r="E287" s="25"/>
      <c r="W287" s="25"/>
      <c r="Y287" s="25"/>
      <c r="AC287" s="25"/>
      <c r="AE287" s="25"/>
      <c r="AI287" s="18"/>
      <c r="AK287" s="18"/>
      <c r="AM287" s="48"/>
      <c r="AN287" s="48"/>
      <c r="AO287" s="48"/>
      <c r="AP287" s="48"/>
      <c r="AQ287" s="48"/>
    </row>
    <row r="288" spans="1:73">
      <c r="E288" s="25"/>
      <c r="W288" s="25"/>
      <c r="Y288" s="25"/>
      <c r="AC288" s="25"/>
      <c r="AE288" s="25"/>
      <c r="AI288" s="18"/>
      <c r="AK288" s="18"/>
      <c r="AM288" s="48"/>
      <c r="AN288" s="48"/>
      <c r="AO288" s="48"/>
      <c r="AP288" s="48"/>
      <c r="AQ288" s="48"/>
    </row>
    <row r="289" spans="5:43">
      <c r="E289" s="25"/>
      <c r="W289" s="25"/>
      <c r="Y289" s="25"/>
      <c r="AC289" s="25"/>
      <c r="AE289" s="25"/>
      <c r="AI289" s="18"/>
      <c r="AK289" s="18"/>
      <c r="AM289" s="48"/>
      <c r="AN289" s="48"/>
      <c r="AO289" s="48"/>
      <c r="AP289" s="48"/>
      <c r="AQ289" s="48"/>
    </row>
    <row r="290" spans="5:43">
      <c r="E290" s="25"/>
      <c r="W290" s="25"/>
      <c r="Y290" s="25"/>
      <c r="AC290" s="25"/>
      <c r="AE290" s="25"/>
      <c r="AI290" s="18"/>
      <c r="AK290" s="18"/>
      <c r="AM290" s="48"/>
      <c r="AN290" s="48"/>
      <c r="AO290" s="48"/>
      <c r="AP290" s="48"/>
      <c r="AQ290" s="48"/>
    </row>
    <row r="291" spans="5:43">
      <c r="E291" s="25"/>
      <c r="W291" s="25"/>
      <c r="Y291" s="25"/>
      <c r="AC291" s="25"/>
      <c r="AE291" s="25"/>
      <c r="AI291" s="18"/>
      <c r="AK291" s="18"/>
      <c r="AM291" s="48"/>
      <c r="AN291" s="48"/>
      <c r="AO291" s="48"/>
      <c r="AP291" s="48"/>
      <c r="AQ291" s="48"/>
    </row>
    <row r="292" spans="5:43">
      <c r="E292" s="25"/>
      <c r="W292" s="25"/>
      <c r="Y292" s="25"/>
      <c r="AC292" s="25"/>
      <c r="AE292" s="25"/>
      <c r="AI292" s="18"/>
      <c r="AK292" s="18"/>
      <c r="AM292" s="48"/>
      <c r="AN292" s="48"/>
      <c r="AO292" s="48"/>
      <c r="AP292" s="48"/>
      <c r="AQ292" s="48"/>
    </row>
    <row r="293" spans="5:43">
      <c r="E293" s="25"/>
      <c r="W293" s="25"/>
      <c r="Y293" s="25"/>
      <c r="AC293" s="25"/>
      <c r="AE293" s="25"/>
      <c r="AI293" s="18"/>
      <c r="AK293" s="18"/>
      <c r="AM293" s="48"/>
      <c r="AN293" s="48"/>
      <c r="AO293" s="48"/>
      <c r="AP293" s="48"/>
      <c r="AQ293" s="48"/>
    </row>
    <row r="294" spans="5:43">
      <c r="E294" s="25"/>
      <c r="W294" s="25"/>
      <c r="Y294" s="25"/>
      <c r="AC294" s="25"/>
      <c r="AE294" s="25"/>
      <c r="AI294" s="18"/>
      <c r="AK294" s="18"/>
      <c r="AM294" s="48"/>
      <c r="AN294" s="48"/>
      <c r="AO294" s="48"/>
      <c r="AP294" s="48"/>
      <c r="AQ294" s="48"/>
    </row>
    <row r="295" spans="5:43">
      <c r="E295" s="25"/>
      <c r="W295" s="25"/>
      <c r="Y295" s="25"/>
      <c r="AC295" s="25"/>
      <c r="AE295" s="25"/>
      <c r="AI295" s="18"/>
      <c r="AK295" s="18"/>
      <c r="AM295" s="48"/>
      <c r="AN295" s="48"/>
      <c r="AO295" s="48"/>
      <c r="AP295" s="48"/>
      <c r="AQ295" s="48"/>
    </row>
    <row r="296" spans="5:43">
      <c r="E296" s="25"/>
      <c r="W296" s="25"/>
      <c r="Y296" s="25"/>
      <c r="AC296" s="25"/>
      <c r="AE296" s="25"/>
      <c r="AI296" s="18"/>
      <c r="AK296" s="18"/>
      <c r="AM296" s="48"/>
      <c r="AN296" s="48"/>
      <c r="AO296" s="48"/>
      <c r="AP296" s="48"/>
      <c r="AQ296" s="48"/>
    </row>
    <row r="297" spans="5:43">
      <c r="E297" s="25"/>
      <c r="W297" s="25"/>
      <c r="Y297" s="25"/>
      <c r="AC297" s="25"/>
      <c r="AE297" s="25"/>
      <c r="AI297" s="18"/>
      <c r="AK297" s="18"/>
      <c r="AM297" s="48"/>
      <c r="AN297" s="48"/>
      <c r="AO297" s="48"/>
      <c r="AP297" s="48"/>
      <c r="AQ297" s="48"/>
    </row>
    <row r="298" spans="5:43">
      <c r="E298" s="25"/>
      <c r="W298" s="25"/>
      <c r="Y298" s="25"/>
      <c r="AC298" s="25"/>
      <c r="AE298" s="25"/>
      <c r="AI298" s="18"/>
      <c r="AK298" s="18"/>
      <c r="AM298" s="48"/>
      <c r="AN298" s="48"/>
      <c r="AO298" s="48"/>
      <c r="AP298" s="48"/>
      <c r="AQ298" s="48"/>
    </row>
    <row r="299" spans="5:43">
      <c r="E299" s="25"/>
      <c r="W299" s="25"/>
      <c r="Y299" s="25"/>
      <c r="AC299" s="25"/>
      <c r="AE299" s="25"/>
      <c r="AI299" s="18"/>
      <c r="AK299" s="18"/>
      <c r="AM299" s="48"/>
      <c r="AN299" s="48"/>
      <c r="AO299" s="48"/>
      <c r="AP299" s="48"/>
      <c r="AQ299" s="48"/>
    </row>
    <row r="300" spans="5:43">
      <c r="E300" s="25"/>
      <c r="W300" s="25"/>
      <c r="Y300" s="25"/>
      <c r="AC300" s="25"/>
      <c r="AE300" s="25"/>
      <c r="AI300" s="18"/>
      <c r="AK300" s="18"/>
      <c r="AM300" s="48"/>
      <c r="AN300" s="48"/>
      <c r="AO300" s="48"/>
      <c r="AP300" s="48"/>
      <c r="AQ300" s="48"/>
    </row>
    <row r="301" spans="5:43">
      <c r="E301" s="25"/>
      <c r="W301" s="25"/>
      <c r="Y301" s="25"/>
      <c r="AC301" s="25"/>
      <c r="AE301" s="25"/>
      <c r="AI301" s="18"/>
      <c r="AK301" s="18"/>
      <c r="AM301" s="48"/>
      <c r="AN301" s="48"/>
      <c r="AO301" s="48"/>
      <c r="AP301" s="48"/>
      <c r="AQ301" s="48"/>
    </row>
    <row r="302" spans="5:43">
      <c r="E302" s="25"/>
      <c r="W302" s="25"/>
      <c r="Y302" s="25"/>
      <c r="AC302" s="25"/>
      <c r="AE302" s="25"/>
      <c r="AI302" s="18"/>
      <c r="AK302" s="18"/>
      <c r="AM302" s="48"/>
      <c r="AN302" s="48"/>
      <c r="AO302" s="48"/>
      <c r="AP302" s="48"/>
      <c r="AQ302" s="48"/>
    </row>
    <row r="303" spans="5:43">
      <c r="E303" s="25"/>
      <c r="W303" s="25"/>
      <c r="Y303" s="25"/>
      <c r="AC303" s="25"/>
      <c r="AE303" s="25"/>
      <c r="AI303" s="18"/>
      <c r="AK303" s="18"/>
      <c r="AM303" s="48"/>
      <c r="AN303" s="48"/>
      <c r="AO303" s="48"/>
      <c r="AP303" s="48"/>
      <c r="AQ303" s="48"/>
    </row>
    <row r="304" spans="5:43">
      <c r="E304" s="25"/>
      <c r="W304" s="25"/>
      <c r="Y304" s="25"/>
      <c r="AC304" s="25"/>
      <c r="AE304" s="25"/>
      <c r="AI304" s="18"/>
      <c r="AM304" s="48"/>
      <c r="AN304" s="48"/>
      <c r="AO304" s="48"/>
      <c r="AP304" s="48"/>
      <c r="AQ304" s="48"/>
    </row>
    <row r="305" spans="5:43">
      <c r="E305" s="25"/>
      <c r="W305" s="25"/>
      <c r="Y305" s="25"/>
      <c r="AC305" s="25"/>
      <c r="AE305" s="25"/>
      <c r="AI305" s="18"/>
      <c r="AM305" s="48"/>
      <c r="AN305" s="48"/>
      <c r="AO305" s="48"/>
      <c r="AP305" s="48"/>
      <c r="AQ305" s="48"/>
    </row>
    <row r="306" spans="5:43">
      <c r="E306" s="25"/>
      <c r="W306" s="25"/>
      <c r="Y306" s="25"/>
      <c r="AC306" s="25"/>
      <c r="AE306" s="25"/>
      <c r="AI306" s="18"/>
      <c r="AM306" s="48"/>
      <c r="AN306" s="48"/>
      <c r="AO306" s="48"/>
      <c r="AP306" s="48"/>
      <c r="AQ306" s="48"/>
    </row>
    <row r="307" spans="5:43">
      <c r="E307" s="25"/>
      <c r="W307" s="25"/>
      <c r="Y307" s="25"/>
      <c r="AC307" s="25"/>
      <c r="AE307" s="25"/>
      <c r="AM307" s="48"/>
      <c r="AN307" s="48"/>
      <c r="AO307" s="48"/>
      <c r="AP307" s="48"/>
      <c r="AQ307" s="48"/>
    </row>
    <row r="308" spans="5:43">
      <c r="E308" s="25"/>
      <c r="W308" s="25"/>
      <c r="Y308" s="25"/>
      <c r="AC308" s="25"/>
      <c r="AE308" s="25"/>
      <c r="AM308" s="48"/>
      <c r="AN308" s="48"/>
      <c r="AO308" s="48"/>
      <c r="AP308" s="48"/>
      <c r="AQ308" s="48"/>
    </row>
    <row r="309" spans="5:43">
      <c r="E309" s="25"/>
      <c r="W309" s="25"/>
      <c r="Y309" s="25"/>
      <c r="AC309" s="25"/>
      <c r="AE309" s="25"/>
      <c r="AM309" s="48"/>
      <c r="AN309" s="48"/>
      <c r="AO309" s="48"/>
      <c r="AP309" s="48"/>
      <c r="AQ309" s="48"/>
    </row>
    <row r="310" spans="5:43">
      <c r="E310" s="25"/>
      <c r="W310" s="25"/>
      <c r="Y310" s="25"/>
      <c r="AC310" s="25"/>
      <c r="AE310" s="25"/>
      <c r="AM310" s="48"/>
      <c r="AN310" s="48"/>
      <c r="AO310" s="48"/>
      <c r="AP310" s="48"/>
      <c r="AQ310" s="48"/>
    </row>
    <row r="311" spans="5:43">
      <c r="E311" s="25"/>
      <c r="W311" s="25"/>
      <c r="Y311" s="25"/>
      <c r="AC311" s="25"/>
      <c r="AE311" s="25"/>
      <c r="AM311" s="48"/>
      <c r="AN311" s="48"/>
      <c r="AO311" s="48"/>
      <c r="AP311" s="48"/>
      <c r="AQ311" s="48"/>
    </row>
    <row r="312" spans="5:43">
      <c r="E312" s="25"/>
      <c r="W312" s="25"/>
      <c r="Y312" s="25"/>
      <c r="AC312" s="25"/>
      <c r="AE312" s="25"/>
      <c r="AM312" s="48"/>
      <c r="AN312" s="48"/>
      <c r="AO312" s="48"/>
      <c r="AP312" s="48"/>
      <c r="AQ312" s="48"/>
    </row>
    <row r="313" spans="5:43">
      <c r="E313" s="25"/>
      <c r="W313" s="25"/>
      <c r="Y313" s="25"/>
      <c r="AC313" s="25"/>
      <c r="AE313" s="25"/>
      <c r="AM313" s="49"/>
      <c r="AN313" s="49"/>
      <c r="AO313" s="49"/>
      <c r="AP313" s="49"/>
      <c r="AQ313" s="49"/>
    </row>
    <row r="314" spans="5:43">
      <c r="E314" s="25"/>
      <c r="W314" s="25"/>
      <c r="Y314" s="25"/>
      <c r="AC314" s="25"/>
      <c r="AE314" s="25"/>
      <c r="AM314" s="49"/>
      <c r="AN314" s="49"/>
      <c r="AO314" s="49"/>
      <c r="AP314" s="49"/>
      <c r="AQ314" s="49"/>
    </row>
    <row r="315" spans="5:43">
      <c r="E315" s="25"/>
      <c r="W315" s="25"/>
      <c r="Y315" s="25"/>
      <c r="AC315" s="25"/>
      <c r="AE315" s="25"/>
      <c r="AM315" s="49"/>
      <c r="AN315" s="49"/>
      <c r="AO315" s="49"/>
      <c r="AP315" s="49"/>
      <c r="AQ315" s="49"/>
    </row>
    <row r="316" spans="5:43">
      <c r="E316" s="25"/>
      <c r="W316" s="25"/>
      <c r="Y316" s="25"/>
      <c r="AC316" s="25"/>
      <c r="AE316" s="25"/>
      <c r="AM316" s="49"/>
      <c r="AN316" s="49"/>
      <c r="AO316" s="49"/>
      <c r="AP316" s="49"/>
      <c r="AQ316" s="49"/>
    </row>
    <row r="317" spans="5:43">
      <c r="E317" s="25"/>
      <c r="W317" s="25"/>
      <c r="Y317" s="25"/>
      <c r="AC317" s="25"/>
      <c r="AE317" s="25"/>
      <c r="AM317" s="49"/>
      <c r="AN317" s="49"/>
      <c r="AO317" s="49"/>
      <c r="AP317" s="49"/>
      <c r="AQ317" s="49"/>
    </row>
    <row r="318" spans="5:43">
      <c r="E318" s="25"/>
      <c r="W318" s="25"/>
      <c r="Y318" s="25"/>
      <c r="AC318" s="25"/>
      <c r="AE318" s="25"/>
      <c r="AM318" s="49"/>
      <c r="AN318" s="49"/>
      <c r="AO318" s="49"/>
      <c r="AP318" s="49"/>
      <c r="AQ318" s="49"/>
    </row>
    <row r="319" spans="5:43">
      <c r="E319" s="25"/>
      <c r="W319" s="25"/>
      <c r="Y319" s="25"/>
      <c r="AC319" s="25"/>
      <c r="AE319" s="25"/>
      <c r="AM319" s="49"/>
      <c r="AN319" s="49"/>
      <c r="AO319" s="49"/>
      <c r="AP319" s="49"/>
      <c r="AQ319" s="49"/>
    </row>
    <row r="320" spans="5:43">
      <c r="E320" s="25"/>
      <c r="W320" s="25"/>
      <c r="Y320" s="25"/>
      <c r="AC320" s="25"/>
      <c r="AE320" s="25"/>
      <c r="AM320" s="49"/>
      <c r="AN320" s="49"/>
      <c r="AO320" s="49"/>
      <c r="AP320" s="49"/>
      <c r="AQ320" s="49"/>
    </row>
    <row r="321" spans="5:43">
      <c r="E321" s="25"/>
      <c r="W321" s="25"/>
      <c r="Y321" s="25"/>
      <c r="AC321" s="25"/>
      <c r="AE321" s="25"/>
      <c r="AM321" s="49"/>
      <c r="AN321" s="49"/>
      <c r="AO321" s="49"/>
      <c r="AP321" s="49"/>
      <c r="AQ321" s="49"/>
    </row>
    <row r="322" spans="5:43">
      <c r="E322" s="25"/>
      <c r="W322" s="25"/>
      <c r="Y322" s="25"/>
      <c r="AC322" s="25"/>
      <c r="AE322" s="25"/>
      <c r="AM322" s="49"/>
      <c r="AN322" s="49"/>
      <c r="AO322" s="49"/>
      <c r="AP322" s="49"/>
      <c r="AQ322" s="49"/>
    </row>
    <row r="323" spans="5:43">
      <c r="E323" s="25"/>
      <c r="W323" s="25"/>
      <c r="Y323" s="25"/>
      <c r="AC323" s="25"/>
      <c r="AE323" s="25"/>
      <c r="AM323" s="49"/>
      <c r="AN323" s="49"/>
      <c r="AO323" s="49"/>
      <c r="AP323" s="49"/>
      <c r="AQ323" s="49"/>
    </row>
    <row r="324" spans="5:43">
      <c r="E324" s="25"/>
      <c r="W324" s="25"/>
      <c r="Y324" s="25"/>
      <c r="AC324" s="25"/>
      <c r="AE324" s="25"/>
      <c r="AM324" s="49"/>
      <c r="AN324" s="49"/>
      <c r="AO324" s="49"/>
      <c r="AP324" s="49"/>
      <c r="AQ324" s="49"/>
    </row>
    <row r="325" spans="5:43">
      <c r="E325" s="25"/>
      <c r="W325" s="25"/>
      <c r="Y325" s="25"/>
      <c r="AC325" s="25"/>
      <c r="AE325" s="25"/>
      <c r="AM325" s="49"/>
      <c r="AN325" s="49"/>
      <c r="AO325" s="49"/>
      <c r="AP325" s="49"/>
      <c r="AQ325" s="49"/>
    </row>
    <row r="326" spans="5:43">
      <c r="E326" s="25"/>
      <c r="W326" s="25"/>
      <c r="Y326" s="25"/>
      <c r="AC326" s="25"/>
      <c r="AE326" s="25"/>
      <c r="AM326" s="49"/>
      <c r="AN326" s="49"/>
      <c r="AO326" s="49"/>
      <c r="AP326" s="49"/>
      <c r="AQ326" s="49"/>
    </row>
    <row r="327" spans="5:43">
      <c r="E327" s="25"/>
      <c r="W327" s="25"/>
      <c r="Y327" s="25"/>
      <c r="AC327" s="25"/>
      <c r="AE327" s="25"/>
      <c r="AM327" s="49"/>
      <c r="AN327" s="49"/>
      <c r="AO327" s="49"/>
      <c r="AP327" s="49"/>
      <c r="AQ327" s="49"/>
    </row>
    <row r="328" spans="5:43">
      <c r="E328" s="25"/>
      <c r="W328" s="25"/>
      <c r="Y328" s="25"/>
      <c r="AC328" s="25"/>
      <c r="AE328" s="25"/>
      <c r="AM328" s="49"/>
      <c r="AN328" s="49"/>
      <c r="AO328" s="49"/>
      <c r="AP328" s="49"/>
      <c r="AQ328" s="49"/>
    </row>
    <row r="329" spans="5:43">
      <c r="E329" s="25"/>
      <c r="W329" s="25"/>
      <c r="Y329" s="25"/>
      <c r="AC329" s="25"/>
      <c r="AE329" s="25"/>
      <c r="AM329" s="49"/>
      <c r="AN329" s="49"/>
      <c r="AO329" s="49"/>
      <c r="AP329" s="49"/>
      <c r="AQ329" s="49"/>
    </row>
    <row r="330" spans="5:43">
      <c r="E330" s="25"/>
      <c r="W330" s="25"/>
      <c r="Y330" s="25"/>
      <c r="AC330" s="25"/>
      <c r="AE330" s="25"/>
      <c r="AM330" s="49"/>
      <c r="AN330" s="49"/>
      <c r="AO330" s="49"/>
      <c r="AP330" s="49"/>
      <c r="AQ330" s="49"/>
    </row>
    <row r="331" spans="5:43">
      <c r="E331" s="25"/>
      <c r="W331" s="25"/>
      <c r="Y331" s="25"/>
      <c r="AC331" s="25"/>
      <c r="AE331" s="25"/>
      <c r="AM331" s="49"/>
      <c r="AN331" s="49"/>
      <c r="AO331" s="49"/>
      <c r="AP331" s="49"/>
      <c r="AQ331" s="49"/>
    </row>
    <row r="332" spans="5:43">
      <c r="E332" s="25"/>
      <c r="W332" s="25"/>
      <c r="Y332" s="25"/>
      <c r="AC332" s="25"/>
      <c r="AE332" s="25"/>
      <c r="AM332" s="49"/>
      <c r="AN332" s="49"/>
      <c r="AO332" s="49"/>
      <c r="AP332" s="49"/>
      <c r="AQ332" s="49"/>
    </row>
    <row r="333" spans="5:43">
      <c r="E333" s="25"/>
      <c r="W333" s="25"/>
      <c r="Y333" s="25"/>
      <c r="AC333" s="25"/>
      <c r="AE333" s="25"/>
      <c r="AM333" s="49"/>
      <c r="AN333" s="49"/>
      <c r="AO333" s="49"/>
      <c r="AP333" s="49"/>
      <c r="AQ333" s="49"/>
    </row>
    <row r="334" spans="5:43">
      <c r="E334" s="25"/>
      <c r="W334" s="25"/>
      <c r="Y334" s="25"/>
      <c r="AC334" s="25"/>
      <c r="AE334" s="25"/>
      <c r="AM334" s="49"/>
      <c r="AN334" s="49"/>
      <c r="AO334" s="49"/>
      <c r="AP334" s="49"/>
      <c r="AQ334" s="49"/>
    </row>
    <row r="335" spans="5:43">
      <c r="E335" s="25"/>
      <c r="W335" s="25"/>
      <c r="Y335" s="25"/>
      <c r="AC335" s="25"/>
      <c r="AE335" s="25"/>
      <c r="AM335" s="49"/>
      <c r="AN335" s="49"/>
      <c r="AO335" s="49"/>
      <c r="AP335" s="49"/>
      <c r="AQ335" s="49"/>
    </row>
    <row r="336" spans="5:43">
      <c r="E336" s="25"/>
      <c r="W336" s="25"/>
      <c r="Y336" s="25"/>
      <c r="AC336" s="25"/>
      <c r="AE336" s="25"/>
      <c r="AM336" s="49"/>
      <c r="AN336" s="49"/>
      <c r="AO336" s="49"/>
      <c r="AP336" s="49"/>
      <c r="AQ336" s="49"/>
    </row>
    <row r="337" spans="5:43">
      <c r="E337" s="25"/>
      <c r="W337" s="25"/>
      <c r="Y337" s="25"/>
      <c r="AC337" s="25"/>
      <c r="AE337" s="25"/>
      <c r="AM337" s="49"/>
      <c r="AN337" s="49"/>
      <c r="AO337" s="49"/>
      <c r="AP337" s="49"/>
      <c r="AQ337" s="49"/>
    </row>
    <row r="338" spans="5:43">
      <c r="E338" s="25"/>
      <c r="W338" s="25"/>
      <c r="Y338" s="25"/>
      <c r="AC338" s="25"/>
      <c r="AE338" s="25"/>
      <c r="AM338" s="49"/>
      <c r="AN338" s="49"/>
      <c r="AO338" s="49"/>
      <c r="AP338" s="49"/>
      <c r="AQ338" s="49"/>
    </row>
    <row r="339" spans="5:43">
      <c r="E339" s="25"/>
      <c r="W339" s="25"/>
      <c r="Y339" s="25"/>
      <c r="AC339" s="25"/>
      <c r="AE339" s="25"/>
      <c r="AM339" s="49"/>
      <c r="AN339" s="49"/>
      <c r="AO339" s="49"/>
      <c r="AP339" s="49"/>
      <c r="AQ339" s="49"/>
    </row>
    <row r="340" spans="5:43">
      <c r="E340" s="25"/>
      <c r="W340" s="25"/>
      <c r="Y340" s="25"/>
      <c r="AC340" s="25"/>
      <c r="AE340" s="25"/>
      <c r="AM340" s="49"/>
      <c r="AN340" s="49"/>
      <c r="AO340" s="49"/>
      <c r="AP340" s="49"/>
      <c r="AQ340" s="49"/>
    </row>
    <row r="341" spans="5:43">
      <c r="E341" s="25"/>
      <c r="W341" s="25"/>
      <c r="Y341" s="25"/>
      <c r="AC341" s="25"/>
      <c r="AE341" s="25"/>
      <c r="AM341" s="49"/>
      <c r="AN341" s="49"/>
      <c r="AO341" s="49"/>
      <c r="AP341" s="49"/>
      <c r="AQ341" s="49"/>
    </row>
    <row r="342" spans="5:43">
      <c r="E342" s="25"/>
      <c r="W342" s="25"/>
      <c r="Y342" s="25"/>
      <c r="AC342" s="25"/>
      <c r="AE342" s="25"/>
      <c r="AM342" s="49"/>
      <c r="AN342" s="49"/>
      <c r="AO342" s="49"/>
      <c r="AP342" s="49"/>
      <c r="AQ342" s="49"/>
    </row>
    <row r="343" spans="5:43">
      <c r="E343" s="25"/>
      <c r="W343" s="25"/>
      <c r="Y343" s="25"/>
      <c r="AC343" s="25"/>
      <c r="AE343" s="25"/>
      <c r="AM343" s="49"/>
      <c r="AN343" s="49"/>
      <c r="AO343" s="49"/>
      <c r="AP343" s="49"/>
      <c r="AQ343" s="49"/>
    </row>
    <row r="344" spans="5:43">
      <c r="E344" s="25"/>
      <c r="W344" s="25"/>
      <c r="Y344" s="25"/>
      <c r="AC344" s="25"/>
      <c r="AE344" s="25"/>
      <c r="AM344" s="49"/>
      <c r="AN344" s="49"/>
      <c r="AO344" s="49"/>
      <c r="AP344" s="49"/>
      <c r="AQ344" s="49"/>
    </row>
    <row r="345" spans="5:43">
      <c r="E345" s="25"/>
      <c r="W345" s="25"/>
      <c r="Y345" s="25"/>
      <c r="AC345" s="25"/>
      <c r="AE345" s="25"/>
      <c r="AM345" s="49"/>
      <c r="AN345" s="49"/>
      <c r="AO345" s="49"/>
      <c r="AP345" s="49"/>
      <c r="AQ345" s="49"/>
    </row>
    <row r="346" spans="5:43">
      <c r="E346" s="25"/>
      <c r="W346" s="25"/>
      <c r="Y346" s="25"/>
      <c r="AC346" s="25"/>
      <c r="AE346" s="25"/>
      <c r="AM346" s="49"/>
      <c r="AN346" s="49"/>
      <c r="AO346" s="49"/>
      <c r="AP346" s="49"/>
      <c r="AQ346" s="49"/>
    </row>
    <row r="347" spans="5:43">
      <c r="E347" s="25"/>
      <c r="W347" s="25"/>
      <c r="Y347" s="25"/>
      <c r="AC347" s="25"/>
      <c r="AE347" s="25"/>
      <c r="AM347" s="49"/>
      <c r="AN347" s="49"/>
      <c r="AO347" s="49"/>
      <c r="AP347" s="49"/>
      <c r="AQ347" s="49"/>
    </row>
    <row r="348" spans="5:43">
      <c r="E348" s="25"/>
      <c r="W348" s="25"/>
      <c r="Y348" s="25"/>
      <c r="AC348" s="25"/>
      <c r="AE348" s="25"/>
      <c r="AM348" s="49"/>
      <c r="AN348" s="49"/>
      <c r="AO348" s="49"/>
      <c r="AP348" s="49"/>
      <c r="AQ348" s="49"/>
    </row>
    <row r="349" spans="5:43">
      <c r="E349" s="25"/>
      <c r="W349" s="25"/>
      <c r="Y349" s="25"/>
      <c r="AC349" s="25"/>
      <c r="AE349" s="25"/>
      <c r="AM349" s="49"/>
      <c r="AN349" s="49"/>
      <c r="AO349" s="49"/>
      <c r="AP349" s="49"/>
      <c r="AQ349" s="49"/>
    </row>
    <row r="350" spans="5:43">
      <c r="E350" s="25"/>
      <c r="W350" s="25"/>
      <c r="Y350" s="25"/>
      <c r="AC350" s="25"/>
      <c r="AE350" s="25"/>
      <c r="AM350" s="49"/>
      <c r="AN350" s="49"/>
      <c r="AO350" s="49"/>
      <c r="AP350" s="49"/>
      <c r="AQ350" s="49"/>
    </row>
    <row r="351" spans="5:43">
      <c r="E351" s="25"/>
      <c r="W351" s="25"/>
      <c r="Y351" s="25"/>
      <c r="AC351" s="25"/>
      <c r="AE351" s="25"/>
      <c r="AM351" s="49"/>
      <c r="AN351" s="49"/>
      <c r="AO351" s="49"/>
      <c r="AP351" s="49"/>
      <c r="AQ351" s="49"/>
    </row>
    <row r="352" spans="5:43">
      <c r="E352" s="25"/>
      <c r="W352" s="25"/>
      <c r="Y352" s="25"/>
      <c r="AC352" s="25"/>
      <c r="AE352" s="25"/>
      <c r="AM352" s="49"/>
      <c r="AN352" s="49"/>
      <c r="AO352" s="49"/>
      <c r="AP352" s="49"/>
      <c r="AQ352" s="49"/>
    </row>
    <row r="353" spans="5:43">
      <c r="E353" s="25"/>
      <c r="W353" s="25"/>
      <c r="Y353" s="25"/>
      <c r="AC353" s="25"/>
      <c r="AE353" s="25"/>
      <c r="AM353" s="49"/>
      <c r="AN353" s="49"/>
      <c r="AO353" s="49"/>
      <c r="AP353" s="49"/>
      <c r="AQ353" s="49"/>
    </row>
    <row r="354" spans="5:43">
      <c r="E354" s="25"/>
      <c r="W354" s="25"/>
      <c r="Y354" s="25"/>
      <c r="AC354" s="25"/>
      <c r="AE354" s="25"/>
      <c r="AM354" s="49"/>
      <c r="AN354" s="49"/>
      <c r="AO354" s="49"/>
      <c r="AP354" s="49"/>
      <c r="AQ354" s="49"/>
    </row>
    <row r="355" spans="5:43">
      <c r="E355" s="25"/>
      <c r="W355" s="25"/>
      <c r="Y355" s="25"/>
      <c r="AC355" s="25"/>
      <c r="AE355" s="25"/>
      <c r="AM355" s="49"/>
      <c r="AN355" s="49"/>
      <c r="AO355" s="49"/>
      <c r="AP355" s="49"/>
      <c r="AQ355" s="49"/>
    </row>
    <row r="356" spans="5:43">
      <c r="E356" s="25"/>
      <c r="W356" s="25"/>
      <c r="Y356" s="25"/>
      <c r="AC356" s="25"/>
      <c r="AE356" s="25"/>
      <c r="AM356" s="49"/>
      <c r="AN356" s="49"/>
      <c r="AO356" s="49"/>
      <c r="AP356" s="49"/>
      <c r="AQ356" s="49"/>
    </row>
    <row r="357" spans="5:43">
      <c r="E357" s="25"/>
      <c r="W357" s="25"/>
      <c r="Y357" s="25"/>
      <c r="AC357" s="25"/>
      <c r="AE357" s="25"/>
      <c r="AM357" s="49"/>
      <c r="AN357" s="49"/>
      <c r="AO357" s="49"/>
      <c r="AP357" s="49"/>
      <c r="AQ357" s="49"/>
    </row>
    <row r="358" spans="5:43">
      <c r="E358" s="25"/>
      <c r="W358" s="25"/>
      <c r="Y358" s="25"/>
      <c r="AC358" s="25"/>
      <c r="AE358" s="25"/>
      <c r="AM358" s="49"/>
      <c r="AN358" s="49"/>
      <c r="AO358" s="49"/>
      <c r="AP358" s="49"/>
      <c r="AQ358" s="49"/>
    </row>
    <row r="359" spans="5:43">
      <c r="E359" s="25"/>
      <c r="W359" s="25"/>
      <c r="Y359" s="25"/>
      <c r="AC359" s="25"/>
      <c r="AE359" s="25"/>
      <c r="AM359" s="49"/>
      <c r="AN359" s="49"/>
      <c r="AO359" s="49"/>
      <c r="AP359" s="49"/>
      <c r="AQ359" s="49"/>
    </row>
    <row r="360" spans="5:43">
      <c r="E360" s="25"/>
      <c r="W360" s="25"/>
      <c r="Y360" s="25"/>
      <c r="AC360" s="25"/>
      <c r="AE360" s="25"/>
      <c r="AM360" s="49"/>
      <c r="AN360" s="49"/>
      <c r="AO360" s="49"/>
      <c r="AP360" s="49"/>
      <c r="AQ360" s="49"/>
    </row>
    <row r="361" spans="5:43">
      <c r="E361" s="25"/>
      <c r="W361" s="25"/>
      <c r="Y361" s="25"/>
      <c r="AC361" s="25"/>
      <c r="AE361" s="25"/>
      <c r="AM361" s="49"/>
      <c r="AN361" s="49"/>
      <c r="AO361" s="49"/>
      <c r="AP361" s="49"/>
      <c r="AQ361" s="49"/>
    </row>
    <row r="362" spans="5:43">
      <c r="E362" s="25"/>
      <c r="W362" s="25"/>
      <c r="Y362" s="25"/>
      <c r="AC362" s="25"/>
      <c r="AE362" s="25"/>
      <c r="AM362" s="49"/>
      <c r="AN362" s="49"/>
      <c r="AO362" s="49"/>
      <c r="AP362" s="49"/>
      <c r="AQ362" s="49"/>
    </row>
    <row r="363" spans="5:43">
      <c r="E363" s="25"/>
      <c r="W363" s="25"/>
      <c r="Y363" s="25"/>
      <c r="AC363" s="25"/>
      <c r="AE363" s="25"/>
      <c r="AM363" s="49"/>
      <c r="AN363" s="49"/>
      <c r="AO363" s="49"/>
      <c r="AP363" s="49"/>
      <c r="AQ363" s="49"/>
    </row>
    <row r="364" spans="5:43">
      <c r="E364" s="25"/>
      <c r="W364" s="25"/>
      <c r="Y364" s="25"/>
      <c r="AC364" s="25"/>
      <c r="AE364" s="25"/>
      <c r="AM364" s="49"/>
      <c r="AN364" s="49"/>
      <c r="AO364" s="49"/>
      <c r="AP364" s="49"/>
      <c r="AQ364" s="49"/>
    </row>
    <row r="365" spans="5:43">
      <c r="E365" s="25"/>
      <c r="W365" s="25"/>
      <c r="Y365" s="25"/>
      <c r="AC365" s="25"/>
      <c r="AE365" s="25"/>
      <c r="AM365" s="49"/>
      <c r="AN365" s="49"/>
      <c r="AO365" s="49"/>
      <c r="AP365" s="49"/>
      <c r="AQ365" s="49"/>
    </row>
    <row r="366" spans="5:43">
      <c r="E366" s="25"/>
      <c r="W366" s="25"/>
      <c r="Y366" s="25"/>
      <c r="AC366" s="25"/>
      <c r="AE366" s="25"/>
      <c r="AM366" s="49"/>
      <c r="AN366" s="49"/>
      <c r="AO366" s="49"/>
      <c r="AP366" s="49"/>
      <c r="AQ366" s="49"/>
    </row>
    <row r="367" spans="5:43">
      <c r="E367" s="25"/>
      <c r="W367" s="25"/>
      <c r="Y367" s="25"/>
      <c r="AC367" s="25"/>
      <c r="AE367" s="25"/>
      <c r="AM367" s="49"/>
      <c r="AN367" s="49"/>
      <c r="AO367" s="49"/>
      <c r="AP367" s="49"/>
      <c r="AQ367" s="49"/>
    </row>
    <row r="368" spans="5:43">
      <c r="E368" s="25"/>
      <c r="W368" s="25"/>
      <c r="Y368" s="25"/>
      <c r="AC368" s="25"/>
      <c r="AE368" s="25"/>
      <c r="AM368" s="49"/>
      <c r="AN368" s="49"/>
      <c r="AO368" s="49"/>
      <c r="AP368" s="49"/>
      <c r="AQ368" s="49"/>
    </row>
    <row r="369" spans="5:43">
      <c r="E369" s="25"/>
      <c r="W369" s="25"/>
      <c r="Y369" s="25"/>
      <c r="AC369" s="25"/>
      <c r="AE369" s="25"/>
      <c r="AM369" s="49"/>
      <c r="AN369" s="49"/>
      <c r="AO369" s="49"/>
      <c r="AP369" s="49"/>
      <c r="AQ369" s="49"/>
    </row>
    <row r="370" spans="5:43">
      <c r="E370" s="25"/>
      <c r="W370" s="25"/>
      <c r="Y370" s="25"/>
      <c r="AC370" s="25"/>
      <c r="AE370" s="25"/>
      <c r="AM370" s="49"/>
      <c r="AN370" s="49"/>
      <c r="AO370" s="49"/>
      <c r="AP370" s="49"/>
      <c r="AQ370" s="49"/>
    </row>
    <row r="371" spans="5:43">
      <c r="E371" s="25"/>
      <c r="W371" s="25"/>
      <c r="Y371" s="25"/>
      <c r="AC371" s="25"/>
      <c r="AE371" s="25"/>
      <c r="AM371" s="49"/>
      <c r="AN371" s="49"/>
      <c r="AO371" s="49"/>
      <c r="AP371" s="49"/>
      <c r="AQ371" s="49"/>
    </row>
    <row r="372" spans="5:43">
      <c r="E372" s="25"/>
      <c r="W372" s="25"/>
      <c r="Y372" s="25"/>
      <c r="AC372" s="25"/>
      <c r="AE372" s="25"/>
      <c r="AM372" s="49"/>
      <c r="AN372" s="49"/>
      <c r="AO372" s="49"/>
      <c r="AP372" s="49"/>
      <c r="AQ372" s="49"/>
    </row>
    <row r="373" spans="5:43">
      <c r="E373" s="25"/>
      <c r="W373" s="25"/>
      <c r="Y373" s="25"/>
      <c r="AC373" s="25"/>
      <c r="AE373" s="25"/>
      <c r="AM373" s="49"/>
      <c r="AN373" s="49"/>
      <c r="AO373" s="49"/>
      <c r="AP373" s="49"/>
      <c r="AQ373" s="49"/>
    </row>
    <row r="374" spans="5:43">
      <c r="E374" s="25"/>
      <c r="W374" s="25"/>
      <c r="Y374" s="25"/>
      <c r="AC374" s="25"/>
      <c r="AE374" s="25"/>
      <c r="AM374" s="49"/>
      <c r="AN374" s="49"/>
      <c r="AO374" s="49"/>
      <c r="AP374" s="49"/>
      <c r="AQ374" s="49"/>
    </row>
    <row r="375" spans="5:43">
      <c r="E375" s="25"/>
      <c r="W375" s="25"/>
      <c r="Y375" s="25"/>
      <c r="AC375" s="25"/>
      <c r="AE375" s="25"/>
      <c r="AM375" s="49"/>
      <c r="AN375" s="49"/>
      <c r="AO375" s="49"/>
      <c r="AP375" s="49"/>
      <c r="AQ375" s="49"/>
    </row>
    <row r="376" spans="5:43">
      <c r="E376" s="25"/>
      <c r="W376" s="25"/>
      <c r="Y376" s="25"/>
      <c r="AC376" s="25"/>
      <c r="AE376" s="25"/>
      <c r="AM376" s="49"/>
      <c r="AN376" s="49"/>
      <c r="AO376" s="49"/>
      <c r="AP376" s="49"/>
      <c r="AQ376" s="49"/>
    </row>
    <row r="377" spans="5:43">
      <c r="E377" s="25"/>
      <c r="W377" s="25"/>
      <c r="Y377" s="25"/>
      <c r="AC377" s="25"/>
      <c r="AE377" s="25"/>
      <c r="AM377" s="49"/>
      <c r="AN377" s="49"/>
      <c r="AO377" s="49"/>
      <c r="AP377" s="49"/>
      <c r="AQ377" s="49"/>
    </row>
    <row r="378" spans="5:43">
      <c r="E378" s="25"/>
      <c r="W378" s="25"/>
      <c r="Y378" s="25"/>
      <c r="AC378" s="25"/>
      <c r="AE378" s="25"/>
      <c r="AM378" s="49"/>
      <c r="AN378" s="49"/>
      <c r="AO378" s="49"/>
      <c r="AP378" s="49"/>
      <c r="AQ378" s="49"/>
    </row>
    <row r="379" spans="5:43">
      <c r="E379" s="25"/>
      <c r="W379" s="25"/>
      <c r="Y379" s="25"/>
      <c r="AC379" s="25"/>
      <c r="AE379" s="25"/>
      <c r="AM379" s="49"/>
      <c r="AN379" s="49"/>
      <c r="AO379" s="49"/>
      <c r="AP379" s="49"/>
      <c r="AQ379" s="49"/>
    </row>
    <row r="380" spans="5:43">
      <c r="E380" s="25"/>
      <c r="W380" s="25"/>
      <c r="Y380" s="25"/>
      <c r="AC380" s="25"/>
      <c r="AE380" s="25"/>
      <c r="AM380" s="49"/>
      <c r="AN380" s="49"/>
      <c r="AO380" s="49"/>
      <c r="AP380" s="49"/>
      <c r="AQ380" s="49"/>
    </row>
    <row r="381" spans="5:43">
      <c r="W381" s="1"/>
      <c r="Y381" s="1"/>
      <c r="AC381" s="1"/>
      <c r="AE381" s="1"/>
      <c r="AM381" s="49"/>
      <c r="AN381" s="49"/>
      <c r="AO381" s="49"/>
      <c r="AP381" s="49"/>
      <c r="AQ381" s="49"/>
    </row>
    <row r="382" spans="5:43">
      <c r="AM382" s="49"/>
      <c r="AN382" s="49"/>
      <c r="AO382" s="49"/>
      <c r="AP382" s="49"/>
      <c r="AQ382" s="49"/>
    </row>
    <row r="383" spans="5:43">
      <c r="AM383" s="49"/>
      <c r="AN383" s="49"/>
      <c r="AO383" s="49"/>
      <c r="AP383" s="49"/>
      <c r="AQ383" s="49"/>
    </row>
    <row r="384" spans="5:43">
      <c r="AM384" s="49"/>
      <c r="AN384" s="49"/>
      <c r="AO384" s="49"/>
      <c r="AP384" s="49"/>
      <c r="AQ384" s="49"/>
    </row>
    <row r="385" spans="39:43">
      <c r="AM385" s="49"/>
      <c r="AN385" s="49"/>
      <c r="AO385" s="49"/>
      <c r="AP385" s="49"/>
      <c r="AQ385" s="49"/>
    </row>
    <row r="386" spans="39:43">
      <c r="AM386" s="49"/>
      <c r="AN386" s="49"/>
      <c r="AO386" s="49"/>
      <c r="AP386" s="49"/>
      <c r="AQ386" s="49"/>
    </row>
    <row r="387" spans="39:43">
      <c r="AM387" s="49"/>
      <c r="AN387" s="49"/>
      <c r="AO387" s="49"/>
      <c r="AP387" s="49"/>
      <c r="AQ387" s="49"/>
    </row>
    <row r="388" spans="39:43">
      <c r="AM388" s="49"/>
      <c r="AN388" s="49"/>
      <c r="AO388" s="49"/>
      <c r="AP388" s="49"/>
      <c r="AQ388" s="49"/>
    </row>
    <row r="389" spans="39:43">
      <c r="AM389" s="49"/>
      <c r="AN389" s="49"/>
      <c r="AO389" s="49"/>
      <c r="AP389" s="49"/>
      <c r="AQ389" s="49"/>
    </row>
    <row r="390" spans="39:43">
      <c r="AM390" s="49"/>
      <c r="AN390" s="49"/>
      <c r="AO390" s="49"/>
      <c r="AP390" s="49"/>
      <c r="AQ390" s="49"/>
    </row>
    <row r="391" spans="39:43">
      <c r="AM391" s="49"/>
      <c r="AN391" s="49"/>
      <c r="AO391" s="49"/>
      <c r="AP391" s="49"/>
      <c r="AQ391" s="49"/>
    </row>
    <row r="392" spans="39:43">
      <c r="AM392" s="49"/>
      <c r="AN392" s="49"/>
      <c r="AO392" s="49"/>
      <c r="AP392" s="49"/>
      <c r="AQ392" s="49"/>
    </row>
    <row r="393" spans="39:43">
      <c r="AM393" s="49"/>
      <c r="AN393" s="49"/>
      <c r="AO393" s="49"/>
      <c r="AP393" s="49"/>
      <c r="AQ393" s="49"/>
    </row>
    <row r="394" spans="39:43">
      <c r="AM394" s="49"/>
      <c r="AN394" s="49"/>
      <c r="AO394" s="49"/>
      <c r="AP394" s="49"/>
      <c r="AQ394" s="49"/>
    </row>
    <row r="395" spans="39:43">
      <c r="AM395" s="49"/>
      <c r="AN395" s="49"/>
      <c r="AO395" s="49"/>
      <c r="AP395" s="49"/>
      <c r="AQ395" s="49"/>
    </row>
    <row r="396" spans="39:43">
      <c r="AM396" s="49"/>
      <c r="AN396" s="49"/>
      <c r="AO396" s="49"/>
      <c r="AP396" s="49"/>
      <c r="AQ396" s="49"/>
    </row>
    <row r="397" spans="39:43">
      <c r="AM397" s="49"/>
      <c r="AN397" s="49"/>
      <c r="AO397" s="49"/>
      <c r="AP397" s="49"/>
      <c r="AQ397" s="49"/>
    </row>
    <row r="398" spans="39:43">
      <c r="AM398" s="49"/>
      <c r="AN398" s="49"/>
      <c r="AO398" s="49"/>
      <c r="AP398" s="49"/>
      <c r="AQ398" s="49"/>
    </row>
    <row r="399" spans="39:43">
      <c r="AM399" s="49"/>
      <c r="AN399" s="49"/>
      <c r="AO399" s="49"/>
      <c r="AP399" s="49"/>
      <c r="AQ399" s="49"/>
    </row>
    <row r="400" spans="39:43">
      <c r="AM400" s="49"/>
      <c r="AN400" s="49"/>
      <c r="AO400" s="49"/>
      <c r="AP400" s="49"/>
      <c r="AQ400" s="49"/>
    </row>
    <row r="401" spans="39:43">
      <c r="AM401" s="49"/>
      <c r="AN401" s="49"/>
      <c r="AO401" s="49"/>
      <c r="AP401" s="49"/>
      <c r="AQ401" s="49"/>
    </row>
    <row r="402" spans="39:43">
      <c r="AM402" s="49"/>
      <c r="AN402" s="49"/>
      <c r="AO402" s="49"/>
      <c r="AP402" s="49"/>
      <c r="AQ402" s="49"/>
    </row>
    <row r="403" spans="39:43">
      <c r="AM403" s="49"/>
      <c r="AN403" s="49"/>
      <c r="AO403" s="49"/>
      <c r="AP403" s="49"/>
      <c r="AQ403" s="49"/>
    </row>
    <row r="404" spans="39:43">
      <c r="AM404" s="49"/>
      <c r="AN404" s="49"/>
      <c r="AO404" s="49"/>
      <c r="AP404" s="49"/>
      <c r="AQ404" s="49"/>
    </row>
    <row r="405" spans="39:43">
      <c r="AM405" s="49"/>
      <c r="AN405" s="49"/>
      <c r="AO405" s="49"/>
      <c r="AP405" s="49"/>
      <c r="AQ405" s="49"/>
    </row>
    <row r="406" spans="39:43">
      <c r="AM406" s="49"/>
      <c r="AN406" s="49"/>
      <c r="AO406" s="49"/>
      <c r="AP406" s="49"/>
      <c r="AQ406" s="49"/>
    </row>
    <row r="407" spans="39:43">
      <c r="AM407" s="49"/>
      <c r="AN407" s="49"/>
      <c r="AO407" s="49"/>
      <c r="AP407" s="49"/>
      <c r="AQ407" s="49"/>
    </row>
    <row r="408" spans="39:43">
      <c r="AM408" s="49"/>
      <c r="AN408" s="49"/>
      <c r="AO408" s="49"/>
      <c r="AP408" s="49"/>
      <c r="AQ408" s="49"/>
    </row>
    <row r="409" spans="39:43">
      <c r="AM409" s="49"/>
      <c r="AN409" s="49"/>
      <c r="AO409" s="49"/>
      <c r="AP409" s="49"/>
      <c r="AQ409" s="49"/>
    </row>
    <row r="410" spans="39:43">
      <c r="AM410" s="49"/>
      <c r="AN410" s="49"/>
      <c r="AO410" s="49"/>
      <c r="AP410" s="49"/>
      <c r="AQ410" s="49"/>
    </row>
    <row r="411" spans="39:43">
      <c r="AM411" s="49"/>
      <c r="AN411" s="49"/>
      <c r="AO411" s="49"/>
      <c r="AP411" s="49"/>
      <c r="AQ411" s="49"/>
    </row>
    <row r="412" spans="39:43">
      <c r="AM412" s="49"/>
      <c r="AN412" s="49"/>
      <c r="AO412" s="49"/>
      <c r="AP412" s="49"/>
      <c r="AQ412" s="49"/>
    </row>
    <row r="413" spans="39:43">
      <c r="AM413" s="49"/>
      <c r="AN413" s="49"/>
      <c r="AO413" s="49"/>
      <c r="AP413" s="49"/>
      <c r="AQ413" s="49"/>
    </row>
    <row r="414" spans="39:43">
      <c r="AM414" s="49"/>
      <c r="AN414" s="49"/>
      <c r="AO414" s="49"/>
      <c r="AP414" s="49"/>
      <c r="AQ414" s="49"/>
    </row>
    <row r="415" spans="39:43">
      <c r="AM415" s="49"/>
      <c r="AN415" s="49"/>
      <c r="AO415" s="49"/>
      <c r="AP415" s="49"/>
      <c r="AQ415" s="49"/>
    </row>
    <row r="416" spans="39:43">
      <c r="AM416" s="49"/>
      <c r="AN416" s="49"/>
      <c r="AO416" s="49"/>
      <c r="AP416" s="49"/>
      <c r="AQ416" s="49"/>
    </row>
    <row r="417" spans="39:43">
      <c r="AM417" s="49"/>
      <c r="AN417" s="49"/>
      <c r="AO417" s="49"/>
      <c r="AP417" s="49"/>
      <c r="AQ417" s="49"/>
    </row>
    <row r="418" spans="39:43">
      <c r="AM418" s="49"/>
      <c r="AN418" s="49"/>
      <c r="AO418" s="49"/>
      <c r="AP418" s="49"/>
      <c r="AQ418" s="49"/>
    </row>
    <row r="419" spans="39:43">
      <c r="AM419" s="49"/>
      <c r="AN419" s="49"/>
      <c r="AO419" s="49"/>
      <c r="AP419" s="49"/>
      <c r="AQ419" s="49"/>
    </row>
    <row r="420" spans="39:43">
      <c r="AM420" s="49"/>
      <c r="AN420" s="49"/>
      <c r="AO420" s="49"/>
      <c r="AP420" s="49"/>
      <c r="AQ420" s="49"/>
    </row>
    <row r="421" spans="39:43">
      <c r="AM421" s="49"/>
      <c r="AN421" s="49"/>
      <c r="AO421" s="49"/>
      <c r="AP421" s="49"/>
      <c r="AQ421" s="49"/>
    </row>
    <row r="422" spans="39:43">
      <c r="AM422" s="49"/>
      <c r="AN422" s="49"/>
      <c r="AO422" s="49"/>
      <c r="AP422" s="49"/>
      <c r="AQ422" s="49"/>
    </row>
    <row r="423" spans="39:43">
      <c r="AM423" s="49"/>
      <c r="AN423" s="49"/>
      <c r="AO423" s="49"/>
      <c r="AP423" s="49"/>
      <c r="AQ423" s="49"/>
    </row>
    <row r="424" spans="39:43">
      <c r="AM424" s="49"/>
      <c r="AN424" s="49"/>
      <c r="AO424" s="49"/>
      <c r="AP424" s="49"/>
      <c r="AQ424" s="49"/>
    </row>
    <row r="425" spans="39:43">
      <c r="AM425" s="49"/>
      <c r="AN425" s="49"/>
      <c r="AO425" s="49"/>
      <c r="AP425" s="49"/>
      <c r="AQ425" s="49"/>
    </row>
    <row r="426" spans="39:43">
      <c r="AM426" s="49"/>
      <c r="AN426" s="49"/>
      <c r="AO426" s="49"/>
      <c r="AP426" s="49"/>
      <c r="AQ426" s="49"/>
    </row>
    <row r="427" spans="39:43">
      <c r="AM427" s="49"/>
      <c r="AN427" s="49"/>
      <c r="AO427" s="49"/>
      <c r="AP427" s="49"/>
      <c r="AQ427" s="49"/>
    </row>
    <row r="428" spans="39:43">
      <c r="AM428" s="49"/>
      <c r="AN428" s="49"/>
      <c r="AO428" s="49"/>
      <c r="AP428" s="49"/>
      <c r="AQ428" s="49"/>
    </row>
    <row r="429" spans="39:43">
      <c r="AM429" s="49"/>
      <c r="AN429" s="49"/>
      <c r="AO429" s="49"/>
      <c r="AP429" s="49"/>
      <c r="AQ429" s="49"/>
    </row>
    <row r="430" spans="39:43">
      <c r="AM430" s="49"/>
      <c r="AN430" s="49"/>
      <c r="AO430" s="49"/>
      <c r="AP430" s="49"/>
      <c r="AQ430" s="49"/>
    </row>
    <row r="431" spans="39:43">
      <c r="AM431" s="49"/>
      <c r="AN431" s="49"/>
      <c r="AO431" s="49"/>
      <c r="AP431" s="49"/>
      <c r="AQ431" s="49"/>
    </row>
    <row r="432" spans="39:43">
      <c r="AM432" s="49"/>
      <c r="AN432" s="49"/>
      <c r="AO432" s="49"/>
      <c r="AP432" s="49"/>
      <c r="AQ432" s="49"/>
    </row>
    <row r="433" spans="39:43">
      <c r="AM433" s="49"/>
      <c r="AN433" s="49"/>
      <c r="AO433" s="49"/>
      <c r="AP433" s="49"/>
      <c r="AQ433" s="49"/>
    </row>
    <row r="434" spans="39:43">
      <c r="AM434" s="49"/>
      <c r="AN434" s="49"/>
      <c r="AO434" s="49"/>
      <c r="AP434" s="49"/>
      <c r="AQ434" s="49"/>
    </row>
    <row r="435" spans="39:43">
      <c r="AM435" s="49"/>
      <c r="AN435" s="49"/>
      <c r="AO435" s="49"/>
      <c r="AP435" s="49"/>
      <c r="AQ435" s="49"/>
    </row>
    <row r="436" spans="39:43">
      <c r="AM436" s="49"/>
      <c r="AN436" s="49"/>
      <c r="AO436" s="49"/>
      <c r="AP436" s="49"/>
      <c r="AQ436" s="49"/>
    </row>
    <row r="437" spans="39:43">
      <c r="AM437" s="49"/>
      <c r="AN437" s="49"/>
      <c r="AO437" s="49"/>
      <c r="AP437" s="49"/>
      <c r="AQ437" s="49"/>
    </row>
    <row r="438" spans="39:43">
      <c r="AM438" s="49"/>
      <c r="AN438" s="49"/>
      <c r="AO438" s="49"/>
      <c r="AP438" s="49"/>
      <c r="AQ438" s="49"/>
    </row>
    <row r="439" spans="39:43">
      <c r="AM439" s="49"/>
      <c r="AN439" s="49"/>
      <c r="AO439" s="49"/>
      <c r="AP439" s="49"/>
      <c r="AQ439" s="49"/>
    </row>
    <row r="440" spans="39:43">
      <c r="AM440" s="49"/>
      <c r="AN440" s="49"/>
      <c r="AO440" s="49"/>
      <c r="AP440" s="49"/>
      <c r="AQ440" s="49"/>
    </row>
    <row r="441" spans="39:43">
      <c r="AM441" s="49"/>
      <c r="AN441" s="49"/>
      <c r="AO441" s="49"/>
      <c r="AP441" s="49"/>
      <c r="AQ441" s="49"/>
    </row>
    <row r="442" spans="39:43">
      <c r="AM442" s="49"/>
      <c r="AN442" s="49"/>
      <c r="AO442" s="49"/>
      <c r="AP442" s="49"/>
      <c r="AQ442" s="49"/>
    </row>
    <row r="443" spans="39:43">
      <c r="AM443" s="49"/>
      <c r="AN443" s="49"/>
      <c r="AO443" s="49"/>
      <c r="AP443" s="49"/>
      <c r="AQ443" s="49"/>
    </row>
    <row r="444" spans="39:43">
      <c r="AM444" s="49"/>
      <c r="AN444" s="49"/>
      <c r="AO444" s="49"/>
      <c r="AP444" s="49"/>
      <c r="AQ444" s="49"/>
    </row>
    <row r="445" spans="39:43">
      <c r="AM445" s="49"/>
      <c r="AN445" s="49"/>
      <c r="AO445" s="49"/>
      <c r="AP445" s="49"/>
      <c r="AQ445" s="49"/>
    </row>
    <row r="446" spans="39:43">
      <c r="AM446" s="49"/>
      <c r="AN446" s="49"/>
      <c r="AO446" s="49"/>
      <c r="AP446" s="49"/>
      <c r="AQ446" s="49"/>
    </row>
    <row r="447" spans="39:43">
      <c r="AM447" s="49"/>
      <c r="AN447" s="49"/>
      <c r="AO447" s="49"/>
      <c r="AP447" s="49"/>
      <c r="AQ447" s="49"/>
    </row>
    <row r="448" spans="39:43">
      <c r="AM448" s="49"/>
      <c r="AN448" s="49"/>
      <c r="AO448" s="49"/>
      <c r="AP448" s="49"/>
      <c r="AQ448" s="49"/>
    </row>
    <row r="449" spans="39:43">
      <c r="AM449" s="49"/>
      <c r="AN449" s="49"/>
      <c r="AO449" s="49"/>
      <c r="AP449" s="49"/>
      <c r="AQ449" s="49"/>
    </row>
    <row r="450" spans="39:43">
      <c r="AM450" s="49"/>
      <c r="AN450" s="49"/>
      <c r="AO450" s="49"/>
      <c r="AP450" s="49"/>
      <c r="AQ450" s="49"/>
    </row>
    <row r="451" spans="39:43">
      <c r="AM451" s="49"/>
      <c r="AN451" s="49"/>
      <c r="AO451" s="49"/>
      <c r="AP451" s="49"/>
      <c r="AQ451" s="49"/>
    </row>
    <row r="452" spans="39:43">
      <c r="AM452" s="49"/>
      <c r="AN452" s="49"/>
      <c r="AO452" s="49"/>
      <c r="AP452" s="49"/>
      <c r="AQ452" s="49"/>
    </row>
    <row r="453" spans="39:43">
      <c r="AM453" s="49"/>
      <c r="AN453" s="49"/>
      <c r="AO453" s="49"/>
      <c r="AP453" s="49"/>
      <c r="AQ453" s="49"/>
    </row>
    <row r="454" spans="39:43">
      <c r="AM454" s="49"/>
      <c r="AN454" s="49"/>
      <c r="AO454" s="49"/>
      <c r="AP454" s="49"/>
      <c r="AQ454" s="49"/>
    </row>
    <row r="455" spans="39:43">
      <c r="AM455" s="49"/>
      <c r="AN455" s="49"/>
      <c r="AO455" s="49"/>
      <c r="AP455" s="49"/>
      <c r="AQ455" s="49"/>
    </row>
    <row r="456" spans="39:43">
      <c r="AM456" s="49"/>
      <c r="AN456" s="49"/>
      <c r="AO456" s="49"/>
      <c r="AP456" s="49"/>
      <c r="AQ456" s="49"/>
    </row>
    <row r="457" spans="39:43">
      <c r="AM457" s="49"/>
      <c r="AN457" s="49"/>
      <c r="AO457" s="49"/>
      <c r="AP457" s="49"/>
      <c r="AQ457" s="49"/>
    </row>
    <row r="458" spans="39:43">
      <c r="AM458" s="49"/>
      <c r="AN458" s="49"/>
      <c r="AO458" s="49"/>
      <c r="AP458" s="49"/>
      <c r="AQ458" s="49"/>
    </row>
    <row r="459" spans="39:43">
      <c r="AM459" s="49"/>
      <c r="AN459" s="49"/>
      <c r="AO459" s="49"/>
      <c r="AP459" s="49"/>
      <c r="AQ459" s="49"/>
    </row>
    <row r="460" spans="39:43">
      <c r="AM460" s="49"/>
      <c r="AN460" s="49"/>
      <c r="AO460" s="49"/>
      <c r="AP460" s="49"/>
      <c r="AQ460" s="49"/>
    </row>
    <row r="461" spans="39:43">
      <c r="AM461" s="49"/>
      <c r="AN461" s="49"/>
      <c r="AO461" s="49"/>
      <c r="AP461" s="49"/>
      <c r="AQ461" s="49"/>
    </row>
    <row r="462" spans="39:43">
      <c r="AM462" s="49"/>
      <c r="AN462" s="49"/>
      <c r="AO462" s="49"/>
      <c r="AP462" s="49"/>
      <c r="AQ462" s="49"/>
    </row>
    <row r="463" spans="39:43">
      <c r="AM463" s="49"/>
      <c r="AN463" s="49"/>
      <c r="AO463" s="49"/>
      <c r="AP463" s="49"/>
      <c r="AQ463" s="49"/>
    </row>
    <row r="464" spans="39:43">
      <c r="AM464" s="49"/>
      <c r="AN464" s="49"/>
      <c r="AO464" s="49"/>
      <c r="AP464" s="49"/>
      <c r="AQ464" s="49"/>
    </row>
    <row r="465" spans="39:43">
      <c r="AM465" s="49"/>
      <c r="AN465" s="49"/>
      <c r="AO465" s="49"/>
      <c r="AP465" s="49"/>
      <c r="AQ465" s="49"/>
    </row>
    <row r="466" spans="39:43">
      <c r="AM466" s="49"/>
      <c r="AN466" s="49"/>
      <c r="AO466" s="49"/>
      <c r="AP466" s="49"/>
      <c r="AQ466" s="49"/>
    </row>
    <row r="467" spans="39:43">
      <c r="AM467" s="49"/>
      <c r="AN467" s="49"/>
      <c r="AO467" s="49"/>
      <c r="AP467" s="49"/>
      <c r="AQ467" s="49"/>
    </row>
    <row r="468" spans="39:43">
      <c r="AM468" s="49"/>
      <c r="AN468" s="49"/>
      <c r="AO468" s="49"/>
      <c r="AP468" s="49"/>
      <c r="AQ468" s="49"/>
    </row>
    <row r="469" spans="39:43">
      <c r="AM469" s="49"/>
      <c r="AN469" s="49"/>
      <c r="AO469" s="49"/>
      <c r="AP469" s="49"/>
      <c r="AQ469" s="49"/>
    </row>
    <row r="470" spans="39:43">
      <c r="AM470" s="49"/>
      <c r="AN470" s="49"/>
      <c r="AO470" s="49"/>
      <c r="AP470" s="49"/>
      <c r="AQ470" s="49"/>
    </row>
    <row r="471" spans="39:43">
      <c r="AM471" s="49"/>
      <c r="AN471" s="49"/>
      <c r="AO471" s="49"/>
      <c r="AP471" s="49"/>
      <c r="AQ471" s="49"/>
    </row>
    <row r="472" spans="39:43">
      <c r="AM472" s="49"/>
      <c r="AN472" s="49"/>
      <c r="AO472" s="49"/>
      <c r="AP472" s="49"/>
      <c r="AQ472" s="49"/>
    </row>
    <row r="473" spans="39:43">
      <c r="AM473" s="49"/>
      <c r="AN473" s="49"/>
      <c r="AO473" s="49"/>
      <c r="AP473" s="49"/>
      <c r="AQ473" s="49"/>
    </row>
    <row r="474" spans="39:43">
      <c r="AM474" s="49"/>
      <c r="AN474" s="49"/>
      <c r="AO474" s="49"/>
      <c r="AP474" s="49"/>
      <c r="AQ474" s="49"/>
    </row>
    <row r="475" spans="39:43">
      <c r="AM475" s="49"/>
      <c r="AN475" s="49"/>
      <c r="AO475" s="49"/>
      <c r="AP475" s="49"/>
      <c r="AQ475" s="49"/>
    </row>
    <row r="476" spans="39:43">
      <c r="AM476" s="49"/>
      <c r="AN476" s="49"/>
      <c r="AO476" s="49"/>
      <c r="AP476" s="49"/>
      <c r="AQ476" s="49"/>
    </row>
    <row r="477" spans="39:43">
      <c r="AM477" s="49"/>
      <c r="AN477" s="49"/>
      <c r="AO477" s="49"/>
      <c r="AP477" s="49"/>
      <c r="AQ477" s="49"/>
    </row>
    <row r="478" spans="39:43">
      <c r="AM478" s="49"/>
      <c r="AN478" s="49"/>
      <c r="AO478" s="49"/>
      <c r="AP478" s="49"/>
      <c r="AQ478" s="49"/>
    </row>
    <row r="479" spans="39:43">
      <c r="AM479" s="49"/>
      <c r="AN479" s="49"/>
      <c r="AO479" s="49"/>
      <c r="AP479" s="49"/>
      <c r="AQ479" s="49"/>
    </row>
    <row r="480" spans="39:43">
      <c r="AM480" s="49"/>
      <c r="AN480" s="49"/>
      <c r="AO480" s="49"/>
      <c r="AP480" s="49"/>
      <c r="AQ480" s="49"/>
    </row>
    <row r="481" spans="39:43">
      <c r="AM481" s="49"/>
      <c r="AN481" s="49"/>
      <c r="AO481" s="49"/>
      <c r="AP481" s="49"/>
      <c r="AQ481" s="49"/>
    </row>
    <row r="482" spans="39:43">
      <c r="AM482" s="49"/>
      <c r="AN482" s="49"/>
      <c r="AO482" s="49"/>
      <c r="AP482" s="49"/>
      <c r="AQ482" s="49"/>
    </row>
    <row r="483" spans="39:43">
      <c r="AM483" s="49"/>
      <c r="AN483" s="49"/>
      <c r="AO483" s="49"/>
      <c r="AP483" s="49"/>
      <c r="AQ483" s="49"/>
    </row>
    <row r="484" spans="39:43">
      <c r="AM484" s="49"/>
      <c r="AN484" s="49"/>
      <c r="AO484" s="49"/>
      <c r="AP484" s="49"/>
      <c r="AQ484" s="49"/>
    </row>
    <row r="485" spans="39:43">
      <c r="AM485" s="49"/>
      <c r="AN485" s="49"/>
      <c r="AO485" s="49"/>
      <c r="AP485" s="49"/>
      <c r="AQ485" s="49"/>
    </row>
    <row r="486" spans="39:43">
      <c r="AM486" s="49"/>
      <c r="AN486" s="49"/>
      <c r="AO486" s="49"/>
      <c r="AP486" s="49"/>
      <c r="AQ486" s="49"/>
    </row>
    <row r="487" spans="39:43">
      <c r="AM487" s="49"/>
      <c r="AN487" s="49"/>
      <c r="AO487" s="49"/>
      <c r="AP487" s="49"/>
      <c r="AQ487" s="49"/>
    </row>
    <row r="488" spans="39:43">
      <c r="AM488" s="49"/>
      <c r="AN488" s="49"/>
      <c r="AO488" s="49"/>
      <c r="AP488" s="49"/>
      <c r="AQ488" s="49"/>
    </row>
    <row r="489" spans="39:43">
      <c r="AM489" s="49"/>
      <c r="AN489" s="49"/>
      <c r="AO489" s="49"/>
      <c r="AP489" s="49"/>
      <c r="AQ489" s="49"/>
    </row>
    <row r="490" spans="39:43">
      <c r="AM490" s="49"/>
      <c r="AN490" s="49"/>
      <c r="AO490" s="49"/>
      <c r="AP490" s="49"/>
      <c r="AQ490" s="49"/>
    </row>
    <row r="491" spans="39:43">
      <c r="AM491" s="49"/>
      <c r="AN491" s="49"/>
      <c r="AO491" s="49"/>
      <c r="AP491" s="49"/>
      <c r="AQ491" s="49"/>
    </row>
    <row r="492" spans="39:43">
      <c r="AM492" s="49"/>
      <c r="AN492" s="49"/>
      <c r="AO492" s="49"/>
      <c r="AP492" s="49"/>
      <c r="AQ492" s="49"/>
    </row>
    <row r="493" spans="39:43">
      <c r="AM493" s="49"/>
      <c r="AN493" s="49"/>
      <c r="AO493" s="49"/>
      <c r="AP493" s="49"/>
      <c r="AQ493" s="49"/>
    </row>
    <row r="494" spans="39:43">
      <c r="AM494" s="49"/>
      <c r="AN494" s="49"/>
      <c r="AO494" s="49"/>
      <c r="AP494" s="49"/>
      <c r="AQ494" s="49"/>
    </row>
    <row r="495" spans="39:43">
      <c r="AM495" s="49"/>
      <c r="AN495" s="49"/>
      <c r="AO495" s="49"/>
      <c r="AP495" s="49"/>
      <c r="AQ495" s="49"/>
    </row>
    <row r="496" spans="39:43">
      <c r="AM496" s="49"/>
      <c r="AN496" s="49"/>
      <c r="AO496" s="49"/>
      <c r="AP496" s="49"/>
      <c r="AQ496" s="49"/>
    </row>
    <row r="497" spans="39:43">
      <c r="AM497" s="49"/>
      <c r="AN497" s="49"/>
      <c r="AO497" s="49"/>
      <c r="AP497" s="49"/>
      <c r="AQ497" s="49"/>
    </row>
    <row r="498" spans="39:43">
      <c r="AM498" s="49"/>
      <c r="AN498" s="49"/>
      <c r="AO498" s="49"/>
      <c r="AP498" s="49"/>
      <c r="AQ498" s="49"/>
    </row>
    <row r="499" spans="39:43">
      <c r="AM499" s="49"/>
      <c r="AN499" s="49"/>
      <c r="AO499" s="49"/>
      <c r="AP499" s="49"/>
      <c r="AQ499" s="49"/>
    </row>
    <row r="500" spans="39:43">
      <c r="AM500" s="49"/>
      <c r="AN500" s="49"/>
      <c r="AO500" s="49"/>
      <c r="AP500" s="49"/>
      <c r="AQ500" s="49"/>
    </row>
    <row r="501" spans="39:43">
      <c r="AM501" s="49"/>
      <c r="AN501" s="49"/>
      <c r="AO501" s="49"/>
      <c r="AP501" s="49"/>
      <c r="AQ501" s="49"/>
    </row>
    <row r="502" spans="39:43">
      <c r="AM502" s="49"/>
      <c r="AN502" s="49"/>
      <c r="AO502" s="49"/>
      <c r="AP502" s="49"/>
      <c r="AQ502" s="49"/>
    </row>
    <row r="503" spans="39:43">
      <c r="AM503" s="49"/>
      <c r="AN503" s="49"/>
      <c r="AO503" s="49"/>
      <c r="AP503" s="49"/>
      <c r="AQ503" s="49"/>
    </row>
    <row r="504" spans="39:43">
      <c r="AM504" s="49"/>
      <c r="AN504" s="49"/>
      <c r="AO504" s="49"/>
      <c r="AP504" s="49"/>
      <c r="AQ504" s="49"/>
    </row>
    <row r="505" spans="39:43">
      <c r="AM505" s="49"/>
      <c r="AN505" s="49"/>
      <c r="AO505" s="49"/>
      <c r="AP505" s="49"/>
      <c r="AQ505" s="49"/>
    </row>
    <row r="506" spans="39:43">
      <c r="AM506" s="49"/>
      <c r="AN506" s="49"/>
      <c r="AO506" s="49"/>
      <c r="AP506" s="49"/>
      <c r="AQ506" s="49"/>
    </row>
    <row r="507" spans="39:43">
      <c r="AM507" s="49"/>
      <c r="AN507" s="49"/>
      <c r="AO507" s="49"/>
      <c r="AP507" s="49"/>
      <c r="AQ507" s="49"/>
    </row>
    <row r="508" spans="39:43">
      <c r="AM508" s="49"/>
      <c r="AN508" s="49"/>
      <c r="AO508" s="49"/>
      <c r="AP508" s="49"/>
      <c r="AQ508" s="49"/>
    </row>
    <row r="509" spans="39:43">
      <c r="AM509" s="49"/>
      <c r="AN509" s="49"/>
      <c r="AO509" s="49"/>
      <c r="AP509" s="49"/>
      <c r="AQ509" s="49"/>
    </row>
    <row r="510" spans="39:43">
      <c r="AM510" s="49"/>
      <c r="AN510" s="49"/>
      <c r="AO510" s="49"/>
      <c r="AP510" s="49"/>
      <c r="AQ510" s="49"/>
    </row>
    <row r="511" spans="39:43">
      <c r="AM511" s="49"/>
      <c r="AN511" s="49"/>
      <c r="AO511" s="49"/>
      <c r="AP511" s="49"/>
      <c r="AQ511" s="49"/>
    </row>
    <row r="512" spans="39:43">
      <c r="AM512" s="49"/>
      <c r="AN512" s="49"/>
      <c r="AO512" s="49"/>
      <c r="AP512" s="49"/>
      <c r="AQ512" s="49"/>
    </row>
    <row r="513" spans="39:43">
      <c r="AM513" s="49"/>
      <c r="AN513" s="49"/>
      <c r="AO513" s="49"/>
      <c r="AP513" s="49"/>
      <c r="AQ513" s="49"/>
    </row>
    <row r="514" spans="39:43">
      <c r="AM514" s="49"/>
      <c r="AN514" s="49"/>
      <c r="AO514" s="49"/>
      <c r="AP514" s="49"/>
      <c r="AQ514" s="49"/>
    </row>
    <row r="515" spans="39:43">
      <c r="AM515" s="49"/>
      <c r="AN515" s="49"/>
      <c r="AO515" s="49"/>
      <c r="AP515" s="49"/>
      <c r="AQ515" s="49"/>
    </row>
    <row r="516" spans="39:43">
      <c r="AM516" s="49"/>
      <c r="AN516" s="49"/>
      <c r="AO516" s="49"/>
      <c r="AP516" s="49"/>
      <c r="AQ516" s="49"/>
    </row>
    <row r="517" spans="39:43">
      <c r="AM517" s="49"/>
      <c r="AN517" s="49"/>
      <c r="AO517" s="49"/>
      <c r="AP517" s="49"/>
      <c r="AQ517" s="49"/>
    </row>
    <row r="518" spans="39:43">
      <c r="AM518" s="49"/>
      <c r="AN518" s="49"/>
      <c r="AO518" s="49"/>
      <c r="AP518" s="49"/>
      <c r="AQ518" s="49"/>
    </row>
    <row r="519" spans="39:43">
      <c r="AM519" s="49"/>
      <c r="AN519" s="49"/>
      <c r="AO519" s="49"/>
      <c r="AP519" s="49"/>
      <c r="AQ519" s="49"/>
    </row>
    <row r="520" spans="39:43">
      <c r="AM520" s="49"/>
      <c r="AN520" s="49"/>
      <c r="AO520" s="49"/>
      <c r="AP520" s="49"/>
      <c r="AQ520" s="49"/>
    </row>
    <row r="521" spans="39:43">
      <c r="AM521" s="49"/>
      <c r="AN521" s="49"/>
      <c r="AO521" s="49"/>
      <c r="AP521" s="49"/>
      <c r="AQ521" s="49"/>
    </row>
    <row r="522" spans="39:43">
      <c r="AM522" s="49"/>
      <c r="AN522" s="49"/>
      <c r="AO522" s="49"/>
      <c r="AP522" s="49"/>
      <c r="AQ522" s="49"/>
    </row>
    <row r="523" spans="39:43">
      <c r="AM523" s="49"/>
      <c r="AN523" s="49"/>
      <c r="AO523" s="49"/>
      <c r="AP523" s="49"/>
      <c r="AQ523" s="49"/>
    </row>
    <row r="524" spans="39:43">
      <c r="AM524" s="49"/>
      <c r="AN524" s="49"/>
      <c r="AO524" s="49"/>
      <c r="AP524" s="49"/>
      <c r="AQ524" s="49"/>
    </row>
    <row r="525" spans="39:43">
      <c r="AM525" s="49"/>
      <c r="AN525" s="49"/>
      <c r="AO525" s="49"/>
      <c r="AP525" s="49"/>
      <c r="AQ525" s="49"/>
    </row>
    <row r="526" spans="39:43">
      <c r="AM526" s="49"/>
      <c r="AN526" s="49"/>
      <c r="AO526" s="49"/>
      <c r="AP526" s="49"/>
      <c r="AQ526" s="49"/>
    </row>
    <row r="527" spans="39:43">
      <c r="AM527" s="49"/>
      <c r="AN527" s="49"/>
      <c r="AO527" s="49"/>
      <c r="AP527" s="49"/>
      <c r="AQ527" s="49"/>
    </row>
    <row r="528" spans="39:43">
      <c r="AM528" s="49"/>
      <c r="AN528" s="49"/>
      <c r="AO528" s="49"/>
      <c r="AP528" s="49"/>
      <c r="AQ528" s="49"/>
    </row>
    <row r="529" spans="39:43">
      <c r="AM529" s="49"/>
      <c r="AN529" s="49"/>
      <c r="AO529" s="49"/>
      <c r="AP529" s="49"/>
      <c r="AQ529" s="49"/>
    </row>
    <row r="530" spans="39:43">
      <c r="AM530" s="49"/>
      <c r="AN530" s="49"/>
      <c r="AO530" s="49"/>
      <c r="AP530" s="49"/>
      <c r="AQ530" s="49"/>
    </row>
    <row r="531" spans="39:43">
      <c r="AM531" s="49"/>
      <c r="AN531" s="49"/>
      <c r="AO531" s="49"/>
      <c r="AP531" s="49"/>
      <c r="AQ531" s="49"/>
    </row>
    <row r="532" spans="39:43">
      <c r="AM532" s="49"/>
      <c r="AN532" s="49"/>
      <c r="AO532" s="49"/>
      <c r="AP532" s="49"/>
      <c r="AQ532" s="49"/>
    </row>
    <row r="533" spans="39:43">
      <c r="AM533" s="49"/>
      <c r="AN533" s="49"/>
      <c r="AO533" s="49"/>
      <c r="AP533" s="49"/>
      <c r="AQ533" s="49"/>
    </row>
    <row r="534" spans="39:43">
      <c r="AM534" s="49"/>
      <c r="AN534" s="49"/>
      <c r="AO534" s="49"/>
      <c r="AP534" s="49"/>
      <c r="AQ534" s="49"/>
    </row>
    <row r="535" spans="39:43">
      <c r="AM535" s="49"/>
      <c r="AN535" s="49"/>
      <c r="AO535" s="49"/>
      <c r="AP535" s="49"/>
      <c r="AQ535" s="49"/>
    </row>
    <row r="536" spans="39:43">
      <c r="AM536" s="49"/>
      <c r="AN536" s="49"/>
      <c r="AO536" s="49"/>
      <c r="AP536" s="49"/>
      <c r="AQ536" s="49"/>
    </row>
    <row r="537" spans="39:43">
      <c r="AM537" s="49"/>
      <c r="AN537" s="49"/>
      <c r="AO537" s="49"/>
      <c r="AP537" s="49"/>
      <c r="AQ537" s="49"/>
    </row>
    <row r="538" spans="39:43">
      <c r="AM538" s="49"/>
      <c r="AN538" s="49"/>
      <c r="AO538" s="49"/>
      <c r="AP538" s="49"/>
      <c r="AQ538" s="49"/>
    </row>
    <row r="539" spans="39:43">
      <c r="AM539" s="49"/>
      <c r="AN539" s="49"/>
      <c r="AO539" s="49"/>
      <c r="AP539" s="49"/>
      <c r="AQ539" s="49"/>
    </row>
    <row r="540" spans="39:43">
      <c r="AM540" s="49"/>
      <c r="AN540" s="49"/>
      <c r="AO540" s="49"/>
      <c r="AP540" s="49"/>
      <c r="AQ540" s="49"/>
    </row>
    <row r="541" spans="39:43">
      <c r="AM541" s="49"/>
      <c r="AN541" s="49"/>
      <c r="AO541" s="49"/>
      <c r="AP541" s="49"/>
      <c r="AQ541" s="49"/>
    </row>
    <row r="542" spans="39:43">
      <c r="AM542" s="49"/>
      <c r="AN542" s="49"/>
      <c r="AO542" s="49"/>
      <c r="AP542" s="49"/>
      <c r="AQ542" s="49"/>
    </row>
    <row r="543" spans="39:43">
      <c r="AM543" s="49"/>
      <c r="AN543" s="49"/>
      <c r="AO543" s="49"/>
      <c r="AP543" s="49"/>
      <c r="AQ543" s="49"/>
    </row>
    <row r="544" spans="39:43">
      <c r="AM544" s="49"/>
      <c r="AN544" s="49"/>
      <c r="AO544" s="49"/>
      <c r="AP544" s="49"/>
      <c r="AQ544" s="49"/>
    </row>
    <row r="545" spans="39:43">
      <c r="AM545" s="49"/>
      <c r="AN545" s="49"/>
      <c r="AO545" s="49"/>
      <c r="AP545" s="49"/>
      <c r="AQ545" s="49"/>
    </row>
    <row r="546" spans="39:43">
      <c r="AM546" s="49"/>
      <c r="AN546" s="49"/>
      <c r="AO546" s="49"/>
      <c r="AP546" s="49"/>
      <c r="AQ546" s="49"/>
    </row>
    <row r="547" spans="39:43">
      <c r="AM547" s="49"/>
      <c r="AN547" s="49"/>
      <c r="AO547" s="49"/>
      <c r="AP547" s="49"/>
      <c r="AQ547" s="49"/>
    </row>
    <row r="548" spans="39:43">
      <c r="AM548" s="49"/>
      <c r="AN548" s="49"/>
      <c r="AO548" s="49"/>
      <c r="AP548" s="49"/>
      <c r="AQ548" s="49"/>
    </row>
    <row r="549" spans="39:43">
      <c r="AM549" s="49"/>
      <c r="AN549" s="49"/>
      <c r="AO549" s="49"/>
      <c r="AP549" s="49"/>
      <c r="AQ549" s="49"/>
    </row>
    <row r="550" spans="39:43">
      <c r="AM550" s="49"/>
      <c r="AN550" s="49"/>
      <c r="AO550" s="49"/>
      <c r="AP550" s="49"/>
      <c r="AQ550" s="49"/>
    </row>
    <row r="551" spans="39:43">
      <c r="AM551" s="49"/>
      <c r="AN551" s="49"/>
      <c r="AO551" s="49"/>
      <c r="AP551" s="49"/>
      <c r="AQ551" s="49"/>
    </row>
    <row r="552" spans="39:43">
      <c r="AM552" s="49"/>
      <c r="AN552" s="49"/>
      <c r="AO552" s="49"/>
      <c r="AP552" s="49"/>
      <c r="AQ552" s="49"/>
    </row>
    <row r="553" spans="39:43">
      <c r="AM553" s="49"/>
      <c r="AN553" s="49"/>
      <c r="AO553" s="49"/>
      <c r="AP553" s="49"/>
      <c r="AQ553" s="49"/>
    </row>
    <row r="554" spans="39:43">
      <c r="AM554" s="49"/>
      <c r="AN554" s="49"/>
      <c r="AO554" s="49"/>
      <c r="AP554" s="49"/>
      <c r="AQ554" s="49"/>
    </row>
    <row r="555" spans="39:43">
      <c r="AM555" s="49"/>
      <c r="AN555" s="49"/>
      <c r="AO555" s="49"/>
      <c r="AP555" s="49"/>
      <c r="AQ555" s="49"/>
    </row>
    <row r="556" spans="39:43">
      <c r="AM556" s="49"/>
      <c r="AN556" s="49"/>
      <c r="AO556" s="49"/>
      <c r="AP556" s="49"/>
      <c r="AQ556" s="49"/>
    </row>
    <row r="557" spans="39:43">
      <c r="AM557" s="49"/>
      <c r="AN557" s="49"/>
      <c r="AO557" s="49"/>
      <c r="AP557" s="49"/>
      <c r="AQ557" s="49"/>
    </row>
    <row r="558" spans="39:43">
      <c r="AM558" s="49"/>
      <c r="AN558" s="49"/>
      <c r="AO558" s="49"/>
      <c r="AP558" s="49"/>
      <c r="AQ558" s="49"/>
    </row>
    <row r="559" spans="39:43">
      <c r="AM559" s="49"/>
      <c r="AN559" s="49"/>
      <c r="AO559" s="49"/>
      <c r="AP559" s="49"/>
      <c r="AQ559" s="49"/>
    </row>
    <row r="560" spans="39:43">
      <c r="AM560" s="49"/>
      <c r="AN560" s="49"/>
      <c r="AO560" s="49"/>
      <c r="AP560" s="49"/>
      <c r="AQ560" s="49"/>
    </row>
    <row r="561" spans="39:43">
      <c r="AM561" s="49"/>
      <c r="AN561" s="49"/>
      <c r="AO561" s="49"/>
      <c r="AP561" s="49"/>
      <c r="AQ561" s="49"/>
    </row>
    <row r="562" spans="39:43">
      <c r="AM562" s="49"/>
      <c r="AN562" s="49"/>
      <c r="AO562" s="49"/>
      <c r="AP562" s="49"/>
      <c r="AQ562" s="49"/>
    </row>
    <row r="563" spans="39:43">
      <c r="AM563" s="49"/>
      <c r="AN563" s="49"/>
      <c r="AO563" s="49"/>
      <c r="AP563" s="49"/>
      <c r="AQ563" s="49"/>
    </row>
    <row r="564" spans="39:43">
      <c r="AM564" s="49"/>
      <c r="AN564" s="49"/>
      <c r="AO564" s="49"/>
      <c r="AP564" s="49"/>
      <c r="AQ564" s="49"/>
    </row>
    <row r="565" spans="39:43">
      <c r="AM565" s="49"/>
      <c r="AN565" s="49"/>
      <c r="AO565" s="49"/>
      <c r="AP565" s="49"/>
      <c r="AQ565" s="49"/>
    </row>
    <row r="566" spans="39:43">
      <c r="AM566" s="49"/>
      <c r="AN566" s="49"/>
      <c r="AO566" s="49"/>
      <c r="AP566" s="49"/>
      <c r="AQ566" s="49"/>
    </row>
    <row r="567" spans="39:43">
      <c r="AM567" s="49"/>
      <c r="AN567" s="49"/>
      <c r="AO567" s="49"/>
      <c r="AP567" s="49"/>
      <c r="AQ567" s="49"/>
    </row>
    <row r="568" spans="39:43">
      <c r="AM568" s="49"/>
      <c r="AN568" s="49"/>
      <c r="AO568" s="49"/>
      <c r="AP568" s="49"/>
      <c r="AQ568" s="49"/>
    </row>
    <row r="569" spans="39:43">
      <c r="AM569" s="49"/>
      <c r="AN569" s="49"/>
      <c r="AO569" s="49"/>
      <c r="AP569" s="49"/>
      <c r="AQ569" s="49"/>
    </row>
    <row r="570" spans="39:43">
      <c r="AM570" s="49"/>
      <c r="AN570" s="49"/>
      <c r="AO570" s="49"/>
      <c r="AP570" s="49"/>
      <c r="AQ570" s="49"/>
    </row>
    <row r="571" spans="39:43">
      <c r="AM571" s="49"/>
      <c r="AN571" s="49"/>
      <c r="AO571" s="49"/>
      <c r="AP571" s="49"/>
      <c r="AQ571" s="49"/>
    </row>
    <row r="572" spans="39:43">
      <c r="AM572" s="49"/>
      <c r="AN572" s="49"/>
      <c r="AO572" s="49"/>
      <c r="AP572" s="49"/>
      <c r="AQ572" s="49"/>
    </row>
    <row r="573" spans="39:43">
      <c r="AM573" s="49"/>
      <c r="AN573" s="49"/>
      <c r="AO573" s="49"/>
      <c r="AP573" s="49"/>
      <c r="AQ573" s="49"/>
    </row>
    <row r="574" spans="39:43">
      <c r="AM574" s="49"/>
      <c r="AN574" s="49"/>
      <c r="AO574" s="49"/>
      <c r="AP574" s="49"/>
      <c r="AQ574" s="49"/>
    </row>
    <row r="575" spans="39:43">
      <c r="AM575" s="49"/>
      <c r="AN575" s="49"/>
      <c r="AO575" s="49"/>
      <c r="AP575" s="49"/>
      <c r="AQ575" s="49"/>
    </row>
    <row r="576" spans="39:43">
      <c r="AM576" s="49"/>
      <c r="AN576" s="49"/>
      <c r="AO576" s="49"/>
      <c r="AP576" s="49"/>
      <c r="AQ576" s="49"/>
    </row>
    <row r="577" spans="39:43">
      <c r="AM577" s="49"/>
      <c r="AN577" s="49"/>
      <c r="AO577" s="49"/>
      <c r="AP577" s="49"/>
      <c r="AQ577" s="49"/>
    </row>
    <row r="578" spans="39:43">
      <c r="AM578" s="49"/>
      <c r="AN578" s="49"/>
      <c r="AO578" s="49"/>
      <c r="AP578" s="49"/>
      <c r="AQ578" s="49"/>
    </row>
    <row r="579" spans="39:43">
      <c r="AM579" s="49"/>
      <c r="AN579" s="49"/>
      <c r="AO579" s="49"/>
      <c r="AP579" s="49"/>
      <c r="AQ579" s="49"/>
    </row>
    <row r="580" spans="39:43">
      <c r="AM580" s="49"/>
      <c r="AN580" s="49"/>
      <c r="AO580" s="49"/>
      <c r="AP580" s="49"/>
      <c r="AQ580" s="49"/>
    </row>
    <row r="581" spans="39:43">
      <c r="AM581" s="49"/>
      <c r="AN581" s="49"/>
      <c r="AO581" s="49"/>
      <c r="AP581" s="49"/>
      <c r="AQ581" s="49"/>
    </row>
    <row r="582" spans="39:43">
      <c r="AM582" s="49"/>
      <c r="AN582" s="49"/>
      <c r="AO582" s="49"/>
      <c r="AP582" s="49"/>
      <c r="AQ582" s="49"/>
    </row>
    <row r="583" spans="39:43">
      <c r="AM583" s="49"/>
      <c r="AN583" s="49"/>
      <c r="AO583" s="49"/>
      <c r="AP583" s="49"/>
      <c r="AQ583" s="49"/>
    </row>
    <row r="584" spans="39:43">
      <c r="AM584" s="49"/>
      <c r="AN584" s="49"/>
      <c r="AO584" s="49"/>
      <c r="AP584" s="49"/>
      <c r="AQ584" s="49"/>
    </row>
    <row r="585" spans="39:43">
      <c r="AM585" s="49"/>
      <c r="AN585" s="49"/>
      <c r="AO585" s="49"/>
      <c r="AP585" s="49"/>
      <c r="AQ585" s="49"/>
    </row>
    <row r="586" spans="39:43">
      <c r="AM586" s="49"/>
      <c r="AN586" s="49"/>
      <c r="AO586" s="49"/>
      <c r="AP586" s="49"/>
      <c r="AQ586" s="49"/>
    </row>
    <row r="587" spans="39:43">
      <c r="AM587" s="49"/>
      <c r="AN587" s="49"/>
      <c r="AO587" s="49"/>
      <c r="AP587" s="49"/>
      <c r="AQ587" s="49"/>
    </row>
    <row r="588" spans="39:43">
      <c r="AM588" s="49"/>
      <c r="AN588" s="49"/>
      <c r="AO588" s="49"/>
      <c r="AP588" s="49"/>
      <c r="AQ588" s="49"/>
    </row>
    <row r="589" spans="39:43">
      <c r="AM589" s="49"/>
      <c r="AN589" s="49"/>
      <c r="AO589" s="49"/>
      <c r="AP589" s="49"/>
      <c r="AQ589" s="49"/>
    </row>
    <row r="590" spans="39:43">
      <c r="AM590" s="49"/>
      <c r="AN590" s="49"/>
      <c r="AO590" s="49"/>
      <c r="AP590" s="49"/>
      <c r="AQ590" s="49"/>
    </row>
    <row r="591" spans="39:43">
      <c r="AM591" s="49"/>
      <c r="AN591" s="49"/>
      <c r="AO591" s="49"/>
      <c r="AP591" s="49"/>
      <c r="AQ591" s="49"/>
    </row>
    <row r="592" spans="39:43">
      <c r="AM592" s="49"/>
      <c r="AN592" s="49"/>
      <c r="AO592" s="49"/>
      <c r="AP592" s="49"/>
      <c r="AQ592" s="49"/>
    </row>
    <row r="593" spans="39:43">
      <c r="AM593" s="49"/>
      <c r="AN593" s="49"/>
      <c r="AO593" s="49"/>
      <c r="AP593" s="49"/>
      <c r="AQ593" s="49"/>
    </row>
    <row r="594" spans="39:43">
      <c r="AM594" s="49"/>
      <c r="AN594" s="49"/>
      <c r="AO594" s="49"/>
      <c r="AP594" s="49"/>
      <c r="AQ594" s="49"/>
    </row>
    <row r="595" spans="39:43">
      <c r="AM595" s="49"/>
      <c r="AN595" s="49"/>
      <c r="AO595" s="49"/>
      <c r="AP595" s="49"/>
      <c r="AQ595" s="49"/>
    </row>
    <row r="596" spans="39:43">
      <c r="AM596" s="49"/>
      <c r="AN596" s="49"/>
      <c r="AO596" s="49"/>
      <c r="AP596" s="49"/>
      <c r="AQ596" s="49"/>
    </row>
    <row r="597" spans="39:43">
      <c r="AM597" s="49"/>
      <c r="AN597" s="49"/>
      <c r="AO597" s="49"/>
      <c r="AP597" s="49"/>
      <c r="AQ597" s="49"/>
    </row>
    <row r="598" spans="39:43">
      <c r="AM598" s="49"/>
      <c r="AN598" s="49"/>
      <c r="AO598" s="49"/>
      <c r="AP598" s="49"/>
      <c r="AQ598" s="49"/>
    </row>
    <row r="599" spans="39:43">
      <c r="AM599" s="49"/>
      <c r="AN599" s="49"/>
      <c r="AO599" s="49"/>
      <c r="AP599" s="49"/>
      <c r="AQ599" s="49"/>
    </row>
    <row r="600" spans="39:43">
      <c r="AM600" s="49"/>
      <c r="AN600" s="49"/>
      <c r="AO600" s="49"/>
      <c r="AP600" s="49"/>
      <c r="AQ600" s="49"/>
    </row>
    <row r="601" spans="39:43">
      <c r="AM601" s="49"/>
      <c r="AN601" s="49"/>
      <c r="AO601" s="49"/>
      <c r="AP601" s="49"/>
      <c r="AQ601" s="49"/>
    </row>
    <row r="602" spans="39:43">
      <c r="AM602" s="49"/>
      <c r="AN602" s="49"/>
      <c r="AO602" s="49"/>
      <c r="AP602" s="49"/>
      <c r="AQ602" s="49"/>
    </row>
    <row r="603" spans="39:43">
      <c r="AM603" s="49"/>
      <c r="AN603" s="49"/>
      <c r="AO603" s="49"/>
      <c r="AP603" s="49"/>
      <c r="AQ603" s="49"/>
    </row>
    <row r="604" spans="39:43">
      <c r="AM604" s="49"/>
      <c r="AN604" s="49"/>
      <c r="AO604" s="49"/>
      <c r="AP604" s="49"/>
      <c r="AQ604" s="49"/>
    </row>
    <row r="605" spans="39:43">
      <c r="AM605" s="49"/>
      <c r="AN605" s="49"/>
      <c r="AO605" s="49"/>
      <c r="AP605" s="49"/>
      <c r="AQ605" s="49"/>
    </row>
    <row r="606" spans="39:43">
      <c r="AM606" s="49"/>
      <c r="AN606" s="49"/>
      <c r="AO606" s="49"/>
      <c r="AP606" s="49"/>
      <c r="AQ606" s="49"/>
    </row>
    <row r="607" spans="39:43">
      <c r="AM607" s="49"/>
      <c r="AN607" s="49"/>
      <c r="AO607" s="49"/>
      <c r="AP607" s="49"/>
      <c r="AQ607" s="49"/>
    </row>
    <row r="608" spans="39:43">
      <c r="AM608" s="49"/>
      <c r="AN608" s="49"/>
      <c r="AO608" s="49"/>
      <c r="AP608" s="49"/>
      <c r="AQ608" s="49"/>
    </row>
    <row r="609" spans="39:43">
      <c r="AM609" s="49"/>
      <c r="AN609" s="49"/>
      <c r="AO609" s="49"/>
      <c r="AP609" s="49"/>
      <c r="AQ609" s="49"/>
    </row>
    <row r="610" spans="39:43">
      <c r="AM610" s="49"/>
      <c r="AN610" s="49"/>
      <c r="AO610" s="49"/>
      <c r="AP610" s="49"/>
      <c r="AQ610" s="49"/>
    </row>
    <row r="611" spans="39:43">
      <c r="AM611" s="49"/>
      <c r="AN611" s="49"/>
      <c r="AO611" s="49"/>
      <c r="AP611" s="49"/>
      <c r="AQ611" s="49"/>
    </row>
    <row r="612" spans="39:43">
      <c r="AM612" s="49"/>
      <c r="AN612" s="49"/>
      <c r="AO612" s="49"/>
      <c r="AP612" s="49"/>
      <c r="AQ612" s="49"/>
    </row>
    <row r="613" spans="39:43">
      <c r="AM613" s="49"/>
      <c r="AN613" s="49"/>
      <c r="AO613" s="49"/>
      <c r="AP613" s="49"/>
      <c r="AQ613" s="49"/>
    </row>
    <row r="614" spans="39:43">
      <c r="AM614" s="49"/>
      <c r="AN614" s="49"/>
      <c r="AO614" s="49"/>
      <c r="AP614" s="49"/>
      <c r="AQ614" s="49"/>
    </row>
    <row r="615" spans="39:43">
      <c r="AM615" s="49"/>
      <c r="AN615" s="49"/>
      <c r="AO615" s="49"/>
      <c r="AP615" s="49"/>
      <c r="AQ615" s="49"/>
    </row>
    <row r="616" spans="39:43">
      <c r="AM616" s="49"/>
      <c r="AN616" s="49"/>
      <c r="AO616" s="49"/>
      <c r="AP616" s="49"/>
      <c r="AQ616" s="49"/>
    </row>
    <row r="617" spans="39:43">
      <c r="AM617" s="49"/>
      <c r="AN617" s="49"/>
      <c r="AO617" s="49"/>
      <c r="AP617" s="49"/>
      <c r="AQ617" s="49"/>
    </row>
    <row r="618" spans="39:43">
      <c r="AM618" s="49"/>
      <c r="AN618" s="49"/>
      <c r="AO618" s="49"/>
      <c r="AP618" s="49"/>
      <c r="AQ618" s="49"/>
    </row>
    <row r="619" spans="39:43">
      <c r="AM619" s="49"/>
      <c r="AN619" s="49"/>
      <c r="AO619" s="49"/>
      <c r="AP619" s="49"/>
      <c r="AQ619" s="49"/>
    </row>
    <row r="620" spans="39:43">
      <c r="AM620" s="49"/>
      <c r="AN620" s="49"/>
      <c r="AO620" s="49"/>
      <c r="AP620" s="49"/>
      <c r="AQ620" s="49"/>
    </row>
    <row r="621" spans="39:43">
      <c r="AM621" s="49"/>
      <c r="AN621" s="49"/>
      <c r="AO621" s="49"/>
      <c r="AP621" s="49"/>
      <c r="AQ621" s="49"/>
    </row>
    <row r="622" spans="39:43">
      <c r="AM622" s="49"/>
      <c r="AN622" s="49"/>
      <c r="AO622" s="49"/>
      <c r="AP622" s="49"/>
      <c r="AQ622" s="49"/>
    </row>
    <row r="623" spans="39:43">
      <c r="AM623" s="49"/>
      <c r="AN623" s="49"/>
      <c r="AO623" s="49"/>
      <c r="AP623" s="49"/>
      <c r="AQ623" s="49"/>
    </row>
    <row r="624" spans="39:43">
      <c r="AM624" s="49"/>
      <c r="AN624" s="49"/>
      <c r="AO624" s="49"/>
      <c r="AP624" s="49"/>
      <c r="AQ624" s="49"/>
    </row>
    <row r="625" spans="39:43">
      <c r="AM625" s="49"/>
      <c r="AN625" s="49"/>
      <c r="AO625" s="49"/>
      <c r="AP625" s="49"/>
      <c r="AQ625" s="49"/>
    </row>
    <row r="626" spans="39:43">
      <c r="AM626" s="49"/>
      <c r="AN626" s="49"/>
      <c r="AO626" s="49"/>
      <c r="AP626" s="49"/>
      <c r="AQ626" s="49"/>
    </row>
    <row r="627" spans="39:43">
      <c r="AM627" s="49"/>
      <c r="AN627" s="49"/>
      <c r="AO627" s="49"/>
      <c r="AP627" s="49"/>
      <c r="AQ627" s="49"/>
    </row>
    <row r="628" spans="39:43">
      <c r="AM628" s="49"/>
      <c r="AN628" s="49"/>
      <c r="AO628" s="49"/>
      <c r="AP628" s="49"/>
      <c r="AQ628" s="49"/>
    </row>
    <row r="629" spans="39:43">
      <c r="AM629" s="49"/>
      <c r="AN629" s="49"/>
      <c r="AO629" s="49"/>
      <c r="AP629" s="49"/>
      <c r="AQ629" s="49"/>
    </row>
    <row r="630" spans="39:43">
      <c r="AM630" s="49"/>
      <c r="AN630" s="49"/>
      <c r="AO630" s="49"/>
      <c r="AP630" s="49"/>
      <c r="AQ630" s="49"/>
    </row>
    <row r="631" spans="39:43">
      <c r="AM631" s="49"/>
      <c r="AN631" s="49"/>
      <c r="AO631" s="49"/>
      <c r="AP631" s="49"/>
      <c r="AQ631" s="49"/>
    </row>
    <row r="632" spans="39:43">
      <c r="AM632" s="49"/>
      <c r="AN632" s="49"/>
      <c r="AO632" s="49"/>
      <c r="AP632" s="49"/>
      <c r="AQ632" s="49"/>
    </row>
  </sheetData>
  <mergeCells count="2">
    <mergeCell ref="U3:Y3"/>
    <mergeCell ref="AA3:AE3"/>
  </mergeCells>
  <phoneticPr fontId="11" type="noConversion"/>
  <pageMargins left="0" right="0" top="0" bottom="0" header="0.5" footer="0.5"/>
  <pageSetup scale="37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Quote</vt:lpstr>
      <vt:lpstr>Inputs</vt:lpstr>
      <vt:lpstr>Spread Option</vt:lpstr>
      <vt:lpstr>'Spread Option'!mthbeg</vt:lpstr>
      <vt:lpstr>'Spread Option'!mthend</vt:lpstr>
      <vt:lpstr>'Spread Option'!Print_Area</vt:lpstr>
      <vt:lpstr>'Spread Option'!Print_Titles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2001-10-29T21:34:56Z</cp:lastPrinted>
  <dcterms:created xsi:type="dcterms:W3CDTF">1998-02-25T20:12:16Z</dcterms:created>
  <dcterms:modified xsi:type="dcterms:W3CDTF">2023-09-11T02:25:23Z</dcterms:modified>
</cp:coreProperties>
</file>