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1BFDAC-67EC-46C0-982B-E907B7D53913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Distribution" sheetId="8" r:id="rId2"/>
    <sheet name="St Dist" sheetId="9" r:id="rId3"/>
    <sheet name="Shimko" sheetId="5" r:id="rId4"/>
    <sheet name="ENA VolSkew" sheetId="10" r:id="rId5"/>
    <sheet name="expiry" sheetId="7" r:id="rId6"/>
  </sheets>
  <definedNames>
    <definedName name="_xlnm._FilterDatabase" localSheetId="5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VolSkew!$A$20:$G$26,VolSkew!$M$8:$O$14,VolSkew!$A$47:$G$53</definedName>
    <definedName name="pdfCoef">VolSkew!$AD$10</definedName>
    <definedName name="PremiumTop">VolSkew!$I$9</definedName>
    <definedName name="_xlnm.Print_Area" localSheetId="0">VolSkew!$A$1:$O$32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iterateDelta="9.9999999999999995E-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BK13" i="5"/>
  <c r="BM13" i="5"/>
  <c r="BO13" i="5"/>
  <c r="BP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BK14" i="5"/>
  <c r="BM14" i="5"/>
  <c r="BO14" i="5"/>
  <c r="BP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BK15" i="5"/>
  <c r="BM15" i="5"/>
  <c r="BO15" i="5"/>
  <c r="BP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BK16" i="5"/>
  <c r="BM16" i="5"/>
  <c r="BO16" i="5"/>
  <c r="BP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BK17" i="5"/>
  <c r="BM17" i="5"/>
  <c r="BO17" i="5"/>
  <c r="BP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BK18" i="5"/>
  <c r="BM18" i="5"/>
  <c r="BO18" i="5"/>
  <c r="BP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BK19" i="5"/>
  <c r="BM19" i="5"/>
  <c r="BO19" i="5"/>
  <c r="BP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BK20" i="5"/>
  <c r="BM20" i="5"/>
  <c r="BO20" i="5"/>
  <c r="BP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BK21" i="5"/>
  <c r="BM21" i="5"/>
  <c r="BO21" i="5"/>
  <c r="BP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BK22" i="5"/>
  <c r="BM22" i="5"/>
  <c r="BO22" i="5"/>
  <c r="BP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BK23" i="5"/>
  <c r="BM23" i="5"/>
  <c r="BO23" i="5"/>
  <c r="BP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BK24" i="5"/>
  <c r="BM24" i="5"/>
  <c r="BO24" i="5"/>
  <c r="BP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BK25" i="5"/>
  <c r="BM25" i="5"/>
  <c r="BO25" i="5"/>
  <c r="BP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BK26" i="5"/>
  <c r="BM26" i="5"/>
  <c r="BO26" i="5"/>
  <c r="BP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BK27" i="5"/>
  <c r="BM27" i="5"/>
  <c r="BO27" i="5"/>
  <c r="BP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BK28" i="5"/>
  <c r="BM28" i="5"/>
  <c r="BO28" i="5"/>
  <c r="BP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BK29" i="5"/>
  <c r="BM29" i="5"/>
  <c r="BO29" i="5"/>
  <c r="BP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BK30" i="5"/>
  <c r="BM30" i="5"/>
  <c r="BO30" i="5"/>
  <c r="BP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BK31" i="5"/>
  <c r="BM31" i="5"/>
  <c r="BO31" i="5"/>
  <c r="BP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BK32" i="5"/>
  <c r="BM32" i="5"/>
  <c r="BO32" i="5"/>
  <c r="BP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BK33" i="5"/>
  <c r="BM33" i="5"/>
  <c r="BO33" i="5"/>
  <c r="BP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BK34" i="5"/>
  <c r="BM34" i="5"/>
  <c r="BO34" i="5"/>
  <c r="BP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BK35" i="5"/>
  <c r="BM35" i="5"/>
  <c r="BO35" i="5"/>
  <c r="BP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BK36" i="5"/>
  <c r="BM36" i="5"/>
  <c r="BO36" i="5"/>
  <c r="BP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BK37" i="5"/>
  <c r="BM37" i="5"/>
  <c r="BO37" i="5"/>
  <c r="BP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BK38" i="5"/>
  <c r="BM38" i="5"/>
  <c r="BO38" i="5"/>
  <c r="BP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BK39" i="5"/>
  <c r="BM39" i="5"/>
  <c r="BO39" i="5"/>
  <c r="BP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BK40" i="5"/>
  <c r="BM40" i="5"/>
  <c r="BO40" i="5"/>
  <c r="BP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BK41" i="5"/>
  <c r="BM41" i="5"/>
  <c r="BO41" i="5"/>
  <c r="BP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BK42" i="5"/>
  <c r="BM42" i="5"/>
  <c r="BO42" i="5"/>
  <c r="BP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BK43" i="5"/>
  <c r="BM43" i="5"/>
  <c r="BO43" i="5"/>
  <c r="BP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BK44" i="5"/>
  <c r="BM44" i="5"/>
  <c r="BO44" i="5"/>
  <c r="BP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BK45" i="5"/>
  <c r="BM45" i="5"/>
  <c r="BO45" i="5"/>
  <c r="BP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BK46" i="5"/>
  <c r="BM46" i="5"/>
  <c r="BO46" i="5"/>
  <c r="BP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BK47" i="5"/>
  <c r="BM47" i="5"/>
  <c r="BO47" i="5"/>
  <c r="BP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BK48" i="5"/>
  <c r="BM48" i="5"/>
  <c r="BO48" i="5"/>
  <c r="BP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BK49" i="5"/>
  <c r="BM49" i="5"/>
  <c r="BO49" i="5"/>
  <c r="BP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BK50" i="5"/>
  <c r="BM50" i="5"/>
  <c r="BO50" i="5"/>
  <c r="BP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BK51" i="5"/>
  <c r="BM51" i="5"/>
  <c r="BO51" i="5"/>
  <c r="BP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BK52" i="5"/>
  <c r="BM52" i="5"/>
  <c r="BO52" i="5"/>
  <c r="BP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BK53" i="5"/>
  <c r="BM53" i="5"/>
  <c r="BO53" i="5"/>
  <c r="BP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BK54" i="5"/>
  <c r="BM54" i="5"/>
  <c r="BO54" i="5"/>
  <c r="BP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BK55" i="5"/>
  <c r="BM55" i="5"/>
  <c r="BO55" i="5"/>
  <c r="BP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BK56" i="5"/>
  <c r="BM56" i="5"/>
  <c r="BO56" i="5"/>
  <c r="BP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BK57" i="5"/>
  <c r="BM57" i="5"/>
  <c r="BO57" i="5"/>
  <c r="BP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BK58" i="5"/>
  <c r="BM58" i="5"/>
  <c r="BO58" i="5"/>
  <c r="BP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BK59" i="5"/>
  <c r="BM59" i="5"/>
  <c r="BO59" i="5"/>
  <c r="BP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BK60" i="5"/>
  <c r="BM60" i="5"/>
  <c r="BO60" i="5"/>
  <c r="BP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BK61" i="5"/>
  <c r="BM61" i="5"/>
  <c r="BO61" i="5"/>
  <c r="BP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BK62" i="5"/>
  <c r="BM62" i="5"/>
  <c r="BO62" i="5"/>
  <c r="BP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BK63" i="5"/>
  <c r="BM63" i="5"/>
  <c r="BO63" i="5"/>
  <c r="BP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BK64" i="5"/>
  <c r="BM64" i="5"/>
  <c r="BO64" i="5"/>
  <c r="BP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BK65" i="5"/>
  <c r="BM65" i="5"/>
  <c r="BO65" i="5"/>
  <c r="BP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BK66" i="5"/>
  <c r="BM66" i="5"/>
  <c r="BO66" i="5"/>
  <c r="BP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BK67" i="5"/>
  <c r="BM67" i="5"/>
  <c r="BO67" i="5"/>
  <c r="BP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BK68" i="5"/>
  <c r="BM68" i="5"/>
  <c r="BO68" i="5"/>
  <c r="BP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BK69" i="5"/>
  <c r="BM69" i="5"/>
  <c r="BO69" i="5"/>
  <c r="BP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BK70" i="5"/>
  <c r="BM70" i="5"/>
  <c r="BO70" i="5"/>
  <c r="BP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BK71" i="5"/>
  <c r="BM71" i="5"/>
  <c r="BO71" i="5"/>
  <c r="BP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BK72" i="5"/>
  <c r="BM72" i="5"/>
  <c r="BO72" i="5"/>
  <c r="BP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BK73" i="5"/>
  <c r="BM73" i="5"/>
  <c r="BO73" i="5"/>
  <c r="BP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BK74" i="5"/>
  <c r="BM74" i="5"/>
  <c r="BO74" i="5"/>
  <c r="BP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BK75" i="5"/>
  <c r="BM75" i="5"/>
  <c r="BO75" i="5"/>
  <c r="BP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BK76" i="5"/>
  <c r="BM76" i="5"/>
  <c r="BO76" i="5"/>
  <c r="BP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BK77" i="5"/>
  <c r="BM77" i="5"/>
  <c r="BO77" i="5"/>
  <c r="BP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BK78" i="5"/>
  <c r="BM78" i="5"/>
  <c r="BO78" i="5"/>
  <c r="BP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BK79" i="5"/>
  <c r="BM79" i="5"/>
  <c r="BO79" i="5"/>
  <c r="BP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BK80" i="5"/>
  <c r="BM80" i="5"/>
  <c r="BO80" i="5"/>
  <c r="BP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BK81" i="5"/>
  <c r="BM81" i="5"/>
  <c r="BO81" i="5"/>
  <c r="BP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BK82" i="5"/>
  <c r="BM82" i="5"/>
  <c r="BO82" i="5"/>
  <c r="BP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BK83" i="5"/>
  <c r="BM83" i="5"/>
  <c r="BO83" i="5"/>
  <c r="BP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BK84" i="5"/>
  <c r="BM84" i="5"/>
  <c r="BO84" i="5"/>
  <c r="BP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BK85" i="5"/>
  <c r="BM85" i="5"/>
  <c r="BO85" i="5"/>
  <c r="BP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BK86" i="5"/>
  <c r="BM86" i="5"/>
  <c r="BO86" i="5"/>
  <c r="BP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BK87" i="5"/>
  <c r="BM87" i="5"/>
  <c r="BO87" i="5"/>
  <c r="BP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BK88" i="5"/>
  <c r="BM88" i="5"/>
  <c r="BO88" i="5"/>
  <c r="BP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BK89" i="5"/>
  <c r="BM89" i="5"/>
  <c r="BO89" i="5"/>
  <c r="BP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BK90" i="5"/>
  <c r="BM90" i="5"/>
  <c r="BO90" i="5"/>
  <c r="BP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BK91" i="5"/>
  <c r="BM91" i="5"/>
  <c r="BO91" i="5"/>
  <c r="BP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BK92" i="5"/>
  <c r="BM92" i="5"/>
  <c r="BO92" i="5"/>
  <c r="BP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BK93" i="5"/>
  <c r="BM93" i="5"/>
  <c r="BO93" i="5"/>
  <c r="BP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BK94" i="5"/>
  <c r="BM94" i="5"/>
  <c r="BO94" i="5"/>
  <c r="BP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BK95" i="5"/>
  <c r="BM95" i="5"/>
  <c r="BO95" i="5"/>
  <c r="BP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BK96" i="5"/>
  <c r="BM96" i="5"/>
  <c r="BO96" i="5"/>
  <c r="BP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BK97" i="5"/>
  <c r="BM97" i="5"/>
  <c r="BO97" i="5"/>
  <c r="BP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BK98" i="5"/>
  <c r="BM98" i="5"/>
  <c r="BO98" i="5"/>
  <c r="BP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BK99" i="5"/>
  <c r="BM99" i="5"/>
  <c r="BO99" i="5"/>
  <c r="BP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BK100" i="5"/>
  <c r="BM100" i="5"/>
  <c r="BO100" i="5"/>
  <c r="BP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BK101" i="5"/>
  <c r="BM101" i="5"/>
  <c r="BO101" i="5"/>
  <c r="BP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BK102" i="5"/>
  <c r="BM102" i="5"/>
  <c r="BO102" i="5"/>
  <c r="BP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BK103" i="5"/>
  <c r="BM103" i="5"/>
  <c r="BO103" i="5"/>
  <c r="BP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BK104" i="5"/>
  <c r="BM104" i="5"/>
  <c r="BO104" i="5"/>
  <c r="BP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BK105" i="5"/>
  <c r="BM105" i="5"/>
  <c r="BO105" i="5"/>
  <c r="BP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BK106" i="5"/>
  <c r="BM106" i="5"/>
  <c r="BO106" i="5"/>
  <c r="BP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BK107" i="5"/>
  <c r="BM107" i="5"/>
  <c r="BO107" i="5"/>
  <c r="BP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BK108" i="5"/>
  <c r="BM108" i="5"/>
  <c r="BO108" i="5"/>
  <c r="BP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BK109" i="5"/>
  <c r="BM109" i="5"/>
  <c r="BO109" i="5"/>
  <c r="BP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BK110" i="5"/>
  <c r="BM110" i="5"/>
  <c r="BO110" i="5"/>
  <c r="BP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BK111" i="5"/>
  <c r="BM111" i="5"/>
  <c r="BO111" i="5"/>
  <c r="BP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BK112" i="5"/>
  <c r="BM112" i="5"/>
  <c r="BO112" i="5"/>
  <c r="BP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BK113" i="5"/>
  <c r="BM113" i="5"/>
  <c r="BO113" i="5"/>
  <c r="BP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BI114" i="5"/>
  <c r="BJ114" i="5"/>
  <c r="BK114" i="5"/>
  <c r="BM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BI115" i="5"/>
  <c r="BJ115" i="5"/>
  <c r="BK115" i="5"/>
  <c r="BM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BI116" i="5"/>
  <c r="BJ116" i="5"/>
  <c r="BK116" i="5"/>
  <c r="BM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BI117" i="5"/>
  <c r="BJ117" i="5"/>
  <c r="BK117" i="5"/>
  <c r="BM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BI118" i="5"/>
  <c r="BJ118" i="5"/>
  <c r="BK118" i="5"/>
  <c r="BM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BI119" i="5"/>
  <c r="BJ119" i="5"/>
  <c r="BK119" i="5"/>
  <c r="BM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BI120" i="5"/>
  <c r="BJ120" i="5"/>
  <c r="BK120" i="5"/>
  <c r="BM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BI121" i="5"/>
  <c r="BJ121" i="5"/>
  <c r="BK121" i="5"/>
  <c r="BM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BI122" i="5"/>
  <c r="BJ122" i="5"/>
  <c r="BK122" i="5"/>
  <c r="BM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BI123" i="5"/>
  <c r="BJ123" i="5"/>
  <c r="BK123" i="5"/>
  <c r="BM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BI124" i="5"/>
  <c r="BJ124" i="5"/>
  <c r="BK124" i="5"/>
  <c r="BM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BI125" i="5"/>
  <c r="BJ125" i="5"/>
  <c r="BK125" i="5"/>
  <c r="BM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BI126" i="5"/>
  <c r="BJ126" i="5"/>
  <c r="BK126" i="5"/>
  <c r="BM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BI127" i="5"/>
  <c r="BJ127" i="5"/>
  <c r="BK127" i="5"/>
  <c r="BM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BI128" i="5"/>
  <c r="BJ128" i="5"/>
  <c r="BK128" i="5"/>
  <c r="BM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BI129" i="5"/>
  <c r="BJ129" i="5"/>
  <c r="BK129" i="5"/>
  <c r="BM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BI130" i="5"/>
  <c r="BJ130" i="5"/>
  <c r="BK130" i="5"/>
  <c r="BM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BI131" i="5"/>
  <c r="BJ131" i="5"/>
  <c r="BK131" i="5"/>
  <c r="BM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BI132" i="5"/>
  <c r="BJ132" i="5"/>
  <c r="BK132" i="5"/>
  <c r="BM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BI133" i="5"/>
  <c r="BJ133" i="5"/>
  <c r="BK133" i="5"/>
  <c r="BM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BI134" i="5"/>
  <c r="BJ134" i="5"/>
  <c r="BK134" i="5"/>
  <c r="BM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BI135" i="5"/>
  <c r="BJ135" i="5"/>
  <c r="BK135" i="5"/>
  <c r="BM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BI136" i="5"/>
  <c r="BJ136" i="5"/>
  <c r="BK136" i="5"/>
  <c r="BM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BI137" i="5"/>
  <c r="BJ137" i="5"/>
  <c r="BK137" i="5"/>
  <c r="BM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BI138" i="5"/>
  <c r="BJ138" i="5"/>
  <c r="BK138" i="5"/>
  <c r="BM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BI139" i="5"/>
  <c r="BJ139" i="5"/>
  <c r="BK139" i="5"/>
  <c r="BM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BI140" i="5"/>
  <c r="BJ140" i="5"/>
  <c r="BK140" i="5"/>
  <c r="BM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BI141" i="5"/>
  <c r="BJ141" i="5"/>
  <c r="BK141" i="5"/>
  <c r="BM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BI142" i="5"/>
  <c r="BJ142" i="5"/>
  <c r="BK142" i="5"/>
  <c r="BM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BI143" i="5"/>
  <c r="BJ143" i="5"/>
  <c r="BK143" i="5"/>
  <c r="BM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BI144" i="5"/>
  <c r="BJ144" i="5"/>
  <c r="BK144" i="5"/>
  <c r="BM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BI145" i="5"/>
  <c r="BJ145" i="5"/>
  <c r="BK145" i="5"/>
  <c r="BM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BI146" i="5"/>
  <c r="BJ146" i="5"/>
  <c r="BK146" i="5"/>
  <c r="BM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BI147" i="5"/>
  <c r="BJ147" i="5"/>
  <c r="BK147" i="5"/>
  <c r="BM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BI148" i="5"/>
  <c r="BJ148" i="5"/>
  <c r="BK148" i="5"/>
  <c r="BM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BI149" i="5"/>
  <c r="BJ149" i="5"/>
  <c r="BK149" i="5"/>
  <c r="BM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BI150" i="5"/>
  <c r="BJ150" i="5"/>
  <c r="BK150" i="5"/>
  <c r="BM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BI151" i="5"/>
  <c r="BJ151" i="5"/>
  <c r="BK151" i="5"/>
  <c r="BM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BI152" i="5"/>
  <c r="BJ152" i="5"/>
  <c r="BK152" i="5"/>
  <c r="BM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BI153" i="5"/>
  <c r="BJ153" i="5"/>
  <c r="BK153" i="5"/>
  <c r="BM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BI154" i="5"/>
  <c r="BJ154" i="5"/>
  <c r="BK154" i="5"/>
  <c r="BM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BI155" i="5"/>
  <c r="BJ155" i="5"/>
  <c r="BK155" i="5"/>
  <c r="BM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BI156" i="5"/>
  <c r="BJ156" i="5"/>
  <c r="BK156" i="5"/>
  <c r="BM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BI157" i="5"/>
  <c r="BJ157" i="5"/>
  <c r="BK157" i="5"/>
  <c r="BM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BI158" i="5"/>
  <c r="BJ158" i="5"/>
  <c r="BK158" i="5"/>
  <c r="BM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BI159" i="5"/>
  <c r="BJ159" i="5"/>
  <c r="BK159" i="5"/>
  <c r="BM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BI160" i="5"/>
  <c r="BJ160" i="5"/>
  <c r="BK160" i="5"/>
  <c r="BM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BI161" i="5"/>
  <c r="BJ161" i="5"/>
  <c r="BK161" i="5"/>
  <c r="BM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BI162" i="5"/>
  <c r="BJ162" i="5"/>
  <c r="BK162" i="5"/>
  <c r="BM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BI163" i="5"/>
  <c r="BJ163" i="5"/>
  <c r="BK163" i="5"/>
  <c r="BM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BI164" i="5"/>
  <c r="BJ164" i="5"/>
  <c r="BK164" i="5"/>
  <c r="BM164" i="5"/>
  <c r="R1" i="4"/>
  <c r="K2" i="4"/>
  <c r="R2" i="4"/>
  <c r="C4" i="4"/>
  <c r="C7" i="4"/>
  <c r="W7" i="4"/>
  <c r="L9" i="4"/>
  <c r="M9" i="4"/>
  <c r="N9" i="4"/>
  <c r="Q9" i="4"/>
  <c r="R9" i="4"/>
  <c r="B10" i="4"/>
  <c r="C10" i="4"/>
  <c r="D10" i="4"/>
  <c r="E10" i="4"/>
  <c r="F10" i="4"/>
  <c r="G10" i="4"/>
  <c r="L10" i="4"/>
  <c r="M10" i="4"/>
  <c r="N10" i="4"/>
  <c r="Q10" i="4"/>
  <c r="R10" i="4"/>
  <c r="X10" i="4"/>
  <c r="Y10" i="4"/>
  <c r="Z10" i="4"/>
  <c r="AA10" i="4"/>
  <c r="AD10" i="4"/>
  <c r="AE10" i="4"/>
  <c r="AF10" i="4"/>
  <c r="AG10" i="4"/>
  <c r="L11" i="4"/>
  <c r="M11" i="4"/>
  <c r="N11" i="4"/>
  <c r="Q11" i="4"/>
  <c r="R11" i="4"/>
  <c r="X11" i="4"/>
  <c r="Y11" i="4"/>
  <c r="Z11" i="4"/>
  <c r="AA11" i="4"/>
  <c r="AE11" i="4"/>
  <c r="AF11" i="4"/>
  <c r="AG11" i="4"/>
  <c r="L12" i="4"/>
  <c r="M12" i="4"/>
  <c r="N12" i="4"/>
  <c r="Q12" i="4"/>
  <c r="R12" i="4"/>
  <c r="X12" i="4"/>
  <c r="Y12" i="4"/>
  <c r="Z12" i="4"/>
  <c r="AA12" i="4"/>
  <c r="AF12" i="4"/>
  <c r="AG12" i="4"/>
  <c r="L13" i="4"/>
  <c r="M13" i="4"/>
  <c r="N13" i="4"/>
  <c r="Q13" i="4"/>
  <c r="R13" i="4"/>
  <c r="Y13" i="4"/>
  <c r="Z13" i="4"/>
  <c r="AA13" i="4"/>
  <c r="AG13" i="4"/>
  <c r="L14" i="4"/>
  <c r="M14" i="4"/>
  <c r="N14" i="4"/>
  <c r="Q14" i="4"/>
  <c r="R14" i="4"/>
  <c r="Z14" i="4"/>
  <c r="AA14" i="4"/>
  <c r="L15" i="4"/>
  <c r="M15" i="4"/>
  <c r="N15" i="4"/>
  <c r="Q15" i="4"/>
  <c r="R15" i="4"/>
  <c r="AA15" i="4"/>
  <c r="L16" i="4"/>
  <c r="M16" i="4"/>
  <c r="N16" i="4"/>
  <c r="Q16" i="4"/>
  <c r="R16" i="4"/>
  <c r="L17" i="4"/>
  <c r="M17" i="4"/>
  <c r="N17" i="4"/>
  <c r="Q17" i="4"/>
  <c r="R17" i="4"/>
  <c r="L18" i="4"/>
  <c r="M18" i="4"/>
  <c r="N18" i="4"/>
  <c r="Q18" i="4"/>
  <c r="R18" i="4"/>
  <c r="L19" i="4"/>
  <c r="M19" i="4"/>
  <c r="N19" i="4"/>
  <c r="Q19" i="4"/>
  <c r="R19" i="4"/>
  <c r="L20" i="4"/>
  <c r="M20" i="4"/>
  <c r="N20" i="4"/>
  <c r="Q20" i="4"/>
  <c r="R20" i="4"/>
  <c r="L21" i="4"/>
  <c r="M21" i="4"/>
  <c r="N21" i="4"/>
  <c r="Q21" i="4"/>
  <c r="R21" i="4"/>
  <c r="L22" i="4"/>
  <c r="M22" i="4"/>
  <c r="N22" i="4"/>
  <c r="Q22" i="4"/>
  <c r="R22" i="4"/>
  <c r="L23" i="4"/>
  <c r="M23" i="4"/>
  <c r="N23" i="4"/>
  <c r="Q23" i="4"/>
  <c r="R23" i="4"/>
  <c r="L24" i="4"/>
  <c r="M24" i="4"/>
  <c r="N24" i="4"/>
  <c r="Q24" i="4"/>
  <c r="R24" i="4"/>
  <c r="L25" i="4"/>
  <c r="M25" i="4"/>
  <c r="N25" i="4"/>
  <c r="Q25" i="4"/>
  <c r="R25" i="4"/>
  <c r="L26" i="4"/>
  <c r="M26" i="4"/>
  <c r="N26" i="4"/>
  <c r="Q26" i="4"/>
  <c r="R26" i="4"/>
  <c r="L27" i="4"/>
  <c r="M27" i="4"/>
  <c r="N27" i="4"/>
  <c r="Q27" i="4"/>
  <c r="R27" i="4"/>
  <c r="L28" i="4"/>
  <c r="M28" i="4"/>
  <c r="N28" i="4"/>
  <c r="Q28" i="4"/>
  <c r="R28" i="4"/>
  <c r="X28" i="4"/>
  <c r="L29" i="4"/>
  <c r="M29" i="4"/>
  <c r="N29" i="4"/>
  <c r="Q29" i="4"/>
  <c r="R29" i="4"/>
  <c r="W29" i="4"/>
  <c r="X29" i="4"/>
  <c r="AO29" i="4"/>
  <c r="AP29" i="4"/>
  <c r="AQ29" i="4"/>
  <c r="AR29" i="4"/>
  <c r="L30" i="4"/>
  <c r="M30" i="4"/>
  <c r="N30" i="4"/>
  <c r="Q30" i="4"/>
  <c r="R30" i="4"/>
  <c r="AG30" i="4"/>
  <c r="AH30" i="4"/>
  <c r="AI30" i="4"/>
  <c r="AJ30" i="4"/>
  <c r="AK30" i="4"/>
  <c r="AO30" i="4"/>
  <c r="AP30" i="4"/>
  <c r="AQ30" i="4"/>
  <c r="AR30" i="4"/>
  <c r="AG31" i="4"/>
  <c r="AH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H32" i="4"/>
  <c r="AI32" i="4"/>
  <c r="AJ32" i="4"/>
  <c r="AK32" i="4"/>
  <c r="AP32" i="4"/>
  <c r="AQ32" i="4"/>
  <c r="AR32" i="4"/>
  <c r="W33" i="4"/>
  <c r="X33" i="4"/>
  <c r="Z33" i="4"/>
  <c r="AA33" i="4"/>
  <c r="AG33" i="4"/>
  <c r="AH33" i="4"/>
  <c r="AI33" i="4"/>
  <c r="AJ33" i="4"/>
  <c r="AK33" i="4"/>
  <c r="AQ33" i="4"/>
  <c r="AR33" i="4"/>
  <c r="W34" i="4"/>
  <c r="X34" i="4"/>
  <c r="Z34" i="4"/>
  <c r="AA34" i="4"/>
  <c r="AG34" i="4"/>
  <c r="AH34" i="4"/>
  <c r="AI34" i="4"/>
  <c r="AJ34" i="4"/>
  <c r="AK34" i="4"/>
  <c r="AR34" i="4"/>
  <c r="W35" i="4"/>
  <c r="X35" i="4"/>
  <c r="Z35" i="4"/>
  <c r="AA35" i="4"/>
  <c r="AG35" i="4"/>
  <c r="AH35" i="4"/>
  <c r="AI35" i="4"/>
  <c r="AJ35" i="4"/>
  <c r="AK35" i="4"/>
  <c r="W36" i="4"/>
  <c r="X36" i="4"/>
  <c r="Z36" i="4"/>
  <c r="AA36" i="4"/>
  <c r="AG36" i="4"/>
  <c r="AH36" i="4"/>
  <c r="AI36" i="4"/>
  <c r="AJ36" i="4"/>
  <c r="AK36" i="4"/>
  <c r="W37" i="4"/>
  <c r="X37" i="4"/>
  <c r="Z37" i="4"/>
  <c r="AA37" i="4"/>
  <c r="AG37" i="4"/>
  <c r="AH37" i="4"/>
  <c r="AI37" i="4"/>
  <c r="AJ37" i="4"/>
  <c r="AK37" i="4"/>
  <c r="W38" i="4"/>
  <c r="X38" i="4"/>
  <c r="Z38" i="4"/>
  <c r="AA38" i="4"/>
  <c r="AG38" i="4"/>
  <c r="AH38" i="4"/>
  <c r="AI38" i="4"/>
  <c r="AJ38" i="4"/>
  <c r="AK38" i="4"/>
  <c r="W39" i="4"/>
  <c r="X39" i="4"/>
  <c r="Z39" i="4"/>
  <c r="AA39" i="4"/>
  <c r="AG39" i="4"/>
  <c r="AH39" i="4"/>
  <c r="AI39" i="4"/>
  <c r="AJ39" i="4"/>
  <c r="AK39" i="4"/>
  <c r="W40" i="4"/>
  <c r="X40" i="4"/>
  <c r="Z40" i="4"/>
  <c r="AA40" i="4"/>
  <c r="AG40" i="4"/>
  <c r="AH40" i="4"/>
  <c r="AI40" i="4"/>
  <c r="AJ40" i="4"/>
  <c r="AK40" i="4"/>
  <c r="W41" i="4"/>
  <c r="X41" i="4"/>
  <c r="Z41" i="4"/>
  <c r="AA41" i="4"/>
  <c r="AG41" i="4"/>
  <c r="AH41" i="4"/>
  <c r="AI41" i="4"/>
  <c r="AJ41" i="4"/>
  <c r="AK41" i="4"/>
  <c r="W42" i="4"/>
  <c r="X42" i="4"/>
  <c r="Z42" i="4"/>
  <c r="AA42" i="4"/>
  <c r="AG42" i="4"/>
  <c r="AH42" i="4"/>
  <c r="AI42" i="4"/>
  <c r="AJ42" i="4"/>
  <c r="AK42" i="4"/>
  <c r="W43" i="4"/>
  <c r="X43" i="4"/>
  <c r="Z43" i="4"/>
  <c r="AA43" i="4"/>
  <c r="AG43" i="4"/>
  <c r="AH43" i="4"/>
  <c r="AI43" i="4"/>
  <c r="AJ43" i="4"/>
  <c r="AK43" i="4"/>
  <c r="W44" i="4"/>
  <c r="X44" i="4"/>
  <c r="Z44" i="4"/>
  <c r="AA44" i="4"/>
  <c r="AG44" i="4"/>
  <c r="AH44" i="4"/>
  <c r="AI44" i="4"/>
  <c r="AJ44" i="4"/>
  <c r="AK44" i="4"/>
  <c r="Z45" i="4"/>
  <c r="AA45" i="4"/>
  <c r="AG45" i="4"/>
  <c r="AH45" i="4"/>
  <c r="AI45" i="4"/>
  <c r="AJ45" i="4"/>
  <c r="AK45" i="4"/>
  <c r="Z46" i="4"/>
  <c r="AA46" i="4"/>
  <c r="AG46" i="4"/>
  <c r="AH46" i="4"/>
  <c r="AI46" i="4"/>
  <c r="AJ46" i="4"/>
  <c r="AK46" i="4"/>
  <c r="Z47" i="4"/>
  <c r="AA47" i="4"/>
  <c r="AG47" i="4"/>
  <c r="AH47" i="4"/>
  <c r="AI47" i="4"/>
  <c r="AJ47" i="4"/>
  <c r="AK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<sst xmlns="http://schemas.openxmlformats.org/spreadsheetml/2006/main" count="205" uniqueCount="124">
  <si>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</si>
  <si>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</si>
  <si>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</si>
  <si>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</si>
  <si>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</si>
  <si>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</si>
  <si>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</si>
  <si>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</si>
  <si>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</si>
  <si>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</si>
  <si>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</si>
  <si>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</si>
  <si>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</si>
  <si>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</si>
  <si>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</si>
  <si>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</si>
  <si>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</si>
  <si>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</si>
  <si>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</si>
  <si>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</si>
  <si>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</si>
  <si>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</si>
  <si>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</si>
  <si>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</si>
  <si>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</si>
  <si>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</si>
  <si>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</si>
  <si>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</si>
  <si>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</si>
  <si>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</si>
  <si>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</si>
  <si>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</si>
  <si>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</si>
  <si>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</si>
  <si>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</si>
  <si>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</si>
  <si>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</si>
  <si>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</si>
  <si>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</si>
  <si>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</si>
  <si>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</si>
  <si>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</si>
  <si>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</si>
  <si>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</si>
  <si>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</si>
  <si>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</si>
  <si>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</si>
  <si>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</si>
  <si>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</si>
  <si>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</si>
  <si>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</si>
  <si>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</si>
  <si>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</si>
  <si>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</si>
  <si>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</si>
  <si>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</si>
  <si>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</si>
  <si>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</si>
  <si>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</si>
  <si>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</si>
  <si>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</si>
  <si>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</si>
  <si>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</si>
  <si>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</si>
  <si>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</si>
  <si>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</si>
  <si>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</si>
  <si>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</si>
  <si>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</si>
  <si>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</si>
  <si>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</si>
  <si>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</si>
  <si>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</si>
  <si>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</si>
  <si>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</si>
  <si>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</si>
  <si>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</si>
  <si>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</si>
  <si>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</si>
  <si>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</si>
  <si>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</si>
  <si>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</si>
  <si>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</si>
  <si>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</si>
  <si>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</si>
  <si>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</si>
  <si>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</si>
  <si>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</si>
  <si>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</si>
  <si>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</si>
  <si>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</si>
  <si>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</si>
  <si>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</si>
  <si>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</si>
  <si>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</si>
  <si>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</si>
  <si>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</si>
  <si>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</si>
  <si>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</si>
  <si>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</si>
  <si>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</si>
  <si>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</si>
  <si>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</si>
  <si>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</si>
  <si>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</si>
  <si>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</si>
  <si>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</si>
  <si>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</si>
  <si>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</si>
  <si>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</si>
  <si>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</si>
  <si>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ENA Skew</t>
  </si>
  <si>
    <t>ENA to Market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</si>
  <si>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</si>
  <si>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</si>
  <si>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</si>
  <si>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</si>
  <si>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</si>
  <si>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</si>
  <si>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</si>
  <si>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</si>
  <si>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</si>
  <si>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ENA Pre.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</si>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</sst>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28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1409331175"/>
          <c:y val="9.961723096724949E-2"/>
          <c:w val="0.79138497241924521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40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-0.13999999999999999</c:v>
                </c:pt>
                <c:pt idx="4">
                  <c:v>-0.12999999999999998</c:v>
                </c:pt>
                <c:pt idx="5">
                  <c:v>-0.11999999999999998</c:v>
                </c:pt>
                <c:pt idx="6">
                  <c:v>-0.10999999999999999</c:v>
                </c:pt>
                <c:pt idx="7">
                  <c:v>-9.9999999999999992E-2</c:v>
                </c:pt>
                <c:pt idx="8">
                  <c:v>-0.09</c:v>
                </c:pt>
                <c:pt idx="9">
                  <c:v>-0.08</c:v>
                </c:pt>
                <c:pt idx="10">
                  <c:v>-7.0000000000000007E-2</c:v>
                </c:pt>
                <c:pt idx="11">
                  <c:v>-6.0000000000000005E-2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-1.9999999999999997E-2</c:v>
                </c:pt>
                <c:pt idx="16">
                  <c:v>-9.9999999999999967E-3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6.0000000000000005E-2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0.10999999999999999</c:v>
                </c:pt>
                <c:pt idx="29">
                  <c:v>0.11999999999999998</c:v>
                </c:pt>
                <c:pt idx="30">
                  <c:v>0.12999999999999998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0.18000000000000002</c:v>
                </c:pt>
                <c:pt idx="36">
                  <c:v>0.19000000000000003</c:v>
                </c:pt>
                <c:pt idx="37">
                  <c:v>0.20000000000000004</c:v>
                </c:pt>
                <c:pt idx="38">
                  <c:v>0.21000000000000005</c:v>
                </c:pt>
                <c:pt idx="39">
                  <c:v>0.22000000000000006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40"/>
                <c:pt idx="0">
                  <c:v>0.56164808629999996</c:v>
                </c:pt>
                <c:pt idx="1">
                  <c:v>0.55794850560000009</c:v>
                </c:pt>
                <c:pt idx="2">
                  <c:v>0.55451656250000003</c:v>
                </c:pt>
                <c:pt idx="3">
                  <c:v>0.55134494239999998</c:v>
                </c:pt>
                <c:pt idx="4">
                  <c:v>0.54842633070000002</c:v>
                </c:pt>
                <c:pt idx="5">
                  <c:v>0.5457534128</c:v>
                </c:pt>
                <c:pt idx="6">
                  <c:v>0.5433188740999999</c:v>
                </c:pt>
                <c:pt idx="7">
                  <c:v>0.54111540000000002</c:v>
                </c:pt>
                <c:pt idx="8">
                  <c:v>0.5391356759</c:v>
                </c:pt>
                <c:pt idx="9">
                  <c:v>0.53737238719999991</c:v>
                </c:pt>
                <c:pt idx="10">
                  <c:v>0.53581821929999995</c:v>
                </c:pt>
                <c:pt idx="11">
                  <c:v>0.53446585759999998</c:v>
                </c:pt>
                <c:pt idx="12">
                  <c:v>0.53330798750000008</c:v>
                </c:pt>
                <c:pt idx="13">
                  <c:v>0.53233729439999999</c:v>
                </c:pt>
                <c:pt idx="14">
                  <c:v>0.53154646370000003</c:v>
                </c:pt>
                <c:pt idx="15">
                  <c:v>0.53092818080000004</c:v>
                </c:pt>
                <c:pt idx="16">
                  <c:v>0.5304751311</c:v>
                </c:pt>
                <c:pt idx="17">
                  <c:v>0.53017999999999998</c:v>
                </c:pt>
                <c:pt idx="18">
                  <c:v>0.53003547290000008</c:v>
                </c:pt>
                <c:pt idx="19">
                  <c:v>0.53003423519999993</c:v>
                </c:pt>
                <c:pt idx="20">
                  <c:v>0.53016897230000004</c:v>
                </c:pt>
                <c:pt idx="21">
                  <c:v>0.53043236959999995</c:v>
                </c:pt>
                <c:pt idx="22">
                  <c:v>0.53081711249999997</c:v>
                </c:pt>
                <c:pt idx="23">
                  <c:v>0.53131588639999994</c:v>
                </c:pt>
                <c:pt idx="24">
                  <c:v>0.53192137670000006</c:v>
                </c:pt>
                <c:pt idx="25">
                  <c:v>0.53262626879999997</c:v>
                </c:pt>
                <c:pt idx="26">
                  <c:v>0.53342324809999997</c:v>
                </c:pt>
                <c:pt idx="27">
                  <c:v>0.53430500000000003</c:v>
                </c:pt>
                <c:pt idx="28">
                  <c:v>0.53526420990000001</c:v>
                </c:pt>
                <c:pt idx="29">
                  <c:v>0.53629356319999999</c:v>
                </c:pt>
                <c:pt idx="30">
                  <c:v>0.53738574530000005</c:v>
                </c:pt>
                <c:pt idx="31">
                  <c:v>0.53853344159999994</c:v>
                </c:pt>
                <c:pt idx="32">
                  <c:v>0.53972933749999996</c:v>
                </c:pt>
                <c:pt idx="33">
                  <c:v>0.54096611839999997</c:v>
                </c:pt>
                <c:pt idx="34">
                  <c:v>0.54223646969999995</c:v>
                </c:pt>
                <c:pt idx="35">
                  <c:v>0.54353307679999996</c:v>
                </c:pt>
                <c:pt idx="36">
                  <c:v>0.54484862509999998</c:v>
                </c:pt>
                <c:pt idx="37">
                  <c:v>0.54617579999999999</c:v>
                </c:pt>
                <c:pt idx="38">
                  <c:v>0.54750728690000006</c:v>
                </c:pt>
                <c:pt idx="39">
                  <c:v>0.54883577120000004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E-42D2-A25D-4CAB73A386C5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7"/>
                <c:pt idx="0">
                  <c:v>1.1423131841979961E-2</c:v>
                </c:pt>
                <c:pt idx="1">
                  <c:v>2.3322227510709226E-2</c:v>
                </c:pt>
                <c:pt idx="2">
                  <c:v>3.5221323179438269E-2</c:v>
                </c:pt>
                <c:pt idx="3">
                  <c:v>4.7120418848167533E-2</c:v>
                </c:pt>
                <c:pt idx="4">
                  <c:v>7.0918610185625841E-2</c:v>
                </c:pt>
                <c:pt idx="5">
                  <c:v>0.13041408852927172</c:v>
                </c:pt>
                <c:pt idx="6">
                  <c:v>0.14231318419800099</c:v>
                </c:pt>
                <c:pt idx="7">
                  <c:v>0.15421227986673003</c:v>
                </c:pt>
                <c:pt idx="8">
                  <c:v>0.16611137553545929</c:v>
                </c:pt>
                <c:pt idx="9">
                  <c:v>0.1899095668729176</c:v>
                </c:pt>
                <c:pt idx="10">
                  <c:v>0.21370775821037591</c:v>
                </c:pt>
                <c:pt idx="11">
                  <c:v>-0.16706330318895768</c:v>
                </c:pt>
                <c:pt idx="12">
                  <c:v>-0.1075678248453118</c:v>
                </c:pt>
                <c:pt idx="13">
                  <c:v>-9.5668729176582645E-2</c:v>
                </c:pt>
                <c:pt idx="14">
                  <c:v>-4.8072346501665919E-2</c:v>
                </c:pt>
                <c:pt idx="15">
                  <c:v>-4.7596382674908178E-4</c:v>
                </c:pt>
                <c:pt idx="16">
                  <c:v>1.1423131841979961E-2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7"/>
                <c:pt idx="0">
                  <c:v>0.52690267430489646</c:v>
                </c:pt>
                <c:pt idx="1">
                  <c:v>0.52851992837588857</c:v>
                </c:pt>
                <c:pt idx="2">
                  <c:v>0.52861355224701423</c:v>
                </c:pt>
                <c:pt idx="3">
                  <c:v>0.53009183156561124</c:v>
                </c:pt>
                <c:pt idx="4">
                  <c:v>0.53475986345565296</c:v>
                </c:pt>
                <c:pt idx="5">
                  <c:v>0.53622745923018977</c:v>
                </c:pt>
                <c:pt idx="6">
                  <c:v>0.54198648230938262</c:v>
                </c:pt>
                <c:pt idx="7">
                  <c:v>0.5413273944620941</c:v>
                </c:pt>
                <c:pt idx="8">
                  <c:v>0.54353499692597496</c:v>
                </c:pt>
                <c:pt idx="9">
                  <c:v>0.54115645478591612</c:v>
                </c:pt>
                <c:pt idx="10">
                  <c:v>0.54853667092080383</c:v>
                </c:pt>
                <c:pt idx="11">
                  <c:v>0.56589546685419223</c:v>
                </c:pt>
                <c:pt idx="12">
                  <c:v>0.48744601672951321</c:v>
                </c:pt>
                <c:pt idx="13">
                  <c:v>0.58811255097817561</c:v>
                </c:pt>
                <c:pt idx="14">
                  <c:v>0.54681985768580998</c:v>
                </c:pt>
                <c:pt idx="15">
                  <c:v>0.52389266713171556</c:v>
                </c:pt>
                <c:pt idx="16">
                  <c:v>0.5270996690451083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E-42D2-A25D-4CAB73A386C5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-0.35697287006187528</c:v>
                </c:pt>
                <c:pt idx="1">
                  <c:v>-0.11899095668729176</c:v>
                </c:pt>
                <c:pt idx="2">
                  <c:v>0</c:v>
                </c:pt>
                <c:pt idx="3">
                  <c:v>0.11899095668729176</c:v>
                </c:pt>
                <c:pt idx="4">
                  <c:v>0.23798191337458352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0.54</c:v>
                </c:pt>
                <c:pt idx="1">
                  <c:v>0.52750000000000008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EE-42D2-A25D-4CAB73A38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15807"/>
        <c:axId val="1"/>
      </c:scatterChart>
      <c:valAx>
        <c:axId val="608715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548838198072116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605472305201923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715807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779134295227528E-2"/>
          <c:y val="0.11582381729200653"/>
          <c:w val="0.86459489456159822"/>
          <c:h val="0.72104404567699842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0.26678456086014207</c:v>
                </c:pt>
                <c:pt idx="1">
                  <c:v>0.28312695594261061</c:v>
                </c:pt>
                <c:pt idx="2">
                  <c:v>0.30005828726632761</c:v>
                </c:pt>
                <c:pt idx="3">
                  <c:v>0.31756006420972671</c:v>
                </c:pt>
                <c:pt idx="4">
                  <c:v>0.33560953395242166</c:v>
                </c:pt>
                <c:pt idx="5">
                  <c:v>0.35417960379522601</c:v>
                </c:pt>
                <c:pt idx="6">
                  <c:v>0.37323876498857705</c:v>
                </c:pt>
                <c:pt idx="7">
                  <c:v>0.39275104532353494</c:v>
                </c:pt>
                <c:pt idx="8">
                  <c:v>0.41267601581900598</c:v>
                </c:pt>
                <c:pt idx="9">
                  <c:v>0.43296885576483735</c:v>
                </c:pt>
                <c:pt idx="10">
                  <c:v>0.45358042604975524</c:v>
                </c:pt>
                <c:pt idx="11">
                  <c:v>0.47445742677431602</c:v>
                </c:pt>
                <c:pt idx="12">
                  <c:v>0.4955425907372194</c:v>
                </c:pt>
                <c:pt idx="13">
                  <c:v>0.5167749072731681</c:v>
                </c:pt>
                <c:pt idx="14">
                  <c:v>0.53808992339835326</c:v>
                </c:pt>
                <c:pt idx="15">
                  <c:v>0.55942006896113483</c:v>
                </c:pt>
                <c:pt idx="16">
                  <c:v>0.58069506091085443</c:v>
                </c:pt>
                <c:pt idx="17">
                  <c:v>0.601842273078811</c:v>
                </c:pt>
                <c:pt idx="18">
                  <c:v>0.62278725693092352</c:v>
                </c:pt>
                <c:pt idx="19">
                  <c:v>0.64345419736211296</c:v>
                </c:pt>
                <c:pt idx="20">
                  <c:v>0.66376643653863998</c:v>
                </c:pt>
                <c:pt idx="21">
                  <c:v>0.68364705090685562</c:v>
                </c:pt>
                <c:pt idx="22">
                  <c:v>0.70301939019154047</c:v>
                </c:pt>
                <c:pt idx="23">
                  <c:v>0.7218076701275794</c:v>
                </c:pt>
                <c:pt idx="24">
                  <c:v>0.73993757636750823</c:v>
                </c:pt>
                <c:pt idx="25">
                  <c:v>0.75733682365524235</c:v>
                </c:pt>
                <c:pt idx="26">
                  <c:v>0.77393575001083859</c:v>
                </c:pt>
                <c:pt idx="27">
                  <c:v>0.78966790757297789</c:v>
                </c:pt>
                <c:pt idx="28">
                  <c:v>0.80447056709402243</c:v>
                </c:pt>
                <c:pt idx="29">
                  <c:v>0.81828527363997738</c:v>
                </c:pt>
                <c:pt idx="30">
                  <c:v>0.83105833721783418</c:v>
                </c:pt>
                <c:pt idx="31">
                  <c:v>0.84274126507961544</c:v>
                </c:pt>
                <c:pt idx="32">
                  <c:v>0.85329118354493416</c:v>
                </c:pt>
                <c:pt idx="33">
                  <c:v>0.86267121947121705</c:v>
                </c:pt>
                <c:pt idx="34">
                  <c:v>0.87085077938816935</c:v>
                </c:pt>
                <c:pt idx="35">
                  <c:v>0.87780585045243442</c:v>
                </c:pt>
                <c:pt idx="36">
                  <c:v>0.88351916651153972</c:v>
                </c:pt>
                <c:pt idx="37">
                  <c:v>0.88798038064515072</c:v>
                </c:pt>
                <c:pt idx="38">
                  <c:v>0.89118615078510688</c:v>
                </c:pt>
                <c:pt idx="39">
                  <c:v>0.89314015675220038</c:v>
                </c:pt>
                <c:pt idx="40">
                  <c:v>0.89385310557759767</c:v>
                </c:pt>
                <c:pt idx="41">
                  <c:v>0.89334260272212196</c:v>
                </c:pt>
                <c:pt idx="42">
                  <c:v>0.89163306445506996</c:v>
                </c:pt>
                <c:pt idx="43">
                  <c:v>0.88638415248743641</c:v>
                </c:pt>
                <c:pt idx="44">
                  <c:v>0.88204568399083372</c:v>
                </c:pt>
                <c:pt idx="45">
                  <c:v>0.87635167149016713</c:v>
                </c:pt>
                <c:pt idx="46">
                  <c:v>0.87162127006309487</c:v>
                </c:pt>
                <c:pt idx="47">
                  <c:v>0.8635566185979674</c:v>
                </c:pt>
                <c:pt idx="48">
                  <c:v>0.85449718527240481</c:v>
                </c:pt>
                <c:pt idx="49">
                  <c:v>0.84448187535562858</c:v>
                </c:pt>
                <c:pt idx="50">
                  <c:v>0.83355411831372972</c:v>
                </c:pt>
                <c:pt idx="51">
                  <c:v>0.82176131768533256</c:v>
                </c:pt>
                <c:pt idx="52">
                  <c:v>0.80915421645234353</c:v>
                </c:pt>
                <c:pt idx="53">
                  <c:v>0.79578634701956985</c:v>
                </c:pt>
                <c:pt idx="54">
                  <c:v>0.78171347859448193</c:v>
                </c:pt>
                <c:pt idx="55">
                  <c:v>0.76699303631596205</c:v>
                </c:pt>
                <c:pt idx="56">
                  <c:v>0.75168362885750428</c:v>
                </c:pt>
                <c:pt idx="57">
                  <c:v>0.73584454789604581</c:v>
                </c:pt>
                <c:pt idx="58">
                  <c:v>0.71953529757475465</c:v>
                </c:pt>
                <c:pt idx="59">
                  <c:v>0.70281518623622841</c:v>
                </c:pt>
                <c:pt idx="60">
                  <c:v>0.68574292051905128</c:v>
                </c:pt>
                <c:pt idx="61">
                  <c:v>0.66837624827963582</c:v>
                </c:pt>
                <c:pt idx="62">
                  <c:v>0.65077163627288726</c:v>
                </c:pt>
                <c:pt idx="63">
                  <c:v>0.63298397831970055</c:v>
                </c:pt>
                <c:pt idx="64">
                  <c:v>0.61506633833053237</c:v>
                </c:pt>
                <c:pt idx="65">
                  <c:v>0.59706972608086317</c:v>
                </c:pt>
                <c:pt idx="66">
                  <c:v>0.57904290908724898</c:v>
                </c:pt>
                <c:pt idx="67">
                  <c:v>0.56103225760331021</c:v>
                </c:pt>
                <c:pt idx="68">
                  <c:v>0.54308162531299276</c:v>
                </c:pt>
                <c:pt idx="69">
                  <c:v>0.52523223979501743</c:v>
                </c:pt>
                <c:pt idx="70">
                  <c:v>0.50752264169239092</c:v>
                </c:pt>
                <c:pt idx="71">
                  <c:v>0.48998863652190527</c:v>
                </c:pt>
                <c:pt idx="72">
                  <c:v>0.47266328283292519</c:v>
                </c:pt>
                <c:pt idx="73">
                  <c:v>0.45557688832507748</c:v>
                </c:pt>
                <c:pt idx="74">
                  <c:v>0.43875703497161161</c:v>
                </c:pt>
                <c:pt idx="75">
                  <c:v>0.42222861993666105</c:v>
                </c:pt>
                <c:pt idx="76">
                  <c:v>0.40601391365097816</c:v>
                </c:pt>
                <c:pt idx="77">
                  <c:v>0.3901326245286067</c:v>
                </c:pt>
                <c:pt idx="78">
                  <c:v>0.37460198811750245</c:v>
                </c:pt>
                <c:pt idx="79">
                  <c:v>0.35943685683848386</c:v>
                </c:pt>
                <c:pt idx="80">
                  <c:v>0.34464979730226786</c:v>
                </c:pt>
                <c:pt idx="81">
                  <c:v>0.33025121040542399</c:v>
                </c:pt>
                <c:pt idx="82">
                  <c:v>0.31624942800482231</c:v>
                </c:pt>
                <c:pt idx="83">
                  <c:v>0.30265084571809941</c:v>
                </c:pt>
                <c:pt idx="84">
                  <c:v>0.2894600293393067</c:v>
                </c:pt>
                <c:pt idx="85">
                  <c:v>0.27667984753330194</c:v>
                </c:pt>
                <c:pt idx="86">
                  <c:v>0.26431158230142682</c:v>
                </c:pt>
                <c:pt idx="87">
                  <c:v>0.25235505628917904</c:v>
                </c:pt>
                <c:pt idx="88">
                  <c:v>0.24080874985535478</c:v>
                </c:pt>
                <c:pt idx="89">
                  <c:v>0.22966991484889951</c:v>
                </c:pt>
                <c:pt idx="90">
                  <c:v>0.21893468912236508</c:v>
                </c:pt>
                <c:pt idx="91">
                  <c:v>0.20859820801927881</c:v>
                </c:pt>
                <c:pt idx="92">
                  <c:v>0.19865470645341943</c:v>
                </c:pt>
                <c:pt idx="93">
                  <c:v>0.18909762273962527</c:v>
                </c:pt>
                <c:pt idx="94">
                  <c:v>0.1799196914489099</c:v>
                </c:pt>
                <c:pt idx="95">
                  <c:v>0.17111303698840311</c:v>
                </c:pt>
                <c:pt idx="96">
                  <c:v>0.1626692603782714</c:v>
                </c:pt>
                <c:pt idx="97">
                  <c:v>0.15457951839777584</c:v>
                </c:pt>
                <c:pt idx="98">
                  <c:v>0.14683459794525297</c:v>
                </c:pt>
                <c:pt idx="99">
                  <c:v>0.13942499216438159</c:v>
                </c:pt>
                <c:pt idx="100">
                  <c:v>0.13234095847570063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3-45C3-8FBA-D808A3DDBD77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0.28933634725198942</c:v>
                </c:pt>
                <c:pt idx="1">
                  <c:v>0.30723532484900695</c:v>
                </c:pt>
                <c:pt idx="2">
                  <c:v>0.32560586093184868</c:v>
                </c:pt>
                <c:pt idx="3">
                  <c:v>0.34441109627176364</c:v>
                </c:pt>
                <c:pt idx="4">
                  <c:v>0.36361072017663876</c:v>
                </c:pt>
                <c:pt idx="5">
                  <c:v>0.38316112299413452</c:v>
                </c:pt>
                <c:pt idx="6">
                  <c:v>0.40301557797160487</c:v>
                </c:pt>
                <c:pt idx="7">
                  <c:v>0.42312445117090058</c:v>
                </c:pt>
                <c:pt idx="8">
                  <c:v>0.44343543781918743</c:v>
                </c:pt>
                <c:pt idx="9">
                  <c:v>0.46389382318055661</c:v>
                </c:pt>
                <c:pt idx="10">
                  <c:v>0.48444276576144479</c:v>
                </c:pt>
                <c:pt idx="11">
                  <c:v>0.50502360041930072</c:v>
                </c:pt>
                <c:pt idx="12">
                  <c:v>0.52557615873156383</c:v>
                </c:pt>
                <c:pt idx="13">
                  <c:v>0.54603910380335252</c:v>
                </c:pt>
                <c:pt idx="14">
                  <c:v>0.56635027654931813</c:v>
                </c:pt>
                <c:pt idx="15">
                  <c:v>0.58644705037916056</c:v>
                </c:pt>
                <c:pt idx="16">
                  <c:v>0.60626669114822174</c:v>
                </c:pt>
                <c:pt idx="17">
                  <c:v>0.625746719204468</c:v>
                </c:pt>
                <c:pt idx="18">
                  <c:v>0.64482527037072945</c:v>
                </c:pt>
                <c:pt idx="19">
                  <c:v>0.66344145274532085</c:v>
                </c:pt>
                <c:pt idx="20">
                  <c:v>0.68153569628374888</c:v>
                </c:pt>
                <c:pt idx="21">
                  <c:v>0.69905009223713876</c:v>
                </c:pt>
                <c:pt idx="22">
                  <c:v>0.7159287196670544</c:v>
                </c:pt>
                <c:pt idx="23">
                  <c:v>0.73211795642878374</c:v>
                </c:pt>
                <c:pt idx="24">
                  <c:v>0.74756677221294432</c:v>
                </c:pt>
                <c:pt idx="25">
                  <c:v>0.76222700145517941</c:v>
                </c:pt>
                <c:pt idx="26">
                  <c:v>0.77605359416230235</c:v>
                </c:pt>
                <c:pt idx="27">
                  <c:v>0.78900484295693774</c:v>
                </c:pt>
                <c:pt idx="28">
                  <c:v>0.8010425849078634</c:v>
                </c:pt>
                <c:pt idx="29">
                  <c:v>0.81213237698620599</c:v>
                </c:pt>
                <c:pt idx="30">
                  <c:v>0.82224364426477392</c:v>
                </c:pt>
                <c:pt idx="31">
                  <c:v>0.83134980025563465</c:v>
                </c:pt>
                <c:pt idx="32">
                  <c:v>0.83942833905612024</c:v>
                </c:pt>
                <c:pt idx="33">
                  <c:v>0.84646089924268841</c:v>
                </c:pt>
                <c:pt idx="34">
                  <c:v>0.85243329971240622</c:v>
                </c:pt>
                <c:pt idx="35">
                  <c:v>0.85733554792064537</c:v>
                </c:pt>
                <c:pt idx="36">
                  <c:v>0.86116182119838547</c:v>
                </c:pt>
                <c:pt idx="37">
                  <c:v>0.86391042205124502</c:v>
                </c:pt>
                <c:pt idx="38">
                  <c:v>0.86558370854314948</c:v>
                </c:pt>
                <c:pt idx="39">
                  <c:v>0.86618800104892846</c:v>
                </c:pt>
                <c:pt idx="40">
                  <c:v>0.8657334668209653</c:v>
                </c:pt>
                <c:pt idx="41">
                  <c:v>0.86423398395442197</c:v>
                </c:pt>
                <c:pt idx="42">
                  <c:v>0.86170698645304455</c:v>
                </c:pt>
                <c:pt idx="43">
                  <c:v>0.85817329219288208</c:v>
                </c:pt>
                <c:pt idx="44">
                  <c:v>0.85365691565448376</c:v>
                </c:pt>
                <c:pt idx="45">
                  <c:v>0.84818486734563059</c:v>
                </c:pt>
                <c:pt idx="46">
                  <c:v>0.84178694186697922</c:v>
                </c:pt>
                <c:pt idx="47">
                  <c:v>0.83449549658295608</c:v>
                </c:pt>
                <c:pt idx="48">
                  <c:v>0.82634522285085665</c:v>
                </c:pt>
                <c:pt idx="49">
                  <c:v>0.81737291173353965</c:v>
                </c:pt>
                <c:pt idx="50">
                  <c:v>0.80761721607670756</c:v>
                </c:pt>
                <c:pt idx="51">
                  <c:v>0.79711841077194012</c:v>
                </c:pt>
                <c:pt idx="52">
                  <c:v>0.78591815295298106</c:v>
                </c:pt>
                <c:pt idx="53">
                  <c:v>0.77405924378680602</c:v>
                </c:pt>
                <c:pt idx="54">
                  <c:v>0.76158539342441733</c:v>
                </c:pt>
                <c:pt idx="55">
                  <c:v>0.74854099057073697</c:v>
                </c:pt>
                <c:pt idx="56">
                  <c:v>0.73497087802005856</c:v>
                </c:pt>
                <c:pt idx="57">
                  <c:v>0.72092013538490252</c:v>
                </c:pt>
                <c:pt idx="58">
                  <c:v>0.70643387012335501</c:v>
                </c:pt>
                <c:pt idx="59">
                  <c:v>0.69155701784459278</c:v>
                </c:pt>
                <c:pt idx="60">
                  <c:v>0.67633415274571318</c:v>
                </c:pt>
                <c:pt idx="61">
                  <c:v>0.66080930890659184</c:v>
                </c:pt>
                <c:pt idx="62">
                  <c:v>0.64502581304446682</c:v>
                </c:pt>
                <c:pt idx="63">
                  <c:v>0.62902612920753553</c:v>
                </c:pt>
                <c:pt idx="64">
                  <c:v>0.61285171576796993</c:v>
                </c:pt>
                <c:pt idx="65">
                  <c:v>0.59654289496043067</c:v>
                </c:pt>
                <c:pt idx="66">
                  <c:v>0.58013873510311609</c:v>
                </c:pt>
                <c:pt idx="67">
                  <c:v>0.56367694553534886</c:v>
                </c:pt>
                <c:pt idx="68">
                  <c:v>0.54719378420921505</c:v>
                </c:pt>
                <c:pt idx="69">
                  <c:v>0.53072397778331093</c:v>
                </c:pt>
                <c:pt idx="70">
                  <c:v>0.51430065398453306</c:v>
                </c:pt>
                <c:pt idx="71">
                  <c:v>0.49795528592934513</c:v>
                </c:pt>
                <c:pt idx="72">
                  <c:v>0.48171764802916989</c:v>
                </c:pt>
                <c:pt idx="73">
                  <c:v>0.46561578304557566</c:v>
                </c:pt>
                <c:pt idx="74">
                  <c:v>0.449675979809667</c:v>
                </c:pt>
                <c:pt idx="75">
                  <c:v>0.43392276107651612</c:v>
                </c:pt>
                <c:pt idx="76">
                  <c:v>0.4183788809492921</c:v>
                </c:pt>
                <c:pt idx="77">
                  <c:v>0.40306533127881816</c:v>
                </c:pt>
                <c:pt idx="78">
                  <c:v>0.38800135642225703</c:v>
                </c:pt>
                <c:pt idx="79">
                  <c:v>0.3732044757291566</c:v>
                </c:pt>
                <c:pt idx="80">
                  <c:v>0.35869051311382522</c:v>
                </c:pt>
                <c:pt idx="81">
                  <c:v>0.34447363306950296</c:v>
                </c:pt>
                <c:pt idx="82">
                  <c:v>0.33056638248165454</c:v>
                </c:pt>
                <c:pt idx="83">
                  <c:v>0.31697973760445358</c:v>
                </c:pt>
                <c:pt idx="84">
                  <c:v>0.30372315557572294</c:v>
                </c:pt>
                <c:pt idx="85">
                  <c:v>0.29080462986074024</c:v>
                </c:pt>
                <c:pt idx="86">
                  <c:v>0.27823074903402656</c:v>
                </c:pt>
                <c:pt idx="87">
                  <c:v>0.26600675832994464</c:v>
                </c:pt>
                <c:pt idx="88">
                  <c:v>0.25413662341730714</c:v>
                </c:pt>
                <c:pt idx="89">
                  <c:v>0.24262309587973166</c:v>
                </c:pt>
                <c:pt idx="90">
                  <c:v>0.23146777991179524</c:v>
                </c:pt>
                <c:pt idx="91">
                  <c:v>0.22067119977074467</c:v>
                </c:pt>
                <c:pt idx="92">
                  <c:v>0.21023286755422646</c:v>
                </c:pt>
                <c:pt idx="93">
                  <c:v>0.20015135090588371</c:v>
                </c:pt>
                <c:pt idx="94">
                  <c:v>0.19042434028239008</c:v>
                </c:pt>
                <c:pt idx="95">
                  <c:v>0.18104871544727544</c:v>
                </c:pt>
                <c:pt idx="96">
                  <c:v>0.17202061088844978</c:v>
                </c:pt>
                <c:pt idx="97">
                  <c:v>0.16333547988745808</c:v>
                </c:pt>
                <c:pt idx="98">
                  <c:v>0.1549881569989198</c:v>
                </c:pt>
                <c:pt idx="99">
                  <c:v>0.14697291872819718</c:v>
                </c:pt>
                <c:pt idx="100">
                  <c:v>0.13928354222389336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3-45C3-8FBA-D808A3DDBD77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0.26678456086014213</c:v>
                </c:pt>
                <c:pt idx="1">
                  <c:v>0.25319926785255192</c:v>
                </c:pt>
                <c:pt idx="2">
                  <c:v>0.23989465229734436</c:v>
                </c:pt>
                <c:pt idx="3">
                  <c:v>0.2268951520720881</c:v>
                </c:pt>
                <c:pt idx="4">
                  <c:v>0.2142231447354187</c:v>
                </c:pt>
                <c:pt idx="5">
                  <c:v>0.20189888236682743</c:v>
                </c:pt>
                <c:pt idx="6">
                  <c:v>0.1899404425553064</c:v>
                </c:pt>
                <c:pt idx="7">
                  <c:v>0.17836369569251634</c:v>
                </c:pt>
                <c:pt idx="8">
                  <c:v>0.16718228856253323</c:v>
                </c:pt>
                <c:pt idx="9">
                  <c:v>0.15640764405733656</c:v>
                </c:pt>
                <c:pt idx="10">
                  <c:v>0.14604897668712116</c:v>
                </c:pt>
                <c:pt idx="11">
                  <c:v>0.13611332339940702</c:v>
                </c:pt>
                <c:pt idx="12">
                  <c:v>0.12660558907280653</c:v>
                </c:pt>
                <c:pt idx="13">
                  <c:v>0.11752860591215859</c:v>
                </c:pt>
                <c:pt idx="14">
                  <c:v>0.10888320584340373</c:v>
                </c:pt>
                <c:pt idx="15">
                  <c:v>0.10066830489069678</c:v>
                </c:pt>
                <c:pt idx="16">
                  <c:v>9.2880998416357594E-2</c:v>
                </c:pt>
                <c:pt idx="17">
                  <c:v>8.5516666017593682E-2</c:v>
                </c:pt>
                <c:pt idx="18">
                  <c:v>7.8569084803539385E-2</c:v>
                </c:pt>
                <c:pt idx="19">
                  <c:v>7.2030549722810547E-2</c:v>
                </c:pt>
                <c:pt idx="20">
                  <c:v>6.589199957600321E-2</c:v>
                </c:pt>
                <c:pt idx="21">
                  <c:v>6.0143147329563024E-2</c:v>
                </c:pt>
                <c:pt idx="22">
                  <c:v>5.4772613347196776E-2</c:v>
                </c:pt>
                <c:pt idx="23">
                  <c:v>4.9768060172135808E-2</c:v>
                </c:pt>
                <c:pt idx="24">
                  <c:v>4.5116327527482812E-2</c:v>
                </c:pt>
                <c:pt idx="25">
                  <c:v>4.0803566251708695E-2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3-45C3-8FBA-D808A3DDBD77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0.13234095847570063</c:v>
                </c:pt>
                <c:pt idx="1">
                  <c:v>0.11987650319177703</c:v>
                </c:pt>
                <c:pt idx="2">
                  <c:v>0.10834646786663649</c:v>
                </c:pt>
                <c:pt idx="3">
                  <c:v>9.7713766043987182E-2</c:v>
                </c:pt>
                <c:pt idx="4">
                  <c:v>8.7937881798448442E-2</c:v>
                </c:pt>
                <c:pt idx="5">
                  <c:v>7.8975796953049585E-2</c:v>
                </c:pt>
                <c:pt idx="6">
                  <c:v>7.0782825006936653E-2</c:v>
                </c:pt>
                <c:pt idx="7">
                  <c:v>6.3313351071355509E-2</c:v>
                </c:pt>
                <c:pt idx="8">
                  <c:v>5.6521479132466558E-2</c:v>
                </c:pt>
                <c:pt idx="9">
                  <c:v>5.0361589614225523E-2</c:v>
                </c:pt>
                <c:pt idx="10">
                  <c:v>4.4788811524370586E-2</c:v>
                </c:pt>
                <c:pt idx="11">
                  <c:v>3.9759414458448418E-2</c:v>
                </c:pt>
                <c:pt idx="12">
                  <c:v>3.5231126441840739E-2</c:v>
                </c:pt>
                <c:pt idx="13">
                  <c:v>3.1163384041251178E-2</c:v>
                </c:pt>
                <c:pt idx="14">
                  <c:v>2.7517521409291458E-2</c:v>
                </c:pt>
                <c:pt idx="15">
                  <c:v>2.4256904972493172E-2</c:v>
                </c:pt>
                <c:pt idx="16">
                  <c:v>2.1347020366792771E-2</c:v>
                </c:pt>
                <c:pt idx="17">
                  <c:v>1.8755517995797905E-2</c:v>
                </c:pt>
                <c:pt idx="18">
                  <c:v>1.6452223263905646E-2</c:v>
                </c:pt>
                <c:pt idx="19">
                  <c:v>1.4409117143739013E-2</c:v>
                </c:pt>
                <c:pt idx="20">
                  <c:v>1.2600292297503585E-2</c:v>
                </c:pt>
                <c:pt idx="21">
                  <c:v>1.100188950381111E-2</c:v>
                </c:pt>
                <c:pt idx="22">
                  <c:v>9.592018661358899E-3</c:v>
                </c:pt>
                <c:pt idx="23">
                  <c:v>8.3506681618541849E-3</c:v>
                </c:pt>
                <c:pt idx="24">
                  <c:v>7.2596059573557361E-3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3-45C3-8FBA-D808A3DDBD77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0.28933634725198942</c:v>
                </c:pt>
                <c:pt idx="1">
                  <c:v>0.27194221372853794</c:v>
                </c:pt>
                <c:pt idx="2">
                  <c:v>0.2550825449971959</c:v>
                </c:pt>
                <c:pt idx="3">
                  <c:v>0.23878323690125575</c:v>
                </c:pt>
                <c:pt idx="4">
                  <c:v>0.22306643154469039</c:v>
                </c:pt>
                <c:pt idx="5">
                  <c:v>0.2079505191407964</c:v>
                </c:pt>
                <c:pt idx="6">
                  <c:v>0.19345016980391289</c:v>
                </c:pt>
                <c:pt idx="7">
                  <c:v>0.17957639418804494</c:v>
                </c:pt>
                <c:pt idx="8">
                  <c:v>0.16633663156825279</c:v>
                </c:pt>
                <c:pt idx="9">
                  <c:v>0.15373486367580547</c:v>
                </c:pt>
                <c:pt idx="10">
                  <c:v>0.14177175234037992</c:v>
                </c:pt>
                <c:pt idx="11">
                  <c:v>0.13044479876567666</c:v>
                </c:pt>
                <c:pt idx="12">
                  <c:v>0.11974852207178739</c:v>
                </c:pt>
                <c:pt idx="13">
                  <c:v>0.10967465458096153</c:v>
                </c:pt>
                <c:pt idx="14">
                  <c:v>0.10021235120493795</c:v>
                </c:pt>
                <c:pt idx="15">
                  <c:v>9.1348410212854156E-2</c:v>
                </c:pt>
                <c:pt idx="16">
                  <c:v>8.3067502619404321E-2</c:v>
                </c:pt>
                <c:pt idx="17">
                  <c:v>7.5352407433114749E-2</c:v>
                </c:pt>
                <c:pt idx="18">
                  <c:v>6.8184250043406544E-2</c:v>
                </c:pt>
                <c:pt idx="19">
                  <c:v>6.1542741100888913E-2</c:v>
                </c:pt>
                <c:pt idx="20">
                  <c:v>5.5406413355850913E-2</c:v>
                </c:pt>
                <c:pt idx="21">
                  <c:v>4.9752854062339369E-2</c:v>
                </c:pt>
                <c:pt idx="22">
                  <c:v>4.45589307262165E-2</c:v>
                </c:pt>
                <c:pt idx="23">
                  <c:v>3.9801008171409323E-2</c:v>
                </c:pt>
                <c:pt idx="24">
                  <c:v>3.5455155115064828E-2</c:v>
                </c:pt>
                <c:pt idx="25">
                  <c:v>3.1497338675146848E-2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3-45C3-8FBA-D808A3DDBD77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0.13928354222389336</c:v>
                </c:pt>
                <c:pt idx="1">
                  <c:v>0.12485532336211944</c:v>
                </c:pt>
                <c:pt idx="2">
                  <c:v>0.11164582182453042</c:v>
                </c:pt>
                <c:pt idx="3">
                  <c:v>9.9592744104183825E-2</c:v>
                </c:pt>
                <c:pt idx="4">
                  <c:v>8.8630642079283561E-2</c:v>
                </c:pt>
                <c:pt idx="5">
                  <c:v>7.8692209133182991E-2</c:v>
                </c:pt>
                <c:pt idx="6">
                  <c:v>6.970941249168737E-2</c:v>
                </c:pt>
                <c:pt idx="7">
                  <c:v>6.161446582341714E-2</c:v>
                </c:pt>
                <c:pt idx="8">
                  <c:v>5.4340649056599216E-2</c:v>
                </c:pt>
                <c:pt idx="9">
                  <c:v>4.7822984586008567E-2</c:v>
                </c:pt>
                <c:pt idx="10">
                  <c:v>4.1998780639768085E-2</c:v>
                </c:pt>
                <c:pt idx="11">
                  <c:v>3.6808053617826589E-2</c:v>
                </c:pt>
                <c:pt idx="12">
                  <c:v>3.2193841776371079E-2</c:v>
                </c:pt>
                <c:pt idx="13">
                  <c:v>2.8102422789751842E-2</c:v>
                </c:pt>
                <c:pt idx="14">
                  <c:v>2.4483447546097412E-2</c:v>
                </c:pt>
                <c:pt idx="15">
                  <c:v>2.129000209285439E-2</c:v>
                </c:pt>
                <c:pt idx="16">
                  <c:v>1.8478609006607263E-2</c:v>
                </c:pt>
                <c:pt idx="17">
                  <c:v>1.6009178673828055E-2</c:v>
                </c:pt>
                <c:pt idx="18">
                  <c:v>1.3844920084796883E-2</c:v>
                </c:pt>
                <c:pt idx="19">
                  <c:v>1.1952219803858282E-2</c:v>
                </c:pt>
                <c:pt idx="20">
                  <c:v>1.0300496820494116E-2</c:v>
                </c:pt>
                <c:pt idx="21">
                  <c:v>8.8620400358697671E-3</c:v>
                </c:pt>
                <c:pt idx="22">
                  <c:v>7.6118342209089383E-3</c:v>
                </c:pt>
                <c:pt idx="23">
                  <c:v>6.5273794114501134E-3</c:v>
                </c:pt>
                <c:pt idx="24">
                  <c:v>5.5885078956594897E-3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3-45C3-8FBA-D808A3DDBD77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0.28022239495057505</c:v>
                </c:pt>
                <c:pt idx="1">
                  <c:v>0.2975744671475013</c:v>
                </c:pt>
                <c:pt idx="2">
                  <c:v>0.31541712425872459</c:v>
                </c:pt>
                <c:pt idx="3">
                  <c:v>0.333718820977222</c:v>
                </c:pt>
                <c:pt idx="4">
                  <c:v>0.35244461006827549</c:v>
                </c:pt>
                <c:pt idx="5">
                  <c:v>0.37155622508873704</c:v>
                </c:pt>
                <c:pt idx="6">
                  <c:v>0.39101219770912388</c:v>
                </c:pt>
                <c:pt idx="7">
                  <c:v>0.41076800401877889</c:v>
                </c:pt>
                <c:pt idx="8">
                  <c:v>0.43077625145441739</c:v>
                </c:pt>
                <c:pt idx="9">
                  <c:v>0.45098687861091097</c:v>
                </c:pt>
                <c:pt idx="10">
                  <c:v>0.47134736118482762</c:v>
                </c:pt>
                <c:pt idx="11">
                  <c:v>0.49180298443411424</c:v>
                </c:pt>
                <c:pt idx="12">
                  <c:v>0.51229709799070167</c:v>
                </c:pt>
                <c:pt idx="13">
                  <c:v>0.55034415900155753</c:v>
                </c:pt>
                <c:pt idx="14">
                  <c:v>0.57093243458254384</c:v>
                </c:pt>
                <c:pt idx="15">
                  <c:v>0.59128657774257121</c:v>
                </c:pt>
                <c:pt idx="16">
                  <c:v>0.61134141093243799</c:v>
                </c:pt>
                <c:pt idx="17">
                  <c:v>0.63103216914051241</c:v>
                </c:pt>
                <c:pt idx="18">
                  <c:v>0.65029486468847453</c:v>
                </c:pt>
                <c:pt idx="19">
                  <c:v>0.66906670953703873</c:v>
                </c:pt>
                <c:pt idx="20">
                  <c:v>0.68728645806735056</c:v>
                </c:pt>
                <c:pt idx="21">
                  <c:v>0.7048947910785428</c:v>
                </c:pt>
                <c:pt idx="22">
                  <c:v>0.72183468738337953</c:v>
                </c:pt>
                <c:pt idx="23">
                  <c:v>0.73805172247694206</c:v>
                </c:pt>
                <c:pt idx="24">
                  <c:v>0.75349443683676354</c:v>
                </c:pt>
                <c:pt idx="25">
                  <c:v>0.76811459559447481</c:v>
                </c:pt>
                <c:pt idx="26">
                  <c:v>0.78186749494809826</c:v>
                </c:pt>
                <c:pt idx="27">
                  <c:v>0.79471220167724255</c:v>
                </c:pt>
                <c:pt idx="28">
                  <c:v>0.80661180213100081</c:v>
                </c:pt>
                <c:pt idx="29">
                  <c:v>0.81753356867004134</c:v>
                </c:pt>
                <c:pt idx="30">
                  <c:v>0.82744917724063571</c:v>
                </c:pt>
                <c:pt idx="31">
                  <c:v>0.83633483448112522</c:v>
                </c:pt>
                <c:pt idx="32">
                  <c:v>0.84417139458333978</c:v>
                </c:pt>
                <c:pt idx="33">
                  <c:v>0.85094446433656479</c:v>
                </c:pt>
                <c:pt idx="34">
                  <c:v>0.85664446700263686</c:v>
                </c:pt>
                <c:pt idx="35">
                  <c:v>0.86126666384641459</c:v>
                </c:pt>
                <c:pt idx="36">
                  <c:v>0.86481118849653249</c:v>
                </c:pt>
                <c:pt idx="37">
                  <c:v>0.86728303496190917</c:v>
                </c:pt>
                <c:pt idx="38">
                  <c:v>0.86869197675652465</c:v>
                </c:pt>
                <c:pt idx="39">
                  <c:v>0.86905256607286918</c:v>
                </c:pt>
                <c:pt idx="40">
                  <c:v>0.86838398872101796</c:v>
                </c:pt>
                <c:pt idx="41">
                  <c:v>0.86671002474153824</c:v>
                </c:pt>
                <c:pt idx="42">
                  <c:v>0.86405887585390673</c:v>
                </c:pt>
                <c:pt idx="43">
                  <c:v>0.85808632081318714</c:v>
                </c:pt>
                <c:pt idx="44">
                  <c:v>0.8543613133716319</c:v>
                </c:pt>
                <c:pt idx="45">
                  <c:v>0.8472446904794978</c:v>
                </c:pt>
                <c:pt idx="46">
                  <c:v>0.84130996635028388</c:v>
                </c:pt>
                <c:pt idx="47">
                  <c:v>0.8322861404269758</c:v>
                </c:pt>
                <c:pt idx="48">
                  <c:v>0.82249976789911838</c:v>
                </c:pt>
                <c:pt idx="49">
                  <c:v>0.81198466472984154</c:v>
                </c:pt>
                <c:pt idx="50">
                  <c:v>0.80077750928652247</c:v>
                </c:pt>
                <c:pt idx="51">
                  <c:v>0.78891736286894432</c:v>
                </c:pt>
                <c:pt idx="52">
                  <c:v>0.77644521946517475</c:v>
                </c:pt>
                <c:pt idx="53">
                  <c:v>0.76340360674633378</c:v>
                </c:pt>
                <c:pt idx="54">
                  <c:v>0.74983617314010698</c:v>
                </c:pt>
                <c:pt idx="55">
                  <c:v>0.73578734483230612</c:v>
                </c:pt>
                <c:pt idx="56">
                  <c:v>0.72130198720336824</c:v>
                </c:pt>
                <c:pt idx="57">
                  <c:v>0.70642509752240834</c:v>
                </c:pt>
                <c:pt idx="58">
                  <c:v>0.69120153601594725</c:v>
                </c:pt>
                <c:pt idx="59">
                  <c:v>0.67567574426389532</c:v>
                </c:pt>
                <c:pt idx="60">
                  <c:v>0.65989154173646358</c:v>
                </c:pt>
                <c:pt idx="61">
                  <c:v>0.64389190427541387</c:v>
                </c:pt>
                <c:pt idx="62">
                  <c:v>0.62771878120531122</c:v>
                </c:pt>
                <c:pt idx="63">
                  <c:v>0.61141293230753713</c:v>
                </c:pt>
                <c:pt idx="64">
                  <c:v>0.59501379436967472</c:v>
                </c:pt>
                <c:pt idx="65">
                  <c:v>0.57855933762160316</c:v>
                </c:pt>
                <c:pt idx="66">
                  <c:v>0.5620859813520459</c:v>
                </c:pt>
                <c:pt idx="67">
                  <c:v>0.54562850122894713</c:v>
                </c:pt>
                <c:pt idx="68">
                  <c:v>0.529219955325409</c:v>
                </c:pt>
                <c:pt idx="69">
                  <c:v>0.51289164189627967</c:v>
                </c:pt>
                <c:pt idx="70">
                  <c:v>0.49667304675632018</c:v>
                </c:pt>
                <c:pt idx="71">
                  <c:v>0.48059183240898268</c:v>
                </c:pt>
                <c:pt idx="72">
                  <c:v>0.46467380256613072</c:v>
                </c:pt>
                <c:pt idx="73">
                  <c:v>0.4489429333436909</c:v>
                </c:pt>
                <c:pt idx="74">
                  <c:v>0.43342135122973019</c:v>
                </c:pt>
                <c:pt idx="75">
                  <c:v>0.41812937049562277</c:v>
                </c:pt>
                <c:pt idx="76">
                  <c:v>0.40308551222025008</c:v>
                </c:pt>
                <c:pt idx="77">
                  <c:v>0.38830654452629898</c:v>
                </c:pt>
                <c:pt idx="78">
                  <c:v>0.3738075192126199</c:v>
                </c:pt>
                <c:pt idx="79">
                  <c:v>0.35960182772330618</c:v>
                </c:pt>
                <c:pt idx="80">
                  <c:v>0.34570124291308324</c:v>
                </c:pt>
                <c:pt idx="81">
                  <c:v>0.33211598823030442</c:v>
                </c:pt>
                <c:pt idx="82">
                  <c:v>0.31885479050944665</c:v>
                </c:pt>
                <c:pt idx="83">
                  <c:v>0.3059249477015758</c:v>
                </c:pt>
                <c:pt idx="84">
                  <c:v>0.29333239494780705</c:v>
                </c:pt>
                <c:pt idx="85">
                  <c:v>0.28108177233781173</c:v>
                </c:pt>
                <c:pt idx="86">
                  <c:v>0.26917649389530945</c:v>
                </c:pt>
                <c:pt idx="87">
                  <c:v>0.25761882008614695</c:v>
                </c:pt>
                <c:pt idx="88">
                  <c:v>0.24640992603827591</c:v>
                </c:pt>
                <c:pt idx="89">
                  <c:v>0.23554997108429868</c:v>
                </c:pt>
                <c:pt idx="90">
                  <c:v>0.22503817192970163</c:v>
                </c:pt>
                <c:pt idx="91">
                  <c:v>0.21487286594938115</c:v>
                </c:pt>
                <c:pt idx="92">
                  <c:v>0.20505158538579235</c:v>
                </c:pt>
                <c:pt idx="93">
                  <c:v>0.19557111505144903</c:v>
                </c:pt>
                <c:pt idx="94">
                  <c:v>0.18642756417134493</c:v>
                </c:pt>
                <c:pt idx="95">
                  <c:v>0.1776164231848929</c:v>
                </c:pt>
                <c:pt idx="96">
                  <c:v>0.16913262802030249</c:v>
                </c:pt>
                <c:pt idx="97">
                  <c:v>0.16097061348137745</c:v>
                </c:pt>
                <c:pt idx="98">
                  <c:v>0.15312437192665174</c:v>
                </c:pt>
                <c:pt idx="99">
                  <c:v>0.14558750563503539</c:v>
                </c:pt>
                <c:pt idx="100">
                  <c:v>0.13835327484797105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E3-45C3-8FBA-D808A3DD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47551"/>
        <c:axId val="1"/>
      </c:scatterChart>
      <c:valAx>
        <c:axId val="60804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055493895671477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1098779134295228E-3"/>
              <c:y val="0.44698205546492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0475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086570477247502"/>
          <c:y val="0.94290375203915167"/>
          <c:w val="0.44395116537180912"/>
          <c:h val="5.872756933115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8013318534961149"/>
          <c:h val="0.72593800978792822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0.10361364483350304</c:v>
                </c:pt>
                <c:pt idx="1">
                  <c:v>0.11046337294628703</c:v>
                </c:pt>
                <c:pt idx="2">
                  <c:v>0.11760195323078308</c:v>
                </c:pt>
                <c:pt idx="3">
                  <c:v>0.12502524270059059</c:v>
                </c:pt>
                <c:pt idx="4">
                  <c:v>0.13272728143287571</c:v>
                </c:pt>
                <c:pt idx="5">
                  <c:v>0.14070022387315559</c:v>
                </c:pt>
                <c:pt idx="6">
                  <c:v>0.14893426991362566</c:v>
                </c:pt>
                <c:pt idx="7">
                  <c:v>0.15741760668952798</c:v>
                </c:pt>
                <c:pt idx="8">
                  <c:v>0.16613637164796127</c:v>
                </c:pt>
                <c:pt idx="9">
                  <c:v>0.17507463928452899</c:v>
                </c:pt>
                <c:pt idx="10">
                  <c:v>0.18421441193805077</c:v>
                </c:pt>
                <c:pt idx="11">
                  <c:v>0.19353564574646553</c:v>
                </c:pt>
                <c:pt idx="12">
                  <c:v>0.20301629297972651</c:v>
                </c:pt>
                <c:pt idx="13">
                  <c:v>0.21263235892065643</c:v>
                </c:pt>
                <c:pt idx="14">
                  <c:v>0.22235799307778933</c:v>
                </c:pt>
                <c:pt idx="15">
                  <c:v>0.23216559356842464</c:v>
                </c:pt>
                <c:pt idx="16">
                  <c:v>0.24202594793975557</c:v>
                </c:pt>
                <c:pt idx="17">
                  <c:v>0.25190836386310395</c:v>
                </c:pt>
                <c:pt idx="18">
                  <c:v>0.26178086722506555</c:v>
                </c:pt>
                <c:pt idx="19">
                  <c:v>0.27161037834632179</c:v>
                </c:pt>
                <c:pt idx="20">
                  <c:v>0.28136292190136974</c:v>
                </c:pt>
                <c:pt idx="21">
                  <c:v>0.29100386504880416</c:v>
                </c:pt>
                <c:pt idx="22">
                  <c:v>0.30049814546205705</c:v>
                </c:pt>
                <c:pt idx="23">
                  <c:v>0.30981052816425142</c:v>
                </c:pt>
                <c:pt idx="24">
                  <c:v>0.31890587349395882</c:v>
                </c:pt>
                <c:pt idx="25">
                  <c:v>0.32774939214632687</c:v>
                </c:pt>
                <c:pt idx="26">
                  <c:v>0.33630692138171298</c:v>
                </c:pt>
                <c:pt idx="27">
                  <c:v>0.3445452061092627</c:v>
                </c:pt>
                <c:pt idx="28">
                  <c:v>0.3524321484340463</c:v>
                </c:pt>
                <c:pt idx="29">
                  <c:v>0.35993708510235484</c:v>
                </c:pt>
                <c:pt idx="30">
                  <c:v>0.3670310421273309</c:v>
                </c:pt>
                <c:pt idx="31">
                  <c:v>0.37368696878167879</c:v>
                </c:pt>
                <c:pt idx="32">
                  <c:v>0.37987997152643793</c:v>
                </c:pt>
                <c:pt idx="33">
                  <c:v>0.38558753439790672</c:v>
                </c:pt>
                <c:pt idx="34">
                  <c:v>0.39078969753768544</c:v>
                </c:pt>
                <c:pt idx="35">
                  <c:v>0.3954692485234732</c:v>
                </c:pt>
                <c:pt idx="36">
                  <c:v>0.39961185589754622</c:v>
                </c:pt>
                <c:pt idx="37">
                  <c:v>0.40320620740456625</c:v>
                </c:pt>
                <c:pt idx="38">
                  <c:v>0.40624411044535425</c:v>
                </c:pt>
                <c:pt idx="39">
                  <c:v>0.40872056205636476</c:v>
                </c:pt>
                <c:pt idx="40">
                  <c:v>0.41063381368975105</c:v>
                </c:pt>
                <c:pt idx="41">
                  <c:v>0.41198537420623854</c:v>
                </c:pt>
                <c:pt idx="42">
                  <c:v>0.41278003054755191</c:v>
                </c:pt>
                <c:pt idx="43">
                  <c:v>0.41192378540168012</c:v>
                </c:pt>
                <c:pt idx="44">
                  <c:v>0.41147362307391722</c:v>
                </c:pt>
                <c:pt idx="45">
                  <c:v>0.41037328836776515</c:v>
                </c:pt>
                <c:pt idx="46">
                  <c:v>0.40970568030271881</c:v>
                </c:pt>
                <c:pt idx="47">
                  <c:v>0.40744809065231913</c:v>
                </c:pt>
                <c:pt idx="48">
                  <c:v>0.40469073454834059</c:v>
                </c:pt>
                <c:pt idx="49">
                  <c:v>0.40144680808658162</c:v>
                </c:pt>
                <c:pt idx="50">
                  <c:v>0.39773194239017451</c:v>
                </c:pt>
                <c:pt idx="51">
                  <c:v>0.39356398030045214</c:v>
                </c:pt>
                <c:pt idx="52">
                  <c:v>0.38896270658898702</c:v>
                </c:pt>
                <c:pt idx="53">
                  <c:v>0.38394961223000446</c:v>
                </c:pt>
                <c:pt idx="54">
                  <c:v>0.37854765155371556</c:v>
                </c:pt>
                <c:pt idx="55">
                  <c:v>0.372780979782599</c:v>
                </c:pt>
                <c:pt idx="56">
                  <c:v>0.3666747372951964</c:v>
                </c:pt>
                <c:pt idx="57">
                  <c:v>0.36025481508053475</c:v>
                </c:pt>
                <c:pt idx="58">
                  <c:v>0.35354762960213498</c:v>
                </c:pt>
                <c:pt idx="59">
                  <c:v>0.34657992335497201</c:v>
                </c:pt>
                <c:pt idx="60">
                  <c:v>0.33937856224136259</c:v>
                </c:pt>
                <c:pt idx="61">
                  <c:v>0.33197035287802579</c:v>
                </c:pt>
                <c:pt idx="62">
                  <c:v>0.3243818734190998</c:v>
                </c:pt>
                <c:pt idx="63">
                  <c:v>0.31663931620215385</c:v>
                </c:pt>
                <c:pt idx="64">
                  <c:v>0.30876834477893061</c:v>
                </c:pt>
                <c:pt idx="65">
                  <c:v>0.30079396471127051</c:v>
                </c:pt>
                <c:pt idx="66">
                  <c:v>0.29274041022650898</c:v>
                </c:pt>
                <c:pt idx="67">
                  <c:v>0.28463104567573921</c:v>
                </c:pt>
                <c:pt idx="68">
                  <c:v>0.27648828351071114</c:v>
                </c:pt>
                <c:pt idx="69">
                  <c:v>0.26833350598437206</c:v>
                </c:pt>
                <c:pt idx="70">
                  <c:v>0.26018701065270811</c:v>
                </c:pt>
                <c:pt idx="71">
                  <c:v>0.25206796173094859</c:v>
                </c:pt>
                <c:pt idx="72">
                  <c:v>0.24399435970066952</c:v>
                </c:pt>
                <c:pt idx="73">
                  <c:v>0.23598301491426063</c:v>
                </c:pt>
                <c:pt idx="74">
                  <c:v>0.22804953623129348</c:v>
                </c:pt>
                <c:pt idx="75">
                  <c:v>0.22020832816342573</c:v>
                </c:pt>
                <c:pt idx="76">
                  <c:v>0.21247259743110508</c:v>
                </c:pt>
                <c:pt idx="77">
                  <c:v>0.20485436362812107</c:v>
                </c:pt>
                <c:pt idx="78">
                  <c:v>0.1973644834479186</c:v>
                </c:pt>
                <c:pt idx="79">
                  <c:v>0.19001267617159112</c:v>
                </c:pt>
                <c:pt idx="80">
                  <c:v>0.18280755412967456</c:v>
                </c:pt>
                <c:pt idx="81">
                  <c:v>0.17575666632518178</c:v>
                </c:pt>
                <c:pt idx="82">
                  <c:v>0.16886653082892286</c:v>
                </c:pt>
                <c:pt idx="83">
                  <c:v>0.16214268755833935</c:v>
                </c:pt>
                <c:pt idx="84">
                  <c:v>0.15558973829011949</c:v>
                </c:pt>
                <c:pt idx="85">
                  <c:v>0.14921140197665567</c:v>
                </c:pt>
                <c:pt idx="86">
                  <c:v>0.14301055945018537</c:v>
                </c:pt>
                <c:pt idx="87">
                  <c:v>0.13698930844546242</c:v>
                </c:pt>
                <c:pt idx="88">
                  <c:v>0.13114901440317936</c:v>
                </c:pt>
                <c:pt idx="89">
                  <c:v>0.12549036072059686</c:v>
                </c:pt>
                <c:pt idx="90">
                  <c:v>0.12001340061895586</c:v>
                </c:pt>
                <c:pt idx="91">
                  <c:v>0.11471760856631413</c:v>
                </c:pt>
                <c:pt idx="92">
                  <c:v>0.10960192769707135</c:v>
                </c:pt>
                <c:pt idx="93">
                  <c:v>0.10466481928858723</c:v>
                </c:pt>
                <c:pt idx="94">
                  <c:v>9.9904307249692154E-2</c:v>
                </c:pt>
                <c:pt idx="95">
                  <c:v>9.5318024001226492E-2</c:v>
                </c:pt>
                <c:pt idx="96">
                  <c:v>9.0903253553091895E-2</c:v>
                </c:pt>
                <c:pt idx="97">
                  <c:v>8.6656971226548224E-2</c:v>
                </c:pt>
                <c:pt idx="98">
                  <c:v>8.2575881528973563E-2</c:v>
                </c:pt>
                <c:pt idx="99">
                  <c:v>7.8656457816838957E-2</c:v>
                </c:pt>
                <c:pt idx="100">
                  <c:v>7.489497252929847E-2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A-4441-8858-1DB542DCB134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A-4441-8858-1DB542DCB134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-1.5918538288569399</c:v>
                </c:pt>
                <c:pt idx="1">
                  <c:v>-1.6331451033131938</c:v>
                </c:pt>
                <c:pt idx="2">
                  <c:v>-1.674626441842787</c:v>
                </c:pt>
                <c:pt idx="3">
                  <c:v>-1.7162996022730925</c:v>
                </c:pt>
                <c:pt idx="4">
                  <c:v>-1.7581663669309957</c:v>
                </c:pt>
                <c:pt idx="5">
                  <c:v>-1.8002285431002969</c:v>
                </c:pt>
                <c:pt idx="6">
                  <c:v>-1.842487963489843</c:v>
                </c:pt>
                <c:pt idx="7">
                  <c:v>-1.8849464867126795</c:v>
                </c:pt>
                <c:pt idx="8">
                  <c:v>-1.9276059977765563</c:v>
                </c:pt>
                <c:pt idx="9">
                  <c:v>-1.9704684085860857</c:v>
                </c:pt>
                <c:pt idx="10">
                  <c:v>-2.013535658456906</c:v>
                </c:pt>
                <c:pt idx="11">
                  <c:v>-2.0568097146421893</c:v>
                </c:pt>
                <c:pt idx="12">
                  <c:v>-2.1002925728718487</c:v>
                </c:pt>
                <c:pt idx="13">
                  <c:v>-2.1439862579048241</c:v>
                </c:pt>
                <c:pt idx="14">
                  <c:v>-2.1878928240948152</c:v>
                </c:pt>
                <c:pt idx="15">
                  <c:v>-2.232014355969866</c:v>
                </c:pt>
                <c:pt idx="16">
                  <c:v>-2.2763529688262087</c:v>
                </c:pt>
                <c:pt idx="17">
                  <c:v>-2.3209108093367905</c:v>
                </c:pt>
                <c:pt idx="18">
                  <c:v>-2.3656900561749077</c:v>
                </c:pt>
                <c:pt idx="19">
                  <c:v>-2.4106929206534309</c:v>
                </c:pt>
                <c:pt idx="20">
                  <c:v>-2.4559216473800554</c:v>
                </c:pt>
                <c:pt idx="21">
                  <c:v>-2.5013785149290806</c:v>
                </c:pt>
                <c:pt idx="22">
                  <c:v>-2.5470658365302263</c:v>
                </c:pt>
                <c:pt idx="23">
                  <c:v>-2.5929859607749881</c:v>
                </c:pt>
                <c:pt idx="24">
                  <c:v>-2.6391412723410852</c:v>
                </c:pt>
                <c:pt idx="25">
                  <c:v>-2.6855341927355632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0.10361364483350305</c:v>
                </c:pt>
                <c:pt idx="1">
                  <c:v>9.7887853630936966E-2</c:v>
                </c:pt>
                <c:pt idx="2">
                  <c:v>9.2318315119150646E-2</c:v>
                </c:pt>
                <c:pt idx="3">
                  <c:v>8.6912895317954458E-2</c:v>
                </c:pt>
                <c:pt idx="4">
                  <c:v>8.167850114053829E-2</c:v>
                </c:pt>
                <c:pt idx="5">
                  <c:v>7.6621073955218444E-2</c:v>
                </c:pt>
                <c:pt idx="6">
                  <c:v>7.1745589941119695E-2</c:v>
                </c:pt>
                <c:pt idx="7">
                  <c:v>6.7056067094981617E-2</c:v>
                </c:pt>
                <c:pt idx="8">
                  <c:v>6.255557868509766E-2</c:v>
                </c:pt>
                <c:pt idx="9">
                  <c:v>5.8246272884710758E-2</c:v>
                </c:pt>
                <c:pt idx="10">
                  <c:v>5.4129398262544773E-2</c:v>
                </c:pt>
                <c:pt idx="11">
                  <c:v>5.0205334754845524E-2</c:v>
                </c:pt>
                <c:pt idx="12">
                  <c:v>4.6473629695628099E-2</c:v>
                </c:pt>
                <c:pt idx="13">
                  <c:v>4.2933038440583118E-2</c:v>
                </c:pt>
                <c:pt idx="14">
                  <c:v>3.9581569083907642E-2</c:v>
                </c:pt>
                <c:pt idx="15">
                  <c:v>3.6416530738503573E-2</c:v>
                </c:pt>
                <c:pt idx="16">
                  <c:v>3.3434584827722588E-2</c:v>
                </c:pt>
                <c:pt idx="17">
                  <c:v>3.0631798821349532E-2</c:v>
                </c:pt>
                <c:pt idx="18">
                  <c:v>2.800370184134612E-2</c:v>
                </c:pt>
                <c:pt idx="19">
                  <c:v>2.554534156118653E-2</c:v>
                </c:pt>
                <c:pt idx="20">
                  <c:v>2.3251341829387869E-2</c:v>
                </c:pt>
                <c:pt idx="21">
                  <c:v>2.1115960461059728E-2</c:v>
                </c:pt>
                <c:pt idx="22">
                  <c:v>1.9133146660106126E-2</c:v>
                </c:pt>
                <c:pt idx="23">
                  <c:v>1.7296597561436269E-2</c:v>
                </c:pt>
                <c:pt idx="24">
                  <c:v>1.5599813412593129E-2</c:v>
                </c:pt>
                <c:pt idx="25">
                  <c:v>1.4036150951086098E-2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A-4441-8858-1DB542DCB134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1.8008885863178365</c:v>
                </c:pt>
                <c:pt idx="1">
                  <c:v>1.8572565879777228</c:v>
                </c:pt>
                <c:pt idx="2">
                  <c:v>1.9132742035254338</c:v>
                </c:pt>
                <c:pt idx="3">
                  <c:v>1.9689457620973534</c:v>
                </c:pt>
                <c:pt idx="4">
                  <c:v>2.0242755130903456</c:v>
                </c:pt>
                <c:pt idx="5">
                  <c:v>2.0792676281081395</c:v>
                </c:pt>
                <c:pt idx="6">
                  <c:v>2.1339262028486816</c:v>
                </c:pt>
                <c:pt idx="7">
                  <c:v>2.1882552589345949</c:v>
                </c:pt>
                <c:pt idx="8">
                  <c:v>2.2422587456887952</c:v>
                </c:pt>
                <c:pt idx="9">
                  <c:v>2.2959405418572234</c:v>
                </c:pt>
                <c:pt idx="10">
                  <c:v>2.3493044572805593</c:v>
                </c:pt>
                <c:pt idx="11">
                  <c:v>2.4023542345167477</c:v>
                </c:pt>
                <c:pt idx="12">
                  <c:v>2.4550935504160329</c:v>
                </c:pt>
                <c:pt idx="13">
                  <c:v>2.5075260176501799</c:v>
                </c:pt>
                <c:pt idx="14">
                  <c:v>2.559655186197463</c:v>
                </c:pt>
                <c:pt idx="15">
                  <c:v>2.6114845447849482</c:v>
                </c:pt>
                <c:pt idx="16">
                  <c:v>2.6630175222895471</c:v>
                </c:pt>
                <c:pt idx="17">
                  <c:v>2.7142574890992295</c:v>
                </c:pt>
                <c:pt idx="18">
                  <c:v>2.7652077584357597</c:v>
                </c:pt>
                <c:pt idx="19">
                  <c:v>2.8158715876402511</c:v>
                </c:pt>
                <c:pt idx="20">
                  <c:v>2.866252179422784</c:v>
                </c:pt>
                <c:pt idx="21">
                  <c:v>2.9163526830772852</c:v>
                </c:pt>
                <c:pt idx="22">
                  <c:v>2.9661761956628334</c:v>
                </c:pt>
                <c:pt idx="23">
                  <c:v>3.0157257631524765</c:v>
                </c:pt>
                <c:pt idx="24">
                  <c:v>3.065004381550644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7.489497252929847E-2</c:v>
                </c:pt>
                <c:pt idx="1">
                  <c:v>6.8266702852091382E-2</c:v>
                </c:pt>
                <c:pt idx="2">
                  <c:v>6.2085360236330121E-2</c:v>
                </c:pt>
                <c:pt idx="3">
                  <c:v>5.6339515572043877E-2</c:v>
                </c:pt>
                <c:pt idx="4">
                  <c:v>5.101522345741779E-2</c:v>
                </c:pt>
                <c:pt idx="5">
                  <c:v>4.6096502507664158E-2</c:v>
                </c:pt>
                <c:pt idx="6">
                  <c:v>4.1565780635906963E-2</c:v>
                </c:pt>
                <c:pt idx="7">
                  <c:v>3.7404302572908568E-2</c:v>
                </c:pt>
                <c:pt idx="8">
                  <c:v>3.3592498072625557E-2</c:v>
                </c:pt>
                <c:pt idx="9">
                  <c:v>3.0110310278139808E-2</c:v>
                </c:pt>
                <c:pt idx="10">
                  <c:v>2.6937484593812479E-2</c:v>
                </c:pt>
                <c:pt idx="11">
                  <c:v>2.4053819132480815E-2</c:v>
                </c:pt>
                <c:pt idx="12">
                  <c:v>2.1439378383981373E-2</c:v>
                </c:pt>
                <c:pt idx="13">
                  <c:v>1.9074672198529173E-2</c:v>
                </c:pt>
                <c:pt idx="14">
                  <c:v>1.6940802503853533E-2</c:v>
                </c:pt>
                <c:pt idx="15">
                  <c:v>1.501958039304915E-2</c:v>
                </c:pt>
                <c:pt idx="16">
                  <c:v>1.329361634468311E-2</c:v>
                </c:pt>
                <c:pt idx="17">
                  <c:v>1.1746386380904571E-2</c:v>
                </c:pt>
                <c:pt idx="18">
                  <c:v>1.0362276947041203E-2</c:v>
                </c:pt>
                <c:pt idx="19">
                  <c:v>9.1266112192259444E-3</c:v>
                </c:pt>
                <c:pt idx="20">
                  <c:v>8.0256594271921125E-3</c:v>
                </c:pt>
                <c:pt idx="21">
                  <c:v>7.046635628115549E-3</c:v>
                </c:pt>
                <c:pt idx="22">
                  <c:v>6.1776831927433679E-3</c:v>
                </c:pt>
                <c:pt idx="23">
                  <c:v>5.4078510764539412E-3</c:v>
                </c:pt>
                <c:pt idx="24">
                  <c:v>4.7270627513665113E-3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FA-4441-8858-1DB542DCB13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0.10879567416481116</c:v>
                </c:pt>
                <c:pt idx="1">
                  <c:v>0.11606072357820023</c:v>
                </c:pt>
                <c:pt idx="2">
                  <c:v>0.12357957735478099</c:v>
                </c:pt>
                <c:pt idx="3">
                  <c:v>0.13134243227875977</c:v>
                </c:pt>
                <c:pt idx="4">
                  <c:v>0.13933791624008332</c:v>
                </c:pt>
                <c:pt idx="5">
                  <c:v>0.14755309089492016</c:v>
                </c:pt>
                <c:pt idx="6">
                  <c:v>0.15597346900900366</c:v>
                </c:pt>
                <c:pt idx="7">
                  <c:v>0.16458304466426835</c:v>
                </c:pt>
                <c:pt idx="8">
                  <c:v>0.17336434137154019</c:v>
                </c:pt>
                <c:pt idx="9">
                  <c:v>0.18229846738091515</c:v>
                </c:pt>
                <c:pt idx="10">
                  <c:v>0.1913651756104236</c:v>
                </c:pt>
                <c:pt idx="11">
                  <c:v>0.20054295289031687</c:v>
                </c:pt>
                <c:pt idx="12">
                  <c:v>0.20980910488293469</c:v>
                </c:pt>
                <c:pt idx="13">
                  <c:v>0.22636789368077093</c:v>
                </c:pt>
                <c:pt idx="14">
                  <c:v>0.23584959295801844</c:v>
                </c:pt>
                <c:pt idx="15">
                  <c:v>0.2453072396932594</c:v>
                </c:pt>
                <c:pt idx="16">
                  <c:v>0.25471243132954136</c:v>
                </c:pt>
                <c:pt idx="17">
                  <c:v>0.26403647520376883</c:v>
                </c:pt>
                <c:pt idx="18">
                  <c:v>0.27325054549267919</c:v>
                </c:pt>
                <c:pt idx="19">
                  <c:v>0.28232586831089246</c:v>
                </c:pt>
                <c:pt idx="20">
                  <c:v>0.29123387760900021</c:v>
                </c:pt>
                <c:pt idx="21">
                  <c:v>0.29994639225926745</c:v>
                </c:pt>
                <c:pt idx="22">
                  <c:v>0.30843579193233756</c:v>
                </c:pt>
                <c:pt idx="23">
                  <c:v>0.3166751656395978</c:v>
                </c:pt>
                <c:pt idx="24">
                  <c:v>0.32463849345619167</c:v>
                </c:pt>
                <c:pt idx="25">
                  <c:v>0.33230078517294381</c:v>
                </c:pt>
                <c:pt idx="26">
                  <c:v>0.33963824201445608</c:v>
                </c:pt>
                <c:pt idx="27">
                  <c:v>0.34662839244519528</c:v>
                </c:pt>
                <c:pt idx="28">
                  <c:v>0.35325023467258992</c:v>
                </c:pt>
                <c:pt idx="29">
                  <c:v>0.35948434550497466</c:v>
                </c:pt>
                <c:pt idx="30">
                  <c:v>0.36531301355615686</c:v>
                </c:pt>
                <c:pt idx="31">
                  <c:v>0.37072033466760701</c:v>
                </c:pt>
                <c:pt idx="32">
                  <c:v>0.37569230412194488</c:v>
                </c:pt>
                <c:pt idx="33">
                  <c:v>0.3802169048215418</c:v>
                </c:pt>
                <c:pt idx="34">
                  <c:v>0.38428417811964583</c:v>
                </c:pt>
                <c:pt idx="35">
                  <c:v>0.3878862762580555</c:v>
                </c:pt>
                <c:pt idx="36">
                  <c:v>0.39101752083716462</c:v>
                </c:pt>
                <c:pt idx="37">
                  <c:v>0.3936744406148075</c:v>
                </c:pt>
                <c:pt idx="38">
                  <c:v>0.39585577778460851</c:v>
                </c:pt>
                <c:pt idx="39">
                  <c:v>0.39756253001164504</c:v>
                </c:pt>
                <c:pt idx="40">
                  <c:v>0.39879792622188664</c:v>
                </c:pt>
                <c:pt idx="41">
                  <c:v>0.39956744956469936</c:v>
                </c:pt>
                <c:pt idx="42">
                  <c:v>0.39987879832525619</c:v>
                </c:pt>
                <c:pt idx="43">
                  <c:v>0.39863772397394237</c:v>
                </c:pt>
                <c:pt idx="44">
                  <c:v>0.3984235721239397</c:v>
                </c:pt>
                <c:pt idx="45">
                  <c:v>0.39660852925055406</c:v>
                </c:pt>
                <c:pt idx="46">
                  <c:v>0.39532358759355007</c:v>
                </c:pt>
                <c:pt idx="47">
                  <c:v>0.39256055712563287</c:v>
                </c:pt>
                <c:pt idx="48">
                  <c:v>0.38940447461588035</c:v>
                </c:pt>
                <c:pt idx="49">
                  <c:v>0.38586734971054193</c:v>
                </c:pt>
                <c:pt idx="50">
                  <c:v>0.38196279746721506</c:v>
                </c:pt>
                <c:pt idx="51">
                  <c:v>0.37770583420035969</c:v>
                </c:pt>
                <c:pt idx="52">
                  <c:v>0.3731126822691313</c:v>
                </c:pt>
                <c:pt idx="53">
                  <c:v>0.36820059478268302</c:v>
                </c:pt>
                <c:pt idx="54">
                  <c:v>0.36298766931652793</c:v>
                </c:pt>
                <c:pt idx="55">
                  <c:v>0.35749269120777122</c:v>
                </c:pt>
                <c:pt idx="56">
                  <c:v>0.35173497536130199</c:v>
                </c:pt>
                <c:pt idx="57">
                  <c:v>0.34573421974558183</c:v>
                </c:pt>
                <c:pt idx="58">
                  <c:v>0.3395103744688438</c:v>
                </c:pt>
                <c:pt idx="59">
                  <c:v>0.33308350174231127</c:v>
                </c:pt>
                <c:pt idx="60">
                  <c:v>0.32647367150234008</c:v>
                </c:pt>
                <c:pt idx="61">
                  <c:v>0.31970084590540576</c:v>
                </c:pt>
                <c:pt idx="62">
                  <c:v>0.31278478070707971</c:v>
                </c:pt>
                <c:pt idx="63">
                  <c:v>0.3057449346320586</c:v>
                </c:pt>
                <c:pt idx="64">
                  <c:v>0.29860039184567511</c:v>
                </c:pt>
                <c:pt idx="65">
                  <c:v>0.29136977791386487</c:v>
                </c:pt>
                <c:pt idx="66">
                  <c:v>0.28407120414053644</c:v>
                </c:pt>
                <c:pt idx="67">
                  <c:v>0.27672220680274673</c:v>
                </c:pt>
                <c:pt idx="68">
                  <c:v>0.26933969491493537</c:v>
                </c:pt>
                <c:pt idx="69">
                  <c:v>0.26193991342342815</c:v>
                </c:pt>
                <c:pt idx="70">
                  <c:v>0.25453840062128669</c:v>
                </c:pt>
                <c:pt idx="71">
                  <c:v>0.24714996647335172</c:v>
                </c:pt>
                <c:pt idx="72">
                  <c:v>0.23978865812671069</c:v>
                </c:pt>
                <c:pt idx="73">
                  <c:v>0.23246775956971977</c:v>
                </c:pt>
                <c:pt idx="74">
                  <c:v>0.22519976396426775</c:v>
                </c:pt>
                <c:pt idx="75">
                  <c:v>0.21799637673830333</c:v>
                </c:pt>
                <c:pt idx="76">
                  <c:v>0.21086850945469793</c:v>
                </c:pt>
                <c:pt idx="77">
                  <c:v>0.20382628501916905</c:v>
                </c:pt>
                <c:pt idx="78">
                  <c:v>0.1968790414176235</c:v>
                </c:pt>
                <c:pt idx="79">
                  <c:v>0.19003534606300992</c:v>
                </c:pt>
                <c:pt idx="80">
                  <c:v>0.18330300320556706</c:v>
                </c:pt>
                <c:pt idx="81">
                  <c:v>0.17668907637582704</c:v>
                </c:pt>
                <c:pt idx="82">
                  <c:v>0.17019990281468006</c:v>
                </c:pt>
                <c:pt idx="83">
                  <c:v>0.16384111646518382</c:v>
                </c:pt>
                <c:pt idx="84">
                  <c:v>0.15761767079684325</c:v>
                </c:pt>
                <c:pt idx="85">
                  <c:v>0.15153386324000057</c:v>
                </c:pt>
                <c:pt idx="86">
                  <c:v>0.14559336100710457</c:v>
                </c:pt>
                <c:pt idx="87">
                  <c:v>0.13979922955902846</c:v>
                </c:pt>
                <c:pt idx="88">
                  <c:v>0.13415395950996575</c:v>
                </c:pt>
                <c:pt idx="89">
                  <c:v>0.12865949497997439</c:v>
                </c:pt>
                <c:pt idx="90">
                  <c:v>0.1233172646760012</c:v>
                </c:pt>
                <c:pt idx="91">
                  <c:v>0.11812820832462356</c:v>
                </c:pt>
                <c:pt idx="92">
                  <c:v>0.11309280979128208</c:v>
                </c:pt>
                <c:pt idx="93">
                  <c:v>0.10821112186260955</c:v>
                </c:pt>
                <c:pt idx="94">
                  <c:v>0.10348279949233002</c:v>
                </c:pt>
                <c:pt idx="95">
                  <c:v>9.890712543601235E-2</c:v>
                </c:pt>
                <c:pt idx="96">
                  <c:v>9.4483040666316104E-2</c:v>
                </c:pt>
                <c:pt idx="97">
                  <c:v>9.0209169369897563E-2</c:v>
                </c:pt>
                <c:pt idx="98">
                  <c:v>8.6083847489027462E-2</c:v>
                </c:pt>
                <c:pt idx="99">
                  <c:v>8.2105148327168392E-2</c:v>
                </c:pt>
                <c:pt idx="100">
                  <c:v>7.827090626618087E-2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A-4441-8858-1DB542DC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21087"/>
        <c:axId val="1"/>
      </c:scatterChart>
      <c:valAx>
        <c:axId val="60872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4728079911209767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4926590538336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721087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190899001109876"/>
          <c:y val="0.9559543230016313"/>
          <c:w val="0.4883462819089899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2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ED31E84-724D-400D-D786-FFEC27CD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352425</xdr:colOff>
          <xdr:row>3</xdr:row>
          <xdr:rowOff>9525</xdr:rowOff>
        </xdr:from>
        <xdr:to>
          <xdr:col>15</xdr:col>
          <xdr:colOff>161925</xdr:colOff>
          <xdr:row>5</xdr:row>
          <xdr:rowOff>9525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54140B2E-27AC-C385-52F1-9127E7DD4D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B8E86912-FD7E-8331-A901-626C5497C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161925</xdr:rowOff>
        </xdr:from>
        <xdr:to>
          <xdr:col>15</xdr:col>
          <xdr:colOff>152400</xdr:colOff>
          <xdr:row>2</xdr:row>
          <xdr:rowOff>95250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F62EF2A6-E1B9-F639-613C-33EF4603E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D539E7A-8138-FBEB-D06E-06F3F9B902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0.43075</cdr:x>
      <cdr:y>0.154</cdr:y>
    </cdr:from>
    <cdr:to>
      <cdr:x>0.59175</cdr:x>
      <cdr:y>0.18825</cdr:y>
    </cdr:to>
    <cdr:sp macro="" textlink="VolSkew!$R$2">
      <cdr:nvSpPr>
        <cdr:cNvPr id="8193" name="Text Box 1">
          <a:extLst xmlns:a="http://schemas.openxmlformats.org/drawingml/2006/main">
            <a:ext uri="{FF2B5EF4-FFF2-40B4-BE49-F238E27FC236}">
              <a16:creationId xmlns:a16="http://schemas.microsoft.com/office/drawing/2014/main" id="{5CB3E0E1-5D70-0058-BB7E-2E70CF1C7F6C}"/>
            </a:ext>
          </a:extLst>
        </cdr:cNvPr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696707" y="899179"/>
          <a:ext cx="1381706" cy="199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BCC42CA1-F0AF-4D67-80EC-7956DDE5D6F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6327FD6-83E7-86D0-5A9A-F4CC2DF31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F30" sqref="F30"/>
    </sheetView>
  </sheetViews>
  <sheetFormatPr defaultRowHeight="12.75" x14ac:dyDescent="0.2"/>
  <cols>
    <col min="1" max="1" width="4.140625" customWidth="1"/>
    <col min="3" max="3" width="10.42578125" customWidth="1"/>
    <col min="12" max="12" width="10.140625" customWidth="1"/>
    <col min="15" max="15" width="2.28515625" customWidth="1"/>
  </cols>
  <sheetData>
    <row r="1" spans="1:33" ht="18" x14ac:dyDescent="0.25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0.53017999999999998</v>
      </c>
      <c r="L2" s="16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4.25" x14ac:dyDescent="0.2">
      <c r="A3" s="1"/>
      <c r="B3" s="68" t="s">
        <v>2</v>
      </c>
      <c r="C3" s="25">
        <v>37020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0.53</v>
      </c>
      <c r="L3" s="16"/>
      <c r="M3" s="1"/>
      <c r="N3" s="1"/>
      <c r="O3" s="11"/>
      <c r="P3" s="11"/>
      <c r="W3" t="s">
        <v>14</v>
      </c>
    </row>
    <row r="4" spans="1:33" x14ac:dyDescent="0.2">
      <c r="A4" s="1"/>
      <c r="B4" s="68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">
      <c r="A5" s="1"/>
      <c r="B5" s="68" t="s">
        <v>4</v>
      </c>
      <c r="C5" s="108">
        <v>4.202</v>
      </c>
      <c r="D5" s="11"/>
      <c r="E5" s="11"/>
      <c r="F5" s="11"/>
      <c r="G5" s="11"/>
      <c r="H5" s="29"/>
      <c r="I5" s="17"/>
      <c r="J5" s="69" t="s">
        <v>53</v>
      </c>
      <c r="K5" s="73">
        <v>37043</v>
      </c>
      <c r="L5" s="16"/>
      <c r="M5" s="11"/>
      <c r="N5" s="11"/>
      <c r="O5" s="1"/>
      <c r="P5" s="11"/>
      <c r="W5" t="s">
        <v>31</v>
      </c>
    </row>
    <row r="6" spans="1:33" x14ac:dyDescent="0.2">
      <c r="A6" s="1"/>
      <c r="B6" s="68" t="s">
        <v>5</v>
      </c>
      <c r="C6" s="30">
        <v>4.3900000000000002E-2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2</v>
      </c>
      <c r="X6">
        <v>1</v>
      </c>
    </row>
    <row r="7" spans="1:33" x14ac:dyDescent="0.2">
      <c r="A7" s="1"/>
      <c r="B7" s="70" t="s">
        <v>33</v>
      </c>
      <c r="C7" s="30">
        <f>+IntRate</f>
        <v>4.3900000000000002E-2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5.5" x14ac:dyDescent="0.2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  <c r="Q8" t="s">
        <v>122</v>
      </c>
      <c r="R8" t="s">
        <v>123</v>
      </c>
    </row>
    <row r="9" spans="1:33" x14ac:dyDescent="0.2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0.16300000000000001</v>
      </c>
      <c r="J9" s="20">
        <v>4.25</v>
      </c>
      <c r="K9" s="20">
        <v>1</v>
      </c>
      <c r="L9" s="20">
        <f>+IF(I9="","",UnderlyingPrice)</f>
        <v>4.202</v>
      </c>
      <c r="M9" s="21">
        <f>IF(I9,(J9/L9-1),"")</f>
        <v>1.1423131841979961E-2</v>
      </c>
      <c r="N9" s="21">
        <f>IF(I9,_xll.IMPVOLAB(I9,L9,J9,IntRate,Yield,100,Expiry-Today,K9,100,0.0001),"")</f>
        <v>0.52690267430489646</v>
      </c>
      <c r="O9" s="11"/>
      <c r="P9" s="11"/>
      <c r="Q9">
        <f ca="1">IF(I9="","",_xll.AMER(L9,J9,IntRate,Yield,VLOOKUP(M9,ENAVolTable,4)+VLOOKUP(M9,ENAVolTable,5)*(M9-VLOOKUP(M9,ENAVolTable,1)),Expiry-Today,K9,0))</f>
        <v>0.16395646402382175</v>
      </c>
      <c r="R9">
        <f ca="1">IF(I9="","",+I9-Q9)</f>
        <v>-9.5646402382174034E-4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">
      <c r="A10" s="1"/>
      <c r="B10" s="8" t="e">
        <f t="shared" ref="B10:G10" ca="1" si="0">VLOOKUP(B9,ImpVolTable,2)-ATMImpVol</f>
        <v>#N/A</v>
      </c>
      <c r="C10" s="8" t="e">
        <f t="shared" ca="1" si="0"/>
        <v>#N/A</v>
      </c>
      <c r="D10" s="8">
        <f t="shared" ca="1" si="0"/>
        <v>1.313887409999992E-2</v>
      </c>
      <c r="E10" s="8">
        <f t="shared" ca="1" si="0"/>
        <v>4.1250000000000453E-3</v>
      </c>
      <c r="F10" s="8">
        <f t="shared" ca="1" si="0"/>
        <v>1.4668625099999999E-2</v>
      </c>
      <c r="G10" s="8">
        <f t="shared" ca="1" si="0"/>
        <v>2.7256662099999995E-2</v>
      </c>
      <c r="H10" s="3"/>
      <c r="I10" s="20">
        <v>0.14199999999999999</v>
      </c>
      <c r="J10" s="20">
        <v>4.3</v>
      </c>
      <c r="K10" s="20">
        <v>1</v>
      </c>
      <c r="L10" s="20">
        <f t="shared" ref="L10:L30" si="1">+IF(I10="","",UnderlyingPrice)</f>
        <v>4.202</v>
      </c>
      <c r="M10" s="21">
        <f t="shared" ref="M10:M26" si="2">IF(I10,(J10/UnderlyingPrice-1),"")</f>
        <v>2.3322227510709226E-2</v>
      </c>
      <c r="N10" s="21">
        <f>IF(I10,_xll.IMPVOLAB(I10,L10,J10,IntRate,Yield,100,Expiry-Today,K10,100,0.0001),"")</f>
        <v>0.52851992837588857</v>
      </c>
      <c r="O10" s="11"/>
      <c r="P10" s="11"/>
      <c r="Q10">
        <f ca="1">IF(I10="","",_xll.AMER(L10,J10,IntRate,Yield,VLOOKUP(M10,ENAVolTable,4)+VLOOKUP(M10,ENAVolTable,5)*(M10-VLOOKUP(M10,ENAVolTable,1)),Expiry-Today,K10,0))</f>
        <v>0.14350389694344168</v>
      </c>
      <c r="R10">
        <f t="shared" ref="R10:R30" ca="1" si="3">IF(I10="","",+I10-Q10)</f>
        <v>-1.5038969434416904E-3</v>
      </c>
      <c r="W10" s="33" t="s">
        <v>21</v>
      </c>
      <c r="X10" s="34">
        <f>+VALUE(CONCATENATE(AC17,AD17))</f>
        <v>0.53093000000000001</v>
      </c>
      <c r="Y10" s="34">
        <f>+VALUE(CONCATENATE(AF18,AG18))</f>
        <v>0.53017999999999998</v>
      </c>
      <c r="Z10" s="34">
        <f>+VALUE(CONCATENATE(AI19,AJ19))</f>
        <v>0.53022999999999998</v>
      </c>
      <c r="AA10" s="34">
        <f>+VALUE(CONCATENATE(AL20,AM20))</f>
        <v>0.53376999999999997</v>
      </c>
      <c r="AC10" s="33" t="s">
        <v>21</v>
      </c>
      <c r="AD10" s="34">
        <f>+X12*2</f>
        <v>1.33372</v>
      </c>
      <c r="AE10" s="34">
        <f>+Y12*2</f>
        <v>1.50604</v>
      </c>
      <c r="AF10" s="34">
        <f>+Z12*2</f>
        <v>1.46668</v>
      </c>
      <c r="AG10" s="34">
        <f>+AA12*2</f>
        <v>-1.01546</v>
      </c>
    </row>
    <row r="11" spans="1:33" x14ac:dyDescent="0.2">
      <c r="A11" s="1"/>
      <c r="B11" s="9"/>
      <c r="C11" s="10"/>
      <c r="D11" s="3"/>
      <c r="E11" s="3"/>
      <c r="F11" s="3"/>
      <c r="G11" s="3"/>
      <c r="H11" s="3"/>
      <c r="I11" s="20">
        <v>0.124</v>
      </c>
      <c r="J11" s="20">
        <v>4.3499999999999996</v>
      </c>
      <c r="K11" s="20">
        <v>1</v>
      </c>
      <c r="L11" s="20">
        <f t="shared" si="1"/>
        <v>4.202</v>
      </c>
      <c r="M11" s="21">
        <f t="shared" si="2"/>
        <v>3.5221323179438269E-2</v>
      </c>
      <c r="N11" s="21">
        <f>IF(I11,_xll.IMPVOLAB(I11,L11,J11,IntRate,Yield,100,Expiry-Today,K11,100,0.0001),"")</f>
        <v>0.52861355224701423</v>
      </c>
      <c r="O11" s="11"/>
      <c r="P11" s="11"/>
      <c r="Q11">
        <f ca="1">IF(I11="","",_xll.AMER(L11,J11,IntRate,Yield,VLOOKUP(M11,ENAVolTable,4)+VLOOKUP(M11,ENAVolTable,5)*(M11-VLOOKUP(M11,ENAVolTable,1)),Expiry-Today,K11,0))</f>
        <v>0.12504880048491121</v>
      </c>
      <c r="R11">
        <f t="shared" ca="1" si="3"/>
        <v>-1.0488004849112109E-3</v>
      </c>
      <c r="W11" s="33" t="s">
        <v>22</v>
      </c>
      <c r="X11" s="34">
        <f>+VALUE(CONCATENATE(AA17,AB17))</f>
        <v>-4.965E-2</v>
      </c>
      <c r="Y11" s="34">
        <f>+VALUE(CONCATENATE(AD18,AE18))</f>
        <v>-2.1860999999999998E-2</v>
      </c>
      <c r="Z11" s="34">
        <f>+VALUE(CONCATENATE(AG19,AH19))</f>
        <v>-2.0560999999999999E-2</v>
      </c>
      <c r="AA11" s="34">
        <f>+VALUE(CONCATENATE(AJ20,AK20))</f>
        <v>-0.13954</v>
      </c>
      <c r="AC11" s="33" t="s">
        <v>22</v>
      </c>
      <c r="AE11" s="34">
        <f>+Y13*6</f>
        <v>-7.3146000000000004</v>
      </c>
      <c r="AF11" s="34">
        <f>+Z13*6</f>
        <v>-7.7298</v>
      </c>
      <c r="AG11" s="34">
        <f>+AA13*6</f>
        <v>76.457999999999998</v>
      </c>
    </row>
    <row r="12" spans="1:33" x14ac:dyDescent="0.2">
      <c r="A12" s="1"/>
      <c r="B12" s="11"/>
      <c r="C12" s="12"/>
      <c r="D12" s="12"/>
      <c r="E12" s="12"/>
      <c r="F12" s="12"/>
      <c r="G12" s="12"/>
      <c r="H12" s="12"/>
      <c r="I12" s="20">
        <v>0.107</v>
      </c>
      <c r="J12" s="20">
        <v>4.4000000000000004</v>
      </c>
      <c r="K12" s="20">
        <v>1</v>
      </c>
      <c r="L12" s="20">
        <f t="shared" si="1"/>
        <v>4.202</v>
      </c>
      <c r="M12" s="21">
        <f t="shared" si="2"/>
        <v>4.7120418848167533E-2</v>
      </c>
      <c r="N12" s="21">
        <f>IF(I12,_xll.IMPVOLAB(I12,L12,J12,IntRate,Yield,100,Expiry-Today,K12,100,0.0001),"")</f>
        <v>0.53009183156561124</v>
      </c>
      <c r="O12" s="11"/>
      <c r="P12" s="11"/>
      <c r="Q12">
        <f ca="1">IF(I12="","",_xll.AMER(L12,J12,IntRate,Yield,VLOOKUP(M12,ENAVolTable,4)+VLOOKUP(M12,ENAVolTable,5)*(M12-VLOOKUP(M12,ENAVolTable,1)),Expiry-Today,K12,0))</f>
        <v>0.10849391763938575</v>
      </c>
      <c r="R12">
        <f t="shared" ca="1" si="3"/>
        <v>-1.4939176393857501E-3</v>
      </c>
      <c r="W12" s="33" t="s">
        <v>23</v>
      </c>
      <c r="X12" s="34">
        <f>+Y17</f>
        <v>0.66686000000000001</v>
      </c>
      <c r="Y12" s="34">
        <f>+VALUE(CONCATENATE(AA18,AB18))</f>
        <v>0.75302000000000002</v>
      </c>
      <c r="Z12" s="34">
        <f>+VALUE(CONCATENATE(AD19,AE19))</f>
        <v>0.73333999999999999</v>
      </c>
      <c r="AA12" s="34">
        <f>+VALUE(CONCATENATE(AG20,AH20))</f>
        <v>-0.50773000000000001</v>
      </c>
      <c r="AC12" s="33" t="s">
        <v>23</v>
      </c>
      <c r="AE12" s="34"/>
      <c r="AF12" s="34">
        <f>12*Z14</f>
        <v>8.0728799999999996</v>
      </c>
      <c r="AG12" s="34">
        <f>12*AA14</f>
        <v>529.21199999999999</v>
      </c>
    </row>
    <row r="13" spans="1:33" x14ac:dyDescent="0.2">
      <c r="A13" s="1"/>
      <c r="B13" s="9"/>
      <c r="C13" s="1"/>
      <c r="D13" s="1"/>
      <c r="E13" s="1"/>
      <c r="F13" s="1"/>
      <c r="G13" s="1"/>
      <c r="H13" s="1"/>
      <c r="I13" s="20">
        <v>0.08</v>
      </c>
      <c r="J13" s="20">
        <v>4.5</v>
      </c>
      <c r="K13" s="20">
        <v>1</v>
      </c>
      <c r="L13" s="20">
        <f t="shared" si="1"/>
        <v>4.202</v>
      </c>
      <c r="M13" s="21">
        <f t="shared" si="2"/>
        <v>7.0918610185625841E-2</v>
      </c>
      <c r="N13" s="21">
        <f>IF(I13,_xll.IMPVOLAB(I13,L13,J13,IntRate,Yield,100,Expiry-Today,K13,100,0.0001),"")</f>
        <v>0.53475986345565296</v>
      </c>
      <c r="O13" s="11"/>
      <c r="P13" s="11"/>
      <c r="Q13">
        <f ca="1">IF(I13="","",_xll.AMER(L13,J13,IntRate,Yield,VLOOKUP(M13,ENAVolTable,4)+VLOOKUP(M13,ENAVolTable,5)*(M13-VLOOKUP(M13,ENAVolTable,1)),Expiry-Today,K13,0))</f>
        <v>8.0635975570489876E-2</v>
      </c>
      <c r="R13">
        <f t="shared" ca="1" si="3"/>
        <v>-6.3597557048987452E-4</v>
      </c>
      <c r="W13" s="33" t="s">
        <v>24</v>
      </c>
      <c r="X13" s="34"/>
      <c r="Y13" s="34">
        <f>+Y18</f>
        <v>-1.2191000000000001</v>
      </c>
      <c r="Z13" s="34">
        <f>+VALUE(CONCATENATE(AA19,AB19))</f>
        <v>-1.2883</v>
      </c>
      <c r="AA13" s="34">
        <f>VALUE(CONCATENATE(AD20,AE20))</f>
        <v>12.743</v>
      </c>
      <c r="AC13" s="33" t="s">
        <v>24</v>
      </c>
      <c r="AE13" s="34"/>
      <c r="AF13" s="34"/>
      <c r="AG13">
        <f>+AA15*20</f>
        <v>-6866.4</v>
      </c>
    </row>
    <row r="14" spans="1:33" x14ac:dyDescent="0.2">
      <c r="A14" s="1"/>
      <c r="B14" s="11"/>
      <c r="C14" s="1"/>
      <c r="D14" s="1"/>
      <c r="E14" s="1"/>
      <c r="F14" s="1"/>
      <c r="G14" s="1"/>
      <c r="H14" s="1"/>
      <c r="I14" s="20">
        <v>3.5000000000000003E-2</v>
      </c>
      <c r="J14" s="20">
        <v>4.75</v>
      </c>
      <c r="K14" s="20">
        <v>1</v>
      </c>
      <c r="L14" s="20">
        <f t="shared" si="1"/>
        <v>4.202</v>
      </c>
      <c r="M14" s="21">
        <f t="shared" si="2"/>
        <v>0.13041408852927172</v>
      </c>
      <c r="N14" s="21">
        <f>IF(I14,_xll.IMPVOLAB(I14,L14,J14,IntRate,Yield,100,Expiry-Today,K14,100,0.0001),"")</f>
        <v>0.53622745923018977</v>
      </c>
      <c r="O14" s="11"/>
      <c r="P14" s="11"/>
      <c r="Q14">
        <f ca="1">IF(I14="","",_xll.AMER(L14,J14,IntRate,Yield,VLOOKUP(M14,ENAVolTable,4)+VLOOKUP(M14,ENAVolTable,5)*(M14-VLOOKUP(M14,ENAVolTable,1)),Expiry-Today,K14,0))</f>
        <v>3.5817726351748118E-2</v>
      </c>
      <c r="R14">
        <f t="shared" ca="1" si="3"/>
        <v>-8.1772635174811453E-4</v>
      </c>
      <c r="W14" s="33" t="s">
        <v>25</v>
      </c>
      <c r="X14" s="23"/>
      <c r="Z14" s="34">
        <f>+Y19</f>
        <v>0.67274</v>
      </c>
      <c r="AA14" s="34">
        <f>+VALUE(CONCATENATE(AA20,AB20))</f>
        <v>44.100999999999999</v>
      </c>
    </row>
    <row r="15" spans="1:33" x14ac:dyDescent="0.2">
      <c r="A15" s="1"/>
      <c r="B15" s="9"/>
      <c r="C15" s="1"/>
      <c r="D15" s="1"/>
      <c r="E15" s="1"/>
      <c r="F15" s="1"/>
      <c r="G15" s="1"/>
      <c r="H15" s="1"/>
      <c r="I15" s="20">
        <v>0.03</v>
      </c>
      <c r="J15" s="20">
        <v>4.8</v>
      </c>
      <c r="K15" s="20">
        <v>1</v>
      </c>
      <c r="L15" s="20">
        <f t="shared" si="1"/>
        <v>4.202</v>
      </c>
      <c r="M15" s="21">
        <f t="shared" si="2"/>
        <v>0.14231318419800099</v>
      </c>
      <c r="N15" s="21">
        <f>IF(I15,_xll.IMPVOLAB(I15,L15,J15,IntRate,Yield,100,Expiry-Today,K15,100,0.0001),"")</f>
        <v>0.54198648230938262</v>
      </c>
      <c r="O15" s="11"/>
      <c r="P15" s="11"/>
      <c r="Q15">
        <f ca="1">IF(I15="","",_xll.AMER(L15,J15,IntRate,Yield,VLOOKUP(M15,ENAVolTable,4)+VLOOKUP(M15,ENAVolTable,5)*(M15-VLOOKUP(M15,ENAVolTable,1)),Expiry-Today,K15,0))</f>
        <v>3.0117100905617693E-2</v>
      </c>
      <c r="R15">
        <f t="shared" ca="1" si="3"/>
        <v>-1.1710090561769387E-4</v>
      </c>
      <c r="W15" s="33" t="s">
        <v>32</v>
      </c>
      <c r="AA15" s="34">
        <f>+Y20</f>
        <v>-343.32</v>
      </c>
    </row>
    <row r="16" spans="1:33" x14ac:dyDescent="0.2">
      <c r="A16" s="1"/>
      <c r="B16" s="9"/>
      <c r="C16" s="1"/>
      <c r="D16" s="1"/>
      <c r="E16" s="1"/>
      <c r="F16" s="1"/>
      <c r="G16" s="1"/>
      <c r="H16" s="1"/>
      <c r="I16" s="20">
        <v>2.5000000000000001E-2</v>
      </c>
      <c r="J16" s="20">
        <v>4.8499999999999996</v>
      </c>
      <c r="K16" s="20">
        <v>1</v>
      </c>
      <c r="L16" s="20">
        <f t="shared" si="1"/>
        <v>4.202</v>
      </c>
      <c r="M16" s="21">
        <f t="shared" si="2"/>
        <v>0.15421227986673003</v>
      </c>
      <c r="N16" s="21">
        <f>IF(I16,_xll.IMPVOLAB(I16,L16,J16,IntRate,Yield,100,Expiry-Today,K16,100,0.0001),"")</f>
        <v>0.5413273944620941</v>
      </c>
      <c r="O16" s="11"/>
      <c r="P16" s="1"/>
      <c r="Q16">
        <f ca="1">IF(I16="","",_xll.AMER(L16,J16,IntRate,Yield,VLOOKUP(M16,ENAVolTable,4)+VLOOKUP(M16,ENAVolTable,5)*(M16-VLOOKUP(M16,ENAVolTable,1)),Expiry-Today,K16,0))</f>
        <v>2.5237624660833541E-2</v>
      </c>
      <c r="R16">
        <f t="shared" ca="1" si="3"/>
        <v>-2.3762466083353945E-4</v>
      </c>
    </row>
    <row r="17" spans="1:44" x14ac:dyDescent="0.2">
      <c r="A17" s="1"/>
      <c r="B17" s="9"/>
      <c r="C17" s="1"/>
      <c r="D17" s="1"/>
      <c r="E17" s="1"/>
      <c r="F17" s="1"/>
      <c r="G17" s="1"/>
      <c r="H17" s="1"/>
      <c r="I17" s="20">
        <v>2.1000000000000001E-2</v>
      </c>
      <c r="J17" s="20">
        <v>4.9000000000000004</v>
      </c>
      <c r="K17" s="20">
        <v>1</v>
      </c>
      <c r="L17" s="20">
        <f t="shared" si="1"/>
        <v>4.202</v>
      </c>
      <c r="M17" s="21">
        <f t="shared" si="2"/>
        <v>0.16611137553545929</v>
      </c>
      <c r="N17" s="21">
        <f>IF(I17,_xll.IMPVOLAB(I17,L17,J17,IntRate,Yield,100,Expiry-Today,K17,100,0.0001),"")</f>
        <v>0.54353499692597496</v>
      </c>
      <c r="O17" s="11"/>
      <c r="P17" s="1"/>
      <c r="Q17">
        <f ca="1">IF(I17="","",_xll.AMER(L17,J17,IntRate,Yield,VLOOKUP(M17,ENAVolTable,4)+VLOOKUP(M17,ENAVolTable,5)*(M17-VLOOKUP(M17,ENAVolTable,1)),Expiry-Today,K17,0))</f>
        <v>2.1079326200590279E-2</v>
      </c>
      <c r="R17">
        <f t="shared" ca="1" si="3"/>
        <v>-7.9326200590278118E-5</v>
      </c>
      <c r="W17" s="37" t="s">
        <v>16</v>
      </c>
      <c r="X17" t="s">
        <v>17</v>
      </c>
      <c r="Y17" s="38">
        <v>0.66686000000000001</v>
      </c>
      <c r="Z17">
        <v>2</v>
      </c>
      <c r="AA17" t="s">
        <v>18</v>
      </c>
      <c r="AB17" s="38">
        <v>4.965E-2</v>
      </c>
      <c r="AC17" t="s">
        <v>19</v>
      </c>
      <c r="AD17" s="38">
        <v>0.53093000000000001</v>
      </c>
    </row>
    <row r="18" spans="1:44" x14ac:dyDescent="0.2">
      <c r="A18" s="1"/>
      <c r="B18" s="11"/>
      <c r="C18" s="1"/>
      <c r="D18" s="1"/>
      <c r="E18" s="1"/>
      <c r="F18" s="1"/>
      <c r="G18" s="1"/>
      <c r="H18" s="1"/>
      <c r="I18" s="20">
        <v>1.4E-2</v>
      </c>
      <c r="J18" s="20">
        <v>5</v>
      </c>
      <c r="K18" s="20">
        <v>1</v>
      </c>
      <c r="L18" s="20">
        <f t="shared" si="1"/>
        <v>4.202</v>
      </c>
      <c r="M18" s="21">
        <f t="shared" si="2"/>
        <v>0.1899095668729176</v>
      </c>
      <c r="N18" s="21">
        <f>IF(I18,_xll.IMPVOLAB(I18,L18,J18,IntRate,Yield,100,Expiry-Today,K18,100,0.0001),"")</f>
        <v>0.54115645478591612</v>
      </c>
      <c r="O18" s="1"/>
      <c r="P18" s="11"/>
      <c r="Q18">
        <f ca="1">IF(I18="","",_xll.AMER(L18,J18,IntRate,Yield,VLOOKUP(M18,ENAVolTable,4)+VLOOKUP(M18,ENAVolTable,5)*(M18-VLOOKUP(M18,ENAVolTable,1)),Expiry-Today,K18,0))</f>
        <v>1.4568143222202189E-2</v>
      </c>
      <c r="R18">
        <f t="shared" ca="1" si="3"/>
        <v>-5.6814322220218906E-4</v>
      </c>
      <c r="W18" s="37" t="s">
        <v>16</v>
      </c>
      <c r="X18" t="s">
        <v>17</v>
      </c>
      <c r="Y18" s="38">
        <v>-1.2191000000000001</v>
      </c>
      <c r="Z18">
        <v>3</v>
      </c>
      <c r="AA18" t="s">
        <v>19</v>
      </c>
      <c r="AB18" s="38">
        <v>0.75302000000000002</v>
      </c>
      <c r="AC18">
        <v>2</v>
      </c>
      <c r="AD18" t="s">
        <v>18</v>
      </c>
      <c r="AE18" s="38">
        <v>2.1860999999999998E-2</v>
      </c>
      <c r="AF18" t="s">
        <v>19</v>
      </c>
      <c r="AG18" s="38">
        <v>0.53017999999999998</v>
      </c>
    </row>
    <row r="19" spans="1:44" x14ac:dyDescent="0.2">
      <c r="A19" s="1"/>
      <c r="B19" s="9"/>
      <c r="C19" s="1"/>
      <c r="D19" s="1"/>
      <c r="E19" s="1"/>
      <c r="F19" s="1"/>
      <c r="G19" s="1"/>
      <c r="H19" s="1"/>
      <c r="I19" s="20">
        <v>0.01</v>
      </c>
      <c r="J19" s="20">
        <v>5.0999999999999996</v>
      </c>
      <c r="K19" s="20">
        <v>1</v>
      </c>
      <c r="L19" s="20">
        <f t="shared" si="1"/>
        <v>4.202</v>
      </c>
      <c r="M19" s="21">
        <f t="shared" si="2"/>
        <v>0.21370775821037591</v>
      </c>
      <c r="N19" s="21">
        <f>IF(I19,_xll.IMPVOLAB(I19,L19,J19,IntRate,Yield,100,Expiry-Today,K19,100,0.0001),"")</f>
        <v>0.54853667092080383</v>
      </c>
      <c r="O19" s="1"/>
      <c r="P19" s="11"/>
      <c r="Q19">
        <f ca="1">IF(I19="","",_xll.AMER(L19,J19,IntRate,Yield,VLOOKUP(M19,ENAVolTable,4)+VLOOKUP(M19,ENAVolTable,5)*(M19-VLOOKUP(M19,ENAVolTable,1)),Expiry-Today,K19,0))</f>
        <v>9.9512914768197167E-3</v>
      </c>
      <c r="R19">
        <f t="shared" ca="1" si="3"/>
        <v>4.8708523180283556E-5</v>
      </c>
      <c r="W19" s="37" t="s">
        <v>16</v>
      </c>
      <c r="X19" t="s">
        <v>17</v>
      </c>
      <c r="Y19" s="38">
        <v>0.67274</v>
      </c>
      <c r="Z19">
        <v>4</v>
      </c>
      <c r="AA19" t="s">
        <v>18</v>
      </c>
      <c r="AB19" s="38">
        <v>1.2883</v>
      </c>
      <c r="AC19">
        <v>3</v>
      </c>
      <c r="AD19" t="s">
        <v>19</v>
      </c>
      <c r="AE19" s="38">
        <v>0.73333999999999999</v>
      </c>
      <c r="AF19">
        <v>2</v>
      </c>
      <c r="AG19" t="s">
        <v>18</v>
      </c>
      <c r="AH19" s="38">
        <v>2.0560999999999999E-2</v>
      </c>
      <c r="AI19" t="s">
        <v>19</v>
      </c>
      <c r="AJ19" s="38">
        <v>0.53022999999999998</v>
      </c>
    </row>
    <row r="20" spans="1:44" x14ac:dyDescent="0.2">
      <c r="A20" s="1"/>
      <c r="B20" s="11"/>
      <c r="C20" s="1"/>
      <c r="D20" s="1"/>
      <c r="E20" s="1"/>
      <c r="F20" s="1"/>
      <c r="G20" s="1"/>
      <c r="H20" s="1"/>
      <c r="I20" s="20">
        <v>1.2E-2</v>
      </c>
      <c r="J20" s="20">
        <v>3.5</v>
      </c>
      <c r="K20" s="20">
        <v>0</v>
      </c>
      <c r="L20" s="20">
        <f t="shared" si="1"/>
        <v>4.202</v>
      </c>
      <c r="M20" s="21">
        <f t="shared" si="2"/>
        <v>-0.16706330318895768</v>
      </c>
      <c r="N20" s="21">
        <f>IF(I20,_xll.IMPVOLAB(I20,L20,J20,IntRate,Yield,100,Expiry-Today,K20,100,0.0001),"")</f>
        <v>0.56589546685419223</v>
      </c>
      <c r="O20" s="1"/>
      <c r="P20" s="11"/>
      <c r="Q20">
        <f ca="1">IF(I20="","",_xll.AMER(L20,J20,IntRate,Yield,VLOOKUP(M20,ENAVolTable,4)+VLOOKUP(M20,ENAVolTable,5)*(M20-VLOOKUP(M20,ENAVolTable,1)),Expiry-Today,K20,0))</f>
        <v>8.8023729213229963E-3</v>
      </c>
      <c r="R20">
        <f t="shared" ca="1" si="3"/>
        <v>3.1976270786770039E-3</v>
      </c>
      <c r="W20" s="37" t="s">
        <v>16</v>
      </c>
      <c r="X20" t="s">
        <v>17</v>
      </c>
      <c r="Y20" s="38">
        <v>-343.32</v>
      </c>
      <c r="Z20">
        <v>5</v>
      </c>
      <c r="AA20" t="s">
        <v>19</v>
      </c>
      <c r="AB20" s="38">
        <v>44.100999999999999</v>
      </c>
      <c r="AC20">
        <v>4</v>
      </c>
      <c r="AD20" t="s">
        <v>19</v>
      </c>
      <c r="AE20" s="38">
        <v>12.743</v>
      </c>
      <c r="AF20">
        <v>3</v>
      </c>
      <c r="AG20" t="s">
        <v>18</v>
      </c>
      <c r="AH20" s="38">
        <v>0.50773000000000001</v>
      </c>
      <c r="AI20">
        <v>2</v>
      </c>
      <c r="AJ20" s="38" t="s">
        <v>18</v>
      </c>
      <c r="AK20" s="38">
        <v>0.13954</v>
      </c>
      <c r="AL20" t="s">
        <v>19</v>
      </c>
      <c r="AM20" s="38">
        <v>0.53376999999999997</v>
      </c>
    </row>
    <row r="21" spans="1:44" x14ac:dyDescent="0.2">
      <c r="A21" s="1"/>
      <c r="B21" s="9"/>
      <c r="C21" s="1"/>
      <c r="D21" s="1"/>
      <c r="E21" s="1"/>
      <c r="F21" s="1"/>
      <c r="G21" s="1"/>
      <c r="H21" s="1"/>
      <c r="I21" s="20">
        <v>2.7E-2</v>
      </c>
      <c r="J21" s="20">
        <v>3.75</v>
      </c>
      <c r="K21" s="20">
        <v>0</v>
      </c>
      <c r="L21" s="20">
        <f t="shared" si="1"/>
        <v>4.202</v>
      </c>
      <c r="M21" s="21">
        <f t="shared" si="2"/>
        <v>-0.1075678248453118</v>
      </c>
      <c r="N21" s="21">
        <f>IF(I21,_xll.IMPVOLAB(I21,L21,J21,IntRate,Yield,100,Expiry-Today,K21,100,0.0001),"")</f>
        <v>0.48744601672951321</v>
      </c>
      <c r="O21" s="11"/>
      <c r="P21" s="11"/>
      <c r="Q21">
        <f ca="1">IF(I21="","",_xll.AMER(L21,J21,IntRate,Yield,VLOOKUP(M21,ENAVolTable,4)+VLOOKUP(M21,ENAVolTable,5)*(M21-VLOOKUP(M21,ENAVolTable,1)),Expiry-Today,K21,0))</f>
        <v>3.4378202665776021E-2</v>
      </c>
      <c r="R21">
        <f t="shared" ca="1" si="3"/>
        <v>-7.3782026657760215E-3</v>
      </c>
    </row>
    <row r="22" spans="1:44" x14ac:dyDescent="0.2">
      <c r="A22" s="1"/>
      <c r="B22" s="11"/>
      <c r="C22" s="1"/>
      <c r="D22" s="1"/>
      <c r="E22" s="1"/>
      <c r="F22" s="1"/>
      <c r="G22" s="1"/>
      <c r="H22" s="1"/>
      <c r="I22" s="20">
        <v>5.7000000000000002E-2</v>
      </c>
      <c r="J22" s="20">
        <v>3.8</v>
      </c>
      <c r="K22" s="20">
        <v>0</v>
      </c>
      <c r="L22" s="20">
        <f t="shared" si="1"/>
        <v>4.202</v>
      </c>
      <c r="M22" s="21">
        <f t="shared" si="2"/>
        <v>-9.5668729176582645E-2</v>
      </c>
      <c r="N22" s="21">
        <f>IF(I22,_xll.IMPVOLAB(I22,L22,J22,IntRate,Yield,100,Expiry-Today,K22,100,0.0001),"")</f>
        <v>0.58811255097817561</v>
      </c>
      <c r="O22" s="11"/>
      <c r="P22" s="11"/>
      <c r="Q22">
        <f ca="1">IF(I22="","",_xll.AMER(L22,J22,IntRate,Yield,VLOOKUP(M22,ENAVolTable,4)+VLOOKUP(M22,ENAVolTable,5)*(M22-VLOOKUP(M22,ENAVolTable,1)),Expiry-Today,K22,0))</f>
        <v>4.3429477099763893E-2</v>
      </c>
      <c r="R22">
        <f t="shared" ca="1" si="3"/>
        <v>1.3570522900236109E-2</v>
      </c>
    </row>
    <row r="23" spans="1:44" x14ac:dyDescent="0.2">
      <c r="A23" s="1"/>
      <c r="B23" s="9"/>
      <c r="C23" s="1"/>
      <c r="D23" s="1"/>
      <c r="E23" s="1"/>
      <c r="F23" s="1"/>
      <c r="G23" s="1"/>
      <c r="H23" s="1"/>
      <c r="I23" s="20">
        <v>0.10299999999999999</v>
      </c>
      <c r="J23" s="20">
        <v>4</v>
      </c>
      <c r="K23" s="20">
        <v>0</v>
      </c>
      <c r="L23" s="20">
        <f t="shared" si="1"/>
        <v>4.202</v>
      </c>
      <c r="M23" s="21">
        <f t="shared" si="2"/>
        <v>-4.8072346501665919E-2</v>
      </c>
      <c r="N23" s="21">
        <f>IF(I23,_xll.IMPVOLAB(I23,L23,J23,IntRate,Yield,100,Expiry-Today,K23,100,0.0001),"")</f>
        <v>0.54681985768580998</v>
      </c>
      <c r="O23" s="11"/>
      <c r="P23" s="1"/>
      <c r="Q23">
        <f ca="1">IF(I23="","",_xll.AMER(L23,J23,IntRate,Yield,VLOOKUP(M23,ENAVolTable,4)+VLOOKUP(M23,ENAVolTable,5)*(M23-VLOOKUP(M23,ENAVolTable,1)),Expiry-Today,K23,0))</f>
        <v>9.7492713048195651E-2</v>
      </c>
      <c r="R23">
        <f t="shared" ca="1" si="3"/>
        <v>5.5072869518043438E-3</v>
      </c>
    </row>
    <row r="24" spans="1:44" x14ac:dyDescent="0.2">
      <c r="A24" s="1"/>
      <c r="B24" s="1"/>
      <c r="C24" s="1"/>
      <c r="D24" s="1"/>
      <c r="E24" s="1"/>
      <c r="F24" s="1"/>
      <c r="G24" s="1"/>
      <c r="H24" s="1"/>
      <c r="I24" s="20">
        <v>0.182</v>
      </c>
      <c r="J24" s="20">
        <v>4.2</v>
      </c>
      <c r="K24" s="20">
        <v>0</v>
      </c>
      <c r="L24" s="20">
        <f t="shared" si="1"/>
        <v>4.202</v>
      </c>
      <c r="M24" s="21">
        <f t="shared" si="2"/>
        <v>-4.7596382674908178E-4</v>
      </c>
      <c r="N24" s="21">
        <f>IF(I24,_xll.IMPVOLAB(I24,L24,J24,IntRate,Yield,100,Expiry-Today,K24,100,0.0001),"")</f>
        <v>0.52389266713171556</v>
      </c>
      <c r="O24" s="1"/>
      <c r="P24" s="1"/>
      <c r="Q24">
        <f ca="1">IF(I24="","",_xll.AMER(L24,J24,IntRate,Yield,VLOOKUP(M24,ENAVolTable,4)+VLOOKUP(M24,ENAVolTable,5)*(M24-VLOOKUP(M24,ENAVolTable,1)),Expiry-Today,K24,0))</f>
        <v>0.18450085350892143</v>
      </c>
      <c r="R24">
        <f t="shared" ca="1" si="3"/>
        <v>-2.5008535089214301E-3</v>
      </c>
    </row>
    <row r="25" spans="1:44" x14ac:dyDescent="0.2">
      <c r="A25" s="1"/>
      <c r="B25" s="11"/>
      <c r="C25" s="11"/>
      <c r="D25" s="11"/>
      <c r="E25" s="11"/>
      <c r="F25" s="11"/>
      <c r="G25" s="11"/>
      <c r="H25" s="1"/>
      <c r="I25" s="20">
        <v>0.21099999999999999</v>
      </c>
      <c r="J25" s="20">
        <v>4.25</v>
      </c>
      <c r="K25" s="20">
        <v>0</v>
      </c>
      <c r="L25" s="20">
        <f t="shared" si="1"/>
        <v>4.202</v>
      </c>
      <c r="M25" s="21">
        <f t="shared" si="2"/>
        <v>1.1423131841979961E-2</v>
      </c>
      <c r="N25" s="21">
        <f>IF(I25,_xll.IMPVOLAB(I25,L25,J25,IntRate,Yield,100,Expiry-Today,K25,100,0.0001),"")</f>
        <v>0.5270996690451083</v>
      </c>
      <c r="O25" s="11"/>
      <c r="P25" s="11"/>
      <c r="Q25">
        <f ca="1">IF(I25="","",_xll.AMER(L25,J25,IntRate,Yield,VLOOKUP(M25,ENAVolTable,4)+VLOOKUP(M25,ENAVolTable,5)*(M25-VLOOKUP(M25,ENAVolTable,1)),Expiry-Today,K25,0))</f>
        <v>0.21187663942773971</v>
      </c>
      <c r="R25">
        <f t="shared" ca="1" si="3"/>
        <v>-8.7663942773971715E-4</v>
      </c>
    </row>
    <row r="26" spans="1:44" x14ac:dyDescent="0.2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 t="str">
        <f t="shared" si="1"/>
        <v/>
      </c>
      <c r="M26" s="21" t="str">
        <f t="shared" si="2"/>
        <v/>
      </c>
      <c r="N26" s="21" t="str">
        <f>IF(I26,_xll.IMPVOLAB(I26,L26,J26,IntRate,Yield,100,Expiry-Today,K26,100,0.0001),"")</f>
        <v/>
      </c>
      <c r="O26" s="11"/>
      <c r="P26" s="11"/>
      <c r="Q26" t="str">
        <f ca="1">IF(I26="","",_xll.AMER(L26,J26,IntRate,Yield,VLOOKUP(M26,ENAVolTable,4)+VLOOKUP(M26,ENAVolTable,5)*(M26-VLOOKUP(M26,ENAVolTable,1)),Expiry-Today,K26,0))</f>
        <v/>
      </c>
      <c r="R26" t="str">
        <f t="shared" ca="1" si="3"/>
        <v/>
      </c>
    </row>
    <row r="27" spans="1:44" x14ac:dyDescent="0.2">
      <c r="A27" s="11"/>
      <c r="B27" s="11"/>
      <c r="C27" s="11"/>
      <c r="D27" s="11"/>
      <c r="E27" s="11"/>
      <c r="F27" s="11"/>
      <c r="G27" s="11"/>
      <c r="H27" s="11"/>
      <c r="I27" s="20"/>
      <c r="J27" s="20"/>
      <c r="K27" s="20"/>
      <c r="L27" s="20" t="str">
        <f t="shared" si="1"/>
        <v/>
      </c>
      <c r="M27" s="21" t="str">
        <f>IF(I27,(J27/UnderlyingPrice-1),"")</f>
        <v/>
      </c>
      <c r="N27" s="21" t="str">
        <f>IF(I27,_xll.IMPVOLAB(I27,L27,J27,IntRate,Yield,100,Expiry-Today,K27,100,0.0001),"")</f>
        <v/>
      </c>
      <c r="O27" s="11"/>
      <c r="P27" s="11"/>
      <c r="Q27" t="str">
        <f ca="1">IF(I27="","",_xll.AMER(L27,J27,IntRate,Yield,VLOOKUP(M27,ENAVolTable,4)+VLOOKUP(M27,ENAVolTable,5)*(M27-VLOOKUP(M27,ENAVolTable,1)),Expiry-Today,K27,0))</f>
        <v/>
      </c>
      <c r="R27" t="str">
        <f t="shared" ca="1" si="3"/>
        <v/>
      </c>
    </row>
    <row r="28" spans="1:44" x14ac:dyDescent="0.2">
      <c r="A28" s="11"/>
      <c r="B28" s="11"/>
      <c r="C28" s="11"/>
      <c r="D28" s="11"/>
      <c r="E28" s="11"/>
      <c r="F28" s="11"/>
      <c r="G28" s="11"/>
      <c r="H28" s="11"/>
      <c r="I28" s="20"/>
      <c r="J28" s="20"/>
      <c r="K28" s="20"/>
      <c r="L28" s="20" t="str">
        <f t="shared" si="1"/>
        <v/>
      </c>
      <c r="M28" s="21" t="str">
        <f>IF(I28,(J28/UnderlyingPrice-1),"")</f>
        <v/>
      </c>
      <c r="N28" s="21" t="str">
        <f>IF(I28,_xll.IMPVOLAB(I28,L28,J28,IntRate,Yield,100,Expiry-Today,K28,100,0.0001),"")</f>
        <v/>
      </c>
      <c r="O28" s="11"/>
      <c r="P28" s="11"/>
      <c r="Q28" t="str">
        <f ca="1">IF(I28="","",_xll.AMER(L28,J28,IntRate,Yield,VLOOKUP(M28,ENAVolTable,4)+VLOOKUP(M28,ENAVolTable,5)*(M28-VLOOKUP(M28,ENAVolTable,1)),Expiry-Today,K28,0))</f>
        <v/>
      </c>
      <c r="R28" t="str">
        <f t="shared" ca="1" si="3"/>
        <v/>
      </c>
      <c r="X28">
        <f ca="1">ROUNDUP(MAX(StrikeRange),0)-ROUNDDOWN(MIN(StrikeRange),0)</f>
        <v>3</v>
      </c>
      <c r="AH28" t="s">
        <v>111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">
      <c r="A29" s="11"/>
      <c r="B29" s="11"/>
      <c r="C29" s="11"/>
      <c r="D29" s="11"/>
      <c r="E29" s="11"/>
      <c r="F29" s="11"/>
      <c r="G29" s="11"/>
      <c r="H29" s="11"/>
      <c r="I29" s="20"/>
      <c r="J29" s="20"/>
      <c r="K29" s="20"/>
      <c r="L29" s="20" t="str">
        <f t="shared" si="1"/>
        <v/>
      </c>
      <c r="M29" s="21" t="str">
        <f ca="1">IF(I29,(J29/UnderlyingPrice-1),"")</f>
        <v/>
      </c>
      <c r="N29" s="21" t="str">
        <f>IF(I29,_xll.IMPVOLAB(I29,L29,J29,IntRate,Yield,100,Expiry-Today,K29,100,0.0001),"")</f>
        <v/>
      </c>
      <c r="O29" s="11"/>
      <c r="P29" s="11"/>
      <c r="Q29" t="str">
        <f ca="1">IF(I29="","",_xll.AMER(L29,J29,IntRate,Yield,VLOOKUP(M29,ENAVolTable,4)+VLOOKUP(M29,ENAVolTable,5)*(M29-VLOOKUP(M29,ENAVolTable,1)),Expiry-Today,K29,0))</f>
        <v/>
      </c>
      <c r="R29" t="str">
        <f t="shared" ca="1" si="3"/>
        <v/>
      </c>
      <c r="W29">
        <f ca="1">ROUNDUP(MAX(MoneynessRange),2)</f>
        <v>0.22</v>
      </c>
      <c r="X29">
        <f ca="1">+(MaxMoneyness-MinMoneyness)*100</f>
        <v>39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 ca="1"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">
      <c r="A30" s="11"/>
      <c r="B30" s="11"/>
      <c r="C30" s="11"/>
      <c r="D30" s="11"/>
      <c r="E30" s="11"/>
      <c r="F30" s="11"/>
      <c r="G30" s="11"/>
      <c r="H30" s="11"/>
      <c r="I30" s="20"/>
      <c r="J30" s="20"/>
      <c r="K30" s="20"/>
      <c r="L30" s="20" t="str">
        <f t="shared" si="1"/>
        <v/>
      </c>
      <c r="M30" s="21" t="str">
        <f>IF(I30,(J30/UnderlyingPrice-1),"")</f>
        <v/>
      </c>
      <c r="N30" s="21" t="str">
        <f>IF(I30,_xll.IMPVOLAB(I30,L30,J30,IntRate,Yield,100,Expiry-Today,K30,100,0.0001),"")</f>
        <v/>
      </c>
      <c r="O30" s="11"/>
      <c r="P30" s="11"/>
      <c r="Q30" t="str">
        <f ca="1">IF(I30="","",_xll.AMER(L30,J30,IntRate,Yield,VLOOKUP(M30,ENAVolTable,4)+VLOOKUP(M30,ENAVolTable,5)*(M30-VLOOKUP(M30,ENAVolTable,1)),Expiry-Today,K30,0))</f>
        <v/>
      </c>
      <c r="R30" t="str">
        <f t="shared" ca="1" si="3"/>
        <v/>
      </c>
      <c r="W30">
        <v>17</v>
      </c>
      <c r="Z30" s="162" t="s">
        <v>29</v>
      </c>
      <c r="AA30" s="162"/>
      <c r="AF30">
        <v>-5</v>
      </c>
      <c r="AG30">
        <f t="shared" ref="AG30:AG47" si="4">+IF(+AF30+UnderlyingPrice&lt;0,-2,+AF30/UnderlyingPrice)</f>
        <v>-2</v>
      </c>
      <c r="AH30">
        <f>+HLOOKUP(AF30,'ENA VolSkew'!$B$2:$U$40,MATCH(Contract,'ENA VolSkew'!$A$3:$A$40,1)+1)</f>
        <v>8</v>
      </c>
      <c r="AI30" s="71">
        <f t="shared" ref="AI30:AI47" si="5">+AH30/100</f>
        <v>0.08</v>
      </c>
      <c r="AJ30" s="71">
        <f t="shared" ref="AJ30:AJ47" si="6">+AI30+ENAVol</f>
        <v>0.61</v>
      </c>
      <c r="AK30" t="str">
        <f t="shared" ref="AK30:AK46" si="7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4"/>
        <v>-0.95192765349833408</v>
      </c>
      <c r="AH31">
        <f>+HLOOKUP(AF31,'ENA VolSkew'!$B$2:$U$40,MATCH(Contract,'ENA VolSkew'!$A$3:$A$40,1)+1)</f>
        <v>7</v>
      </c>
      <c r="AI31" s="71">
        <f t="shared" si="5"/>
        <v>7.0000000000000007E-2</v>
      </c>
      <c r="AJ31" s="71">
        <f t="shared" si="6"/>
        <v>0.60000000000000009</v>
      </c>
      <c r="AK31">
        <f t="shared" ca="1" si="7"/>
        <v>-8.4040000000000073E-2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8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0.53002672177695209</v>
      </c>
      <c r="X32" s="35">
        <f t="shared" ref="X32:X44" ca="1" si="9">+W32-N9</f>
        <v>3.1240474720556355E-3</v>
      </c>
      <c r="Z32" s="36">
        <f ca="1">ROUNDUP(MIN(MoneynessRange),2)</f>
        <v>-0.17</v>
      </c>
      <c r="AA32">
        <f t="shared" ref="AA32:AA96" ca="1" si="10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0.56164808629999996</v>
      </c>
      <c r="AF32">
        <v>-3</v>
      </c>
      <c r="AG32">
        <f t="shared" si="4"/>
        <v>-0.71394574012375056</v>
      </c>
      <c r="AH32">
        <f ca="1">+HLOOKUP(AF32,'ENA VolSkew'!$B$2:$U$40,MATCH(Contract,'ENA VolSkew'!$A$3:$A$40,1)+1)</f>
        <v>5</v>
      </c>
      <c r="AI32" s="71">
        <f t="shared" ca="1" si="5"/>
        <v>0.05</v>
      </c>
      <c r="AJ32" s="71">
        <f t="shared" ca="1" si="6"/>
        <v>0.58000000000000007</v>
      </c>
      <c r="AK32">
        <f t="shared" ca="1" si="7"/>
        <v>-8.4040000000000073E-2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8"/>
        <v>0.53006427518201649</v>
      </c>
      <c r="X33" s="35">
        <f t="shared" ca="1" si="9"/>
        <v>1.5443468061279164E-3</v>
      </c>
      <c r="Z33" s="36">
        <f ca="1">+Z32+0.01</f>
        <v>-0.16</v>
      </c>
      <c r="AA33">
        <f t="shared" ca="1" si="10"/>
        <v>0.55794850560000009</v>
      </c>
      <c r="AF33">
        <v>-2.5</v>
      </c>
      <c r="AG33">
        <f t="shared" si="4"/>
        <v>-0.5949547834364588</v>
      </c>
      <c r="AH33">
        <f>+HLOOKUP(AF33,'ENA VolSkew'!$B$2:$U$40,MATCH(Contract,'ENA VolSkew'!$A$3:$A$40,1)+1)</f>
        <v>4</v>
      </c>
      <c r="AI33" s="71">
        <f t="shared" si="5"/>
        <v>0.04</v>
      </c>
      <c r="AJ33" s="71">
        <f t="shared" si="6"/>
        <v>0.57000000000000006</v>
      </c>
      <c r="AK33">
        <f t="shared" si="7"/>
        <v>-0.12606000000000012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8"/>
        <v>0.53029091252812866</v>
      </c>
      <c r="X34" s="35">
        <f t="shared" ca="1" si="9"/>
        <v>1.6773602811144261E-3</v>
      </c>
      <c r="Z34" s="36">
        <f t="shared" ref="Z34:Z92" ca="1" si="11">+Z33+0.01</f>
        <v>-0.15</v>
      </c>
      <c r="AA34">
        <f t="shared" ca="1" si="10"/>
        <v>0.55451656250000003</v>
      </c>
      <c r="AF34">
        <v>-2</v>
      </c>
      <c r="AG34">
        <f t="shared" si="4"/>
        <v>-0.47596382674916704</v>
      </c>
      <c r="AH34">
        <f>+HLOOKUP(AF34,'ENA VolSkew'!$B$2:$U$40,MATCH(Contract,'ENA VolSkew'!$A$3:$A$40,1)+1)</f>
        <v>2.5</v>
      </c>
      <c r="AI34" s="71">
        <f t="shared" si="5"/>
        <v>2.5000000000000001E-2</v>
      </c>
      <c r="AJ34" s="71">
        <f t="shared" si="6"/>
        <v>0.55500000000000005</v>
      </c>
      <c r="AK34">
        <f t="shared" si="7"/>
        <v>-0.12606000000000012</v>
      </c>
      <c r="AM34" s="71"/>
      <c r="AN34" t="s">
        <v>32</v>
      </c>
      <c r="AR34" s="34">
        <f>+AP39</f>
        <v>0.80901000000000001</v>
      </c>
    </row>
    <row r="35" spans="1:5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8"/>
        <v>0.53069431036122794</v>
      </c>
      <c r="X35" s="35">
        <f t="shared" ca="1" si="9"/>
        <v>6.0247879561670103E-4</v>
      </c>
      <c r="Z35" s="36">
        <f t="shared" ca="1" si="11"/>
        <v>-0.13999999999999999</v>
      </c>
      <c r="AA35">
        <f t="shared" ca="1" si="10"/>
        <v>0.55134494239999998</v>
      </c>
      <c r="AF35">
        <v>-1.5</v>
      </c>
      <c r="AG35">
        <f t="shared" si="4"/>
        <v>-0.35697287006187528</v>
      </c>
      <c r="AH35">
        <f>+HLOOKUP(AF35,'ENA VolSkew'!$B$2:$U$40,MATCH(Contract,'ENA VolSkew'!$A$3:$A$40,1)+1)</f>
        <v>1</v>
      </c>
      <c r="AI35" s="71">
        <f t="shared" si="5"/>
        <v>0.01</v>
      </c>
      <c r="AJ35" s="71">
        <f t="shared" si="6"/>
        <v>0.54</v>
      </c>
      <c r="AK35">
        <f t="shared" si="7"/>
        <v>-5.2524999999999815E-2</v>
      </c>
      <c r="AM35" s="71"/>
    </row>
    <row r="36" spans="1:5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8"/>
        <v>0.53198209367214733</v>
      </c>
      <c r="X36" s="35">
        <f t="shared" ca="1" si="9"/>
        <v>-2.7777697835056347E-3</v>
      </c>
      <c r="Z36" s="36">
        <f t="shared" ca="1" si="11"/>
        <v>-0.12999999999999998</v>
      </c>
      <c r="AA36">
        <f t="shared" ca="1" si="10"/>
        <v>0.54842633070000002</v>
      </c>
      <c r="AF36">
        <v>-0.5</v>
      </c>
      <c r="AG36">
        <f t="shared" si="4"/>
        <v>-0.11899095668729176</v>
      </c>
      <c r="AH36">
        <f>+HLOOKUP(AF36,'ENA VolSkew'!$B$2:$U$40,MATCH(Contract,'ENA VolSkew'!$A$3:$A$40,1)+1)</f>
        <v>-0.25</v>
      </c>
      <c r="AI36" s="71">
        <f t="shared" si="5"/>
        <v>-2.5000000000000001E-3</v>
      </c>
      <c r="AJ36" s="71">
        <f t="shared" si="6"/>
        <v>0.52750000000000008</v>
      </c>
      <c r="AK36">
        <f t="shared" si="7"/>
        <v>2.1009999999999553E-2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8"/>
        <v>0.53743221868750024</v>
      </c>
      <c r="X37" s="35">
        <f t="shared" ca="1" si="9"/>
        <v>1.204759457310467E-3</v>
      </c>
      <c r="Z37" s="36">
        <f t="shared" ca="1" si="11"/>
        <v>-0.11999999999999998</v>
      </c>
      <c r="AA37">
        <f t="shared" ca="1" si="10"/>
        <v>0.5457534128</v>
      </c>
      <c r="AF37">
        <v>0</v>
      </c>
      <c r="AG37">
        <f t="shared" si="4"/>
        <v>0</v>
      </c>
      <c r="AH37">
        <f>+HLOOKUP(AF37,'ENA VolSkew'!$B$2:$U$40,MATCH(Contract,'ENA VolSkew'!$A$3:$A$40,1)+1)</f>
        <v>0</v>
      </c>
      <c r="AI37" s="71">
        <f t="shared" si="5"/>
        <v>0</v>
      </c>
      <c r="AJ37" s="71">
        <f t="shared" si="6"/>
        <v>0.53</v>
      </c>
      <c r="AK37">
        <f t="shared" si="7"/>
        <v>8.4040000000000073E-2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2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0.53880605607032628</v>
      </c>
      <c r="X38" s="35">
        <f t="shared" ca="1" si="9"/>
        <v>-3.1804262390563443E-3</v>
      </c>
      <c r="Z38" s="36">
        <f t="shared" ca="1" si="11"/>
        <v>-0.10999999999999999</v>
      </c>
      <c r="AA38">
        <f t="shared" ca="1" si="10"/>
        <v>0.5433188740999999</v>
      </c>
      <c r="AF38">
        <v>0.5</v>
      </c>
      <c r="AG38">
        <f t="shared" si="4"/>
        <v>0.11899095668729176</v>
      </c>
      <c r="AH38">
        <f>+HLOOKUP(AF38,'ENA VolSkew'!$B$2:$U$40,MATCH(Contract,'ENA VolSkew'!$A$3:$A$40,1)+1)</f>
        <v>1</v>
      </c>
      <c r="AI38" s="71">
        <f t="shared" si="5"/>
        <v>0.01</v>
      </c>
      <c r="AJ38" s="71">
        <f t="shared" si="6"/>
        <v>0.54</v>
      </c>
      <c r="AK38">
        <f t="shared" si="7"/>
        <v>8.4040000000000073E-2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2"/>
        <v>0.5402457428535965</v>
      </c>
      <c r="X39" s="35">
        <f t="shared" ca="1" si="9"/>
        <v>-1.0816516084976024E-3</v>
      </c>
      <c r="Z39" s="36">
        <f t="shared" ca="1" si="11"/>
        <v>-9.9999999999999992E-2</v>
      </c>
      <c r="AA39">
        <f t="shared" ca="1" si="10"/>
        <v>0.54111540000000002</v>
      </c>
      <c r="AF39">
        <v>1</v>
      </c>
      <c r="AG39">
        <f t="shared" si="4"/>
        <v>0.23798191337458352</v>
      </c>
      <c r="AH39">
        <f>+HLOOKUP(AF39,'ENA VolSkew'!$B$2:$U$40,MATCH(Contract,'ENA VolSkew'!$A$3:$A$40,1)+1)</f>
        <v>2</v>
      </c>
      <c r="AI39" s="71">
        <f t="shared" si="5"/>
        <v>0.02</v>
      </c>
      <c r="AJ39" s="71">
        <f t="shared" si="6"/>
        <v>0.55000000000000004</v>
      </c>
      <c r="AK39">
        <f t="shared" si="7"/>
        <v>0.10084800000000009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2"/>
        <v>0.5417389555832508</v>
      </c>
      <c r="X40" s="35">
        <f t="shared" ca="1" si="9"/>
        <v>-1.7960413427241528E-3</v>
      </c>
      <c r="Z40" s="36">
        <f t="shared" ca="1" si="11"/>
        <v>-0.09</v>
      </c>
      <c r="AA40">
        <f t="shared" ca="1" si="10"/>
        <v>0.5391356759</v>
      </c>
      <c r="AF40">
        <v>1.5</v>
      </c>
      <c r="AG40">
        <f t="shared" si="4"/>
        <v>0.35697287006187528</v>
      </c>
      <c r="AH40">
        <f>+HLOOKUP(AF40,'ENA VolSkew'!$B$2:$U$40,MATCH(Contract,'ENA VolSkew'!$A$3:$A$40,1)+1)</f>
        <v>3.2</v>
      </c>
      <c r="AI40" s="71">
        <f t="shared" si="5"/>
        <v>3.2000000000000001E-2</v>
      </c>
      <c r="AJ40" s="71">
        <f t="shared" si="6"/>
        <v>0.56200000000000006</v>
      </c>
      <c r="AK40">
        <f t="shared" si="7"/>
        <v>0.10084800000000009</v>
      </c>
      <c r="AM40" s="71"/>
    </row>
    <row r="41" spans="1:5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2"/>
        <v>0.54483666506547002</v>
      </c>
      <c r="X41" s="35">
        <f t="shared" ca="1" si="9"/>
        <v>3.6802102795538971E-3</v>
      </c>
      <c r="Z41" s="36">
        <f t="shared" ca="1" si="11"/>
        <v>-0.08</v>
      </c>
      <c r="AA41">
        <f t="shared" ca="1" si="10"/>
        <v>0.53737238719999991</v>
      </c>
      <c r="AF41">
        <v>2</v>
      </c>
      <c r="AG41">
        <f t="shared" si="4"/>
        <v>0.47596382674916704</v>
      </c>
      <c r="AH41">
        <f>+HLOOKUP(AF41,'ENA VolSkew'!$B$2:$U$40,MATCH(Contract,'ENA VolSkew'!$A$3:$A$40,1)+1)</f>
        <v>4.4000000000000004</v>
      </c>
      <c r="AI41" s="71">
        <f t="shared" si="5"/>
        <v>4.4000000000000004E-2</v>
      </c>
      <c r="AJ41" s="71">
        <f t="shared" si="6"/>
        <v>0.57400000000000007</v>
      </c>
      <c r="AK41">
        <f t="shared" si="7"/>
        <v>0.10305527292916987</v>
      </c>
      <c r="AM41" s="71"/>
    </row>
    <row r="42" spans="1:5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2"/>
        <v>0.54800059688450142</v>
      </c>
      <c r="X42" s="35">
        <f t="shared" ca="1" si="9"/>
        <v>-5.3607403630240302E-4</v>
      </c>
      <c r="Z42" s="36">
        <f t="shared" ca="1" si="11"/>
        <v>-7.0000000000000007E-2</v>
      </c>
      <c r="AA42">
        <f t="shared" ca="1" si="10"/>
        <v>0.53581821929999995</v>
      </c>
      <c r="AF42">
        <v>2.5</v>
      </c>
      <c r="AG42">
        <f t="shared" si="4"/>
        <v>0.5949547834364588</v>
      </c>
      <c r="AH42">
        <f>+HLOOKUP(AF42,'ENA VolSkew'!$B$2:$U$40,MATCH(Contract,'ENA VolSkew'!$A$3:$A$40,1)+1)</f>
        <v>5.6262645517511896</v>
      </c>
      <c r="AI42" s="71">
        <f t="shared" si="5"/>
        <v>5.6262645517511894E-2</v>
      </c>
      <c r="AJ42" s="71">
        <f t="shared" si="6"/>
        <v>0.58626264551751195</v>
      </c>
      <c r="AK42">
        <f t="shared" si="7"/>
        <v>7.5621154774400706E-2</v>
      </c>
      <c r="AM42" s="71"/>
    </row>
    <row r="43" spans="1:5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2"/>
        <v>0.56053344238772285</v>
      </c>
      <c r="X43" s="35">
        <f t="shared" ca="1" si="9"/>
        <v>-5.3620244664693839E-3</v>
      </c>
      <c r="Z43" s="36">
        <f t="shared" ca="1" si="11"/>
        <v>-6.0000000000000005E-2</v>
      </c>
      <c r="AA43">
        <f t="shared" ca="1" si="10"/>
        <v>0.53446585759999998</v>
      </c>
      <c r="AF43">
        <v>3</v>
      </c>
      <c r="AG43">
        <f t="shared" si="4"/>
        <v>0.71394574012375056</v>
      </c>
      <c r="AH43">
        <f>+HLOOKUP(AF43,'ENA VolSkew'!$B$2:$U$40,MATCH(Contract,'ENA VolSkew'!$A$3:$A$40,1)+1)</f>
        <v>6.5260879069915596</v>
      </c>
      <c r="AI43" s="71">
        <f t="shared" si="5"/>
        <v>6.5260879069915595E-2</v>
      </c>
      <c r="AJ43" s="71">
        <f t="shared" si="6"/>
        <v>0.59526087906991565</v>
      </c>
      <c r="AK43">
        <f t="shared" si="7"/>
        <v>6.7614432689834483E-2</v>
      </c>
      <c r="AM43" s="71"/>
    </row>
    <row r="44" spans="1:5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2"/>
        <v>0.54276196437719881</v>
      </c>
      <c r="X44" s="35">
        <f t="shared" ca="1" si="9"/>
        <v>5.5315947647685604E-2</v>
      </c>
      <c r="Z44" s="36">
        <f t="shared" ca="1" si="11"/>
        <v>-0.05</v>
      </c>
      <c r="AA44">
        <f t="shared" ca="1" si="10"/>
        <v>0.53330798750000008</v>
      </c>
      <c r="AF44">
        <v>4</v>
      </c>
      <c r="AG44">
        <f t="shared" si="4"/>
        <v>0.95192765349833408</v>
      </c>
      <c r="AH44">
        <f>+HLOOKUP(AF44,'ENA VolSkew'!$B$2:$U$40,MATCH(Contract,'ENA VolSkew'!$A$3:$A$40,1)+1)</f>
        <v>8.1351891133179404</v>
      </c>
      <c r="AI44" s="71">
        <f t="shared" si="5"/>
        <v>8.1351891133179408E-2</v>
      </c>
      <c r="AJ44" s="71">
        <f t="shared" si="6"/>
        <v>0.61135189113317945</v>
      </c>
      <c r="AK44">
        <f t="shared" si="7"/>
        <v>6.1652653018756755E-2</v>
      </c>
      <c r="AM44" s="71"/>
    </row>
    <row r="45" spans="1:5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1"/>
        <v>-0.04</v>
      </c>
      <c r="AA45">
        <f t="shared" ca="1" si="10"/>
        <v>0.53233729439999999</v>
      </c>
      <c r="AF45">
        <v>5</v>
      </c>
      <c r="AG45">
        <f t="shared" si="4"/>
        <v>1.1899095668729176</v>
      </c>
      <c r="AH45">
        <f>+HLOOKUP(AF45,'ENA VolSkew'!$B$2:$U$40,MATCH(Contract,'ENA VolSkew'!$A$3:$A$40,1)+1)</f>
        <v>9.602410746320249</v>
      </c>
      <c r="AI45" s="71">
        <f t="shared" si="5"/>
        <v>9.6024107463202488E-2</v>
      </c>
      <c r="AJ45" s="71">
        <f t="shared" si="6"/>
        <v>0.62602410746320247</v>
      </c>
      <c r="AK45">
        <f t="shared" si="7"/>
        <v>6.1652653018757123E-2</v>
      </c>
      <c r="AM45" s="71"/>
    </row>
    <row r="46" spans="1:5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1"/>
        <v>-0.03</v>
      </c>
      <c r="AA46">
        <f t="shared" ca="1" si="10"/>
        <v>0.53154646370000003</v>
      </c>
      <c r="AF46">
        <v>10</v>
      </c>
      <c r="AG46">
        <f t="shared" si="4"/>
        <v>2.3798191337458352</v>
      </c>
      <c r="AH46">
        <f>+HLOOKUP(AF46,'ENA VolSkew'!$B$2:$U$40,MATCH(Contract,'ENA VolSkew'!$A$3:$A$40,1)+1)</f>
        <v>16.938518911331798</v>
      </c>
      <c r="AI46" s="71">
        <f t="shared" si="5"/>
        <v>0.16938518911331799</v>
      </c>
      <c r="AJ46" s="71">
        <f t="shared" si="6"/>
        <v>0.69938518911331804</v>
      </c>
      <c r="AK46">
        <f t="shared" si="7"/>
        <v>6.1487307071151381E-2</v>
      </c>
      <c r="AM46" s="71"/>
    </row>
    <row r="47" spans="1:5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1"/>
        <v>-1.9999999999999997E-2</v>
      </c>
      <c r="AA47">
        <f t="shared" ca="1" si="10"/>
        <v>0.53092818080000004</v>
      </c>
      <c r="AF47">
        <v>40</v>
      </c>
      <c r="AG47">
        <f t="shared" si="4"/>
        <v>9.5192765349833408</v>
      </c>
      <c r="AH47">
        <f>+HLOOKUP(AF47,'ENA VolSkew'!$B$2:$U$40,MATCH(Contract,'ENA VolSkew'!$A$3:$A$40,1)+1)</f>
        <v>60.837119866461293</v>
      </c>
      <c r="AI47" s="71">
        <f t="shared" si="5"/>
        <v>0.60837119866461298</v>
      </c>
      <c r="AJ47" s="71">
        <f t="shared" si="6"/>
        <v>1.138371198664613</v>
      </c>
      <c r="AK47">
        <f>+IF(AG47=-2,"",(AJ50-AJ47)/(AG50-AG47))</f>
        <v>0.11958589441971761</v>
      </c>
      <c r="AM47" s="71"/>
    </row>
    <row r="48" spans="1:5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1"/>
        <v>-9.9999999999999967E-3</v>
      </c>
      <c r="AA48">
        <f t="shared" ca="1" si="10"/>
        <v>0.5304751311</v>
      </c>
      <c r="AM48" s="71"/>
    </row>
    <row r="49" spans="1:3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1"/>
        <v>0</v>
      </c>
      <c r="AA49">
        <f t="shared" ca="1" si="10"/>
        <v>0.53017999999999998</v>
      </c>
      <c r="AM49" s="71"/>
    </row>
    <row r="50" spans="1:39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1"/>
        <v>0.01</v>
      </c>
      <c r="AA50">
        <f t="shared" ca="1" si="10"/>
        <v>0.53003547290000008</v>
      </c>
    </row>
    <row r="51" spans="1:3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1"/>
        <v>0.02</v>
      </c>
      <c r="AA51">
        <f t="shared" ca="1" si="10"/>
        <v>0.53003423519999993</v>
      </c>
    </row>
    <row r="52" spans="1:3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1"/>
        <v>0.03</v>
      </c>
      <c r="AA52">
        <f t="shared" ca="1" si="10"/>
        <v>0.53016897230000004</v>
      </c>
    </row>
    <row r="53" spans="1:3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1"/>
        <v>0.04</v>
      </c>
      <c r="AA53">
        <f t="shared" ca="1" si="10"/>
        <v>0.53043236959999995</v>
      </c>
    </row>
    <row r="54" spans="1:3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1"/>
        <v>0.05</v>
      </c>
      <c r="AA54">
        <f t="shared" ca="1" si="10"/>
        <v>0.53081711249999997</v>
      </c>
    </row>
    <row r="55" spans="1:3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1"/>
        <v>6.0000000000000005E-2</v>
      </c>
      <c r="AA55">
        <f t="shared" ca="1" si="10"/>
        <v>0.53131588639999994</v>
      </c>
    </row>
    <row r="56" spans="1:39" x14ac:dyDescent="0.2">
      <c r="Z56" s="36">
        <f t="shared" ca="1" si="11"/>
        <v>7.0000000000000007E-2</v>
      </c>
      <c r="AA56">
        <f t="shared" ca="1" si="10"/>
        <v>0.53192137670000006</v>
      </c>
    </row>
    <row r="57" spans="1:39" x14ac:dyDescent="0.2">
      <c r="Z57" s="36">
        <f t="shared" ca="1" si="11"/>
        <v>0.08</v>
      </c>
      <c r="AA57">
        <f t="shared" ca="1" si="10"/>
        <v>0.53262626879999997</v>
      </c>
    </row>
    <row r="58" spans="1:39" x14ac:dyDescent="0.2">
      <c r="Z58" s="36">
        <f t="shared" ca="1" si="11"/>
        <v>0.09</v>
      </c>
      <c r="AA58">
        <f t="shared" ca="1" si="10"/>
        <v>0.53342324809999997</v>
      </c>
    </row>
    <row r="59" spans="1:39" x14ac:dyDescent="0.2">
      <c r="Z59" s="36">
        <f t="shared" ca="1" si="11"/>
        <v>9.9999999999999992E-2</v>
      </c>
      <c r="AA59">
        <f t="shared" ca="1" si="10"/>
        <v>0.53430500000000003</v>
      </c>
    </row>
    <row r="60" spans="1:39" x14ac:dyDescent="0.2">
      <c r="Z60" s="36">
        <f t="shared" ca="1" si="11"/>
        <v>0.10999999999999999</v>
      </c>
      <c r="AA60">
        <f t="shared" ca="1" si="10"/>
        <v>0.53526420990000001</v>
      </c>
    </row>
    <row r="61" spans="1:39" x14ac:dyDescent="0.2">
      <c r="Z61" s="36">
        <f t="shared" ca="1" si="11"/>
        <v>0.11999999999999998</v>
      </c>
      <c r="AA61">
        <f t="shared" ca="1" si="10"/>
        <v>0.53629356319999999</v>
      </c>
    </row>
    <row r="62" spans="1:39" x14ac:dyDescent="0.2">
      <c r="Z62" s="36">
        <f t="shared" ca="1" si="11"/>
        <v>0.12999999999999998</v>
      </c>
      <c r="AA62">
        <f t="shared" ca="1" si="10"/>
        <v>0.53738574530000005</v>
      </c>
    </row>
    <row r="63" spans="1:39" x14ac:dyDescent="0.2">
      <c r="Z63" s="36">
        <f t="shared" ca="1" si="11"/>
        <v>0.13999999999999999</v>
      </c>
      <c r="AA63">
        <f t="shared" ca="1" si="10"/>
        <v>0.53853344159999994</v>
      </c>
    </row>
    <row r="64" spans="1:39" x14ac:dyDescent="0.2">
      <c r="Z64" s="36">
        <f t="shared" ca="1" si="11"/>
        <v>0.15</v>
      </c>
      <c r="AA64">
        <f t="shared" ca="1" si="10"/>
        <v>0.53972933749999996</v>
      </c>
    </row>
    <row r="65" spans="26:27" x14ac:dyDescent="0.2">
      <c r="Z65" s="36">
        <f t="shared" ca="1" si="11"/>
        <v>0.16</v>
      </c>
      <c r="AA65">
        <f t="shared" ca="1" si="10"/>
        <v>0.54096611839999997</v>
      </c>
    </row>
    <row r="66" spans="26:27" x14ac:dyDescent="0.2">
      <c r="Z66" s="36">
        <f t="shared" ca="1" si="11"/>
        <v>0.17</v>
      </c>
      <c r="AA66">
        <f t="shared" ca="1" si="10"/>
        <v>0.54223646969999995</v>
      </c>
    </row>
    <row r="67" spans="26:27" x14ac:dyDescent="0.2">
      <c r="Z67" s="36">
        <f t="shared" ca="1" si="11"/>
        <v>0.18000000000000002</v>
      </c>
      <c r="AA67">
        <f t="shared" ca="1" si="10"/>
        <v>0.54353307679999996</v>
      </c>
    </row>
    <row r="68" spans="26:27" x14ac:dyDescent="0.2">
      <c r="Z68" s="36">
        <f t="shared" ca="1" si="11"/>
        <v>0.19000000000000003</v>
      </c>
      <c r="AA68">
        <f t="shared" ca="1" si="10"/>
        <v>0.54484862509999998</v>
      </c>
    </row>
    <row r="69" spans="26:27" x14ac:dyDescent="0.2">
      <c r="Z69" s="36">
        <f t="shared" ca="1" si="11"/>
        <v>0.20000000000000004</v>
      </c>
      <c r="AA69">
        <f t="shared" ca="1" si="10"/>
        <v>0.54617579999999999</v>
      </c>
    </row>
    <row r="70" spans="26:27" x14ac:dyDescent="0.2">
      <c r="Z70" s="36">
        <f t="shared" ca="1" si="11"/>
        <v>0.21000000000000005</v>
      </c>
      <c r="AA70">
        <f t="shared" ca="1" si="10"/>
        <v>0.54750728690000006</v>
      </c>
    </row>
    <row r="71" spans="26:27" x14ac:dyDescent="0.2">
      <c r="Z71" s="36">
        <f t="shared" ca="1" si="11"/>
        <v>0.22000000000000006</v>
      </c>
      <c r="AA71">
        <f t="shared" ca="1" si="10"/>
        <v>0.54883577120000004</v>
      </c>
    </row>
    <row r="72" spans="26:27" x14ac:dyDescent="0.2">
      <c r="Z72" s="36">
        <f t="shared" ca="1" si="11"/>
        <v>0.23000000000000007</v>
      </c>
      <c r="AA72">
        <f t="shared" ca="1" si="10"/>
        <v>0.55015393830000003</v>
      </c>
    </row>
    <row r="73" spans="26:27" x14ac:dyDescent="0.2">
      <c r="Z73" s="36">
        <f t="shared" ca="1" si="11"/>
        <v>0.24000000000000007</v>
      </c>
      <c r="AA73">
        <f t="shared" ca="1" si="10"/>
        <v>0.55145447359999999</v>
      </c>
    </row>
    <row r="74" spans="26:27" x14ac:dyDescent="0.2">
      <c r="Z74" s="36">
        <f t="shared" ca="1" si="11"/>
        <v>0.25000000000000006</v>
      </c>
      <c r="AA74">
        <f t="shared" ca="1" si="10"/>
        <v>0.55273006250000001</v>
      </c>
    </row>
    <row r="75" spans="26:27" x14ac:dyDescent="0.2">
      <c r="Z75" s="36">
        <f t="shared" ca="1" si="11"/>
        <v>0.26000000000000006</v>
      </c>
      <c r="AA75">
        <f t="shared" ca="1" si="10"/>
        <v>0.55397339039999993</v>
      </c>
    </row>
    <row r="76" spans="26:27" x14ac:dyDescent="0.2">
      <c r="Z76" s="36">
        <f t="shared" ca="1" si="11"/>
        <v>0.27000000000000007</v>
      </c>
      <c r="AA76">
        <f t="shared" ca="1" si="10"/>
        <v>0.55517714269999996</v>
      </c>
    </row>
    <row r="77" spans="26:27" x14ac:dyDescent="0.2">
      <c r="Z77" s="36">
        <f t="shared" ca="1" si="11"/>
        <v>0.28000000000000008</v>
      </c>
      <c r="AA77">
        <f t="shared" ca="1" si="10"/>
        <v>0.55633400479999995</v>
      </c>
    </row>
    <row r="78" spans="26:27" x14ac:dyDescent="0.2">
      <c r="Z78" s="36">
        <f t="shared" ca="1" si="11"/>
        <v>0.29000000000000009</v>
      </c>
      <c r="AA78">
        <f t="shared" ca="1" si="10"/>
        <v>0.55743666209999998</v>
      </c>
    </row>
    <row r="79" spans="26:27" x14ac:dyDescent="0.2">
      <c r="Z79" s="36">
        <f t="shared" ca="1" si="11"/>
        <v>0.3000000000000001</v>
      </c>
      <c r="AA79">
        <f t="shared" ca="1" si="10"/>
        <v>0.55847780000000002</v>
      </c>
    </row>
    <row r="80" spans="26:27" x14ac:dyDescent="0.2">
      <c r="Z80" s="36">
        <f t="shared" ca="1" si="11"/>
        <v>0.31000000000000011</v>
      </c>
      <c r="AA80">
        <f t="shared" ca="1" si="10"/>
        <v>0.55945010389999994</v>
      </c>
    </row>
    <row r="81" spans="26:27" x14ac:dyDescent="0.2">
      <c r="Z81" s="36">
        <f t="shared" ca="1" si="11"/>
        <v>0.32000000000000012</v>
      </c>
      <c r="AA81">
        <f t="shared" ca="1" si="10"/>
        <v>0.56034625920000003</v>
      </c>
    </row>
    <row r="82" spans="26:27" x14ac:dyDescent="0.2">
      <c r="Z82" s="36">
        <f t="shared" ca="1" si="11"/>
        <v>0.33000000000000013</v>
      </c>
      <c r="AA82">
        <f t="shared" ca="1" si="10"/>
        <v>0.56115895129999993</v>
      </c>
    </row>
    <row r="83" spans="26:27" x14ac:dyDescent="0.2">
      <c r="Z83" s="36">
        <f t="shared" ca="1" si="11"/>
        <v>0.34000000000000014</v>
      </c>
      <c r="AA83">
        <f t="shared" ca="1" si="10"/>
        <v>0.56188086559999995</v>
      </c>
    </row>
    <row r="84" spans="26:27" x14ac:dyDescent="0.2">
      <c r="Z84" s="36">
        <f t="shared" ca="1" si="11"/>
        <v>0.35000000000000014</v>
      </c>
      <c r="AA84">
        <f t="shared" ca="1" si="10"/>
        <v>0.56250468749999993</v>
      </c>
    </row>
    <row r="85" spans="26:27" x14ac:dyDescent="0.2">
      <c r="Z85" s="36">
        <f t="shared" ca="1" si="11"/>
        <v>0.36000000000000015</v>
      </c>
      <c r="AA85">
        <f t="shared" ca="1" si="10"/>
        <v>0.56302310240000009</v>
      </c>
    </row>
    <row r="86" spans="26:27" x14ac:dyDescent="0.2">
      <c r="Z86" s="36">
        <f t="shared" ca="1" si="11"/>
        <v>0.37000000000000016</v>
      </c>
      <c r="AA86">
        <f t="shared" ca="1" si="10"/>
        <v>0.56342879570000004</v>
      </c>
    </row>
    <row r="87" spans="26:27" x14ac:dyDescent="0.2">
      <c r="Z87" s="36">
        <f t="shared" ca="1" si="11"/>
        <v>0.38000000000000017</v>
      </c>
      <c r="AA87">
        <f t="shared" ca="1" si="10"/>
        <v>0.56371445279999999</v>
      </c>
    </row>
    <row r="88" spans="26:27" x14ac:dyDescent="0.2">
      <c r="Z88" s="36">
        <f t="shared" ca="1" si="11"/>
        <v>0.39000000000000018</v>
      </c>
      <c r="AA88">
        <f t="shared" ca="1" si="10"/>
        <v>0.56387275910000001</v>
      </c>
    </row>
    <row r="89" spans="26:27" x14ac:dyDescent="0.2">
      <c r="Z89" s="36">
        <f t="shared" ca="1" si="11"/>
        <v>0.40000000000000019</v>
      </c>
      <c r="AA89">
        <f t="shared" ca="1" si="10"/>
        <v>0.56389639999999996</v>
      </c>
    </row>
    <row r="90" spans="26:27" x14ac:dyDescent="0.2">
      <c r="Z90" s="36">
        <f t="shared" ca="1" si="11"/>
        <v>0.4100000000000002</v>
      </c>
      <c r="AA90">
        <f t="shared" ca="1" si="10"/>
        <v>0.56377806089999993</v>
      </c>
    </row>
    <row r="91" spans="26:27" x14ac:dyDescent="0.2">
      <c r="Z91" s="36">
        <f t="shared" ca="1" si="11"/>
        <v>0.42000000000000021</v>
      </c>
      <c r="AA91">
        <f t="shared" ca="1" si="10"/>
        <v>0.5635104272</v>
      </c>
    </row>
    <row r="92" spans="26:27" x14ac:dyDescent="0.2">
      <c r="Z92" s="36">
        <f t="shared" ca="1" si="11"/>
        <v>0.43000000000000022</v>
      </c>
      <c r="AA92">
        <f t="shared" ca="1" si="10"/>
        <v>0.5630861842999999</v>
      </c>
    </row>
    <row r="93" spans="26:27" x14ac:dyDescent="0.2">
      <c r="Z93" s="36">
        <f t="shared" ref="Z93:Z151" ca="1" si="13">+Z92+0.01</f>
        <v>0.44000000000000022</v>
      </c>
      <c r="AA93">
        <f t="shared" ca="1" si="10"/>
        <v>0.56249801759999996</v>
      </c>
    </row>
    <row r="94" spans="26:27" x14ac:dyDescent="0.2">
      <c r="Z94" s="36">
        <f t="shared" ca="1" si="13"/>
        <v>0.45000000000000023</v>
      </c>
      <c r="AA94">
        <f t="shared" ca="1" si="10"/>
        <v>0.56173861250000001</v>
      </c>
    </row>
    <row r="95" spans="26:27" x14ac:dyDescent="0.2">
      <c r="Z95" s="36">
        <f t="shared" ca="1" si="13"/>
        <v>0.46000000000000024</v>
      </c>
      <c r="AA95">
        <f t="shared" ca="1" si="10"/>
        <v>0.56080065439999993</v>
      </c>
    </row>
    <row r="96" spans="26:27" x14ac:dyDescent="0.2">
      <c r="Z96" s="36">
        <f t="shared" ca="1" si="13"/>
        <v>0.47000000000000025</v>
      </c>
      <c r="AA96">
        <f t="shared" ca="1" si="10"/>
        <v>0.55967682869999991</v>
      </c>
    </row>
    <row r="97" spans="26:27" x14ac:dyDescent="0.2">
      <c r="Z97" s="36">
        <f t="shared" ca="1" si="13"/>
        <v>0.48000000000000026</v>
      </c>
      <c r="AA97">
        <f t="shared" ref="AA97:AA161" ca="1" si="14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0.55835982079999991</v>
      </c>
    </row>
    <row r="98" spans="26:27" x14ac:dyDescent="0.2">
      <c r="Z98" s="36">
        <f t="shared" ca="1" si="13"/>
        <v>0.49000000000000027</v>
      </c>
      <c r="AA98">
        <f t="shared" ca="1" si="14"/>
        <v>0.5568423160999999</v>
      </c>
    </row>
    <row r="99" spans="26:27" x14ac:dyDescent="0.2">
      <c r="Z99" s="36">
        <f t="shared" ca="1" si="13"/>
        <v>0.50000000000000022</v>
      </c>
      <c r="AA99">
        <f t="shared" ca="1" si="14"/>
        <v>0.55511699999999997</v>
      </c>
    </row>
    <row r="100" spans="26:27" x14ac:dyDescent="0.2">
      <c r="Z100" s="36">
        <f t="shared" ca="1" si="13"/>
        <v>0.51000000000000023</v>
      </c>
      <c r="AA100">
        <f t="shared" ca="1" si="14"/>
        <v>0.55317655789999998</v>
      </c>
    </row>
    <row r="101" spans="26:27" x14ac:dyDescent="0.2">
      <c r="Z101" s="36">
        <f t="shared" ca="1" si="13"/>
        <v>0.52000000000000024</v>
      </c>
      <c r="AA101">
        <f t="shared" ca="1" si="14"/>
        <v>0.5510136752</v>
      </c>
    </row>
    <row r="102" spans="26:27" x14ac:dyDescent="0.2">
      <c r="Z102" s="36">
        <f t="shared" ca="1" si="13"/>
        <v>0.53000000000000025</v>
      </c>
      <c r="AA102">
        <f t="shared" ca="1" si="14"/>
        <v>0.5486210373</v>
      </c>
    </row>
    <row r="103" spans="26:27" x14ac:dyDescent="0.2">
      <c r="Z103" s="36">
        <f t="shared" ca="1" si="13"/>
        <v>0.54000000000000026</v>
      </c>
      <c r="AA103">
        <f t="shared" ca="1" si="14"/>
        <v>0.54599132959999985</v>
      </c>
    </row>
    <row r="104" spans="26:27" x14ac:dyDescent="0.2">
      <c r="Z104" s="36">
        <f t="shared" ca="1" si="13"/>
        <v>0.55000000000000027</v>
      </c>
      <c r="AA104">
        <f t="shared" ca="1" si="14"/>
        <v>0.54311723749999996</v>
      </c>
    </row>
    <row r="105" spans="26:27" x14ac:dyDescent="0.2">
      <c r="Z105" s="36">
        <f t="shared" ca="1" si="13"/>
        <v>0.56000000000000028</v>
      </c>
      <c r="AA105">
        <f t="shared" ca="1" si="14"/>
        <v>0.53999144639999996</v>
      </c>
    </row>
    <row r="106" spans="26:27" x14ac:dyDescent="0.2">
      <c r="Z106" s="36">
        <f t="shared" ca="1" si="13"/>
        <v>0.57000000000000028</v>
      </c>
      <c r="AA106">
        <f t="shared" ca="1" si="14"/>
        <v>0.53660664169999994</v>
      </c>
    </row>
    <row r="107" spans="26:27" x14ac:dyDescent="0.2">
      <c r="Z107" s="36">
        <f t="shared" ca="1" si="13"/>
        <v>0.58000000000000029</v>
      </c>
      <c r="AA107">
        <f t="shared" ca="1" si="14"/>
        <v>0.53295550879999976</v>
      </c>
    </row>
    <row r="108" spans="26:27" x14ac:dyDescent="0.2">
      <c r="Z108" s="36">
        <f t="shared" ca="1" si="13"/>
        <v>0.5900000000000003</v>
      </c>
      <c r="AA108">
        <f t="shared" ca="1" si="14"/>
        <v>0.52903073309999971</v>
      </c>
    </row>
    <row r="109" spans="26:27" x14ac:dyDescent="0.2">
      <c r="Z109" s="36">
        <f t="shared" ca="1" si="13"/>
        <v>0.60000000000000031</v>
      </c>
      <c r="AA109">
        <f t="shared" ca="1" si="14"/>
        <v>0.52482499999999987</v>
      </c>
    </row>
    <row r="110" spans="26:27" x14ac:dyDescent="0.2">
      <c r="Z110" s="36">
        <f t="shared" ca="1" si="13"/>
        <v>0.61000000000000032</v>
      </c>
      <c r="AA110">
        <f t="shared" ca="1" si="14"/>
        <v>0.52033099489999979</v>
      </c>
    </row>
    <row r="111" spans="26:27" x14ac:dyDescent="0.2">
      <c r="Z111" s="36">
        <f t="shared" ca="1" si="13"/>
        <v>0.62000000000000033</v>
      </c>
      <c r="AA111">
        <f t="shared" ca="1" si="14"/>
        <v>0.51554140319999986</v>
      </c>
    </row>
    <row r="112" spans="26:27" x14ac:dyDescent="0.2">
      <c r="Z112" s="36">
        <f t="shared" ca="1" si="13"/>
        <v>0.63000000000000034</v>
      </c>
      <c r="AA112">
        <f t="shared" ca="1" si="14"/>
        <v>0.51044891029999973</v>
      </c>
    </row>
    <row r="113" spans="26:27" x14ac:dyDescent="0.2">
      <c r="Z113" s="36">
        <f t="shared" ca="1" si="13"/>
        <v>0.64000000000000035</v>
      </c>
      <c r="AA113">
        <f t="shared" ca="1" si="14"/>
        <v>0.5050462015999998</v>
      </c>
    </row>
    <row r="114" spans="26:27" x14ac:dyDescent="0.2">
      <c r="Z114" s="36">
        <f t="shared" ca="1" si="13"/>
        <v>0.65000000000000036</v>
      </c>
      <c r="AA114">
        <f t="shared" ca="1" si="14"/>
        <v>0.49932596249999983</v>
      </c>
    </row>
    <row r="115" spans="26:27" x14ac:dyDescent="0.2">
      <c r="Z115" s="36">
        <f t="shared" ca="1" si="13"/>
        <v>0.66000000000000036</v>
      </c>
      <c r="AA115">
        <f t="shared" ca="1" si="14"/>
        <v>0.49328087839999973</v>
      </c>
    </row>
    <row r="116" spans="26:27" x14ac:dyDescent="0.2">
      <c r="Z116" s="36">
        <f t="shared" ca="1" si="13"/>
        <v>0.67000000000000037</v>
      </c>
      <c r="AA116">
        <f t="shared" ca="1" si="14"/>
        <v>0.48690363469999981</v>
      </c>
    </row>
    <row r="117" spans="26:27" x14ac:dyDescent="0.2">
      <c r="Z117" s="36">
        <f t="shared" ca="1" si="13"/>
        <v>0.68000000000000038</v>
      </c>
      <c r="AA117">
        <f t="shared" ca="1" si="14"/>
        <v>0.4801869167999997</v>
      </c>
    </row>
    <row r="118" spans="26:27" x14ac:dyDescent="0.2">
      <c r="Z118" s="36">
        <f t="shared" ca="1" si="13"/>
        <v>0.69000000000000039</v>
      </c>
      <c r="AA118">
        <f t="shared" ca="1" si="14"/>
        <v>0.47312341009999964</v>
      </c>
    </row>
    <row r="119" spans="26:27" x14ac:dyDescent="0.2">
      <c r="Z119" s="36">
        <f t="shared" ca="1" si="13"/>
        <v>0.7000000000000004</v>
      </c>
      <c r="AA119">
        <f t="shared" ca="1" si="14"/>
        <v>0.46570579999999967</v>
      </c>
    </row>
    <row r="120" spans="26:27" x14ac:dyDescent="0.2">
      <c r="Z120" s="36">
        <f t="shared" ca="1" si="13"/>
        <v>0.71000000000000041</v>
      </c>
      <c r="AA120">
        <f t="shared" ca="1" si="14"/>
        <v>0.45792677189999959</v>
      </c>
    </row>
    <row r="121" spans="26:27" x14ac:dyDescent="0.2">
      <c r="Z121" s="36">
        <f t="shared" ca="1" si="13"/>
        <v>0.72000000000000042</v>
      </c>
      <c r="AA121">
        <f t="shared" ca="1" si="14"/>
        <v>0.44977901119999952</v>
      </c>
    </row>
    <row r="122" spans="26:27" x14ac:dyDescent="0.2">
      <c r="Z122" s="36">
        <f t="shared" ca="1" si="13"/>
        <v>0.73000000000000043</v>
      </c>
      <c r="AA122">
        <f t="shared" ca="1" si="14"/>
        <v>0.44125520329999951</v>
      </c>
    </row>
    <row r="123" spans="26:27" x14ac:dyDescent="0.2">
      <c r="Z123" s="36">
        <f t="shared" ca="1" si="13"/>
        <v>0.74000000000000044</v>
      </c>
      <c r="AA123">
        <f t="shared" ca="1" si="14"/>
        <v>0.43234803359999951</v>
      </c>
    </row>
    <row r="124" spans="26:27" x14ac:dyDescent="0.2">
      <c r="Z124" s="36">
        <f t="shared" ca="1" si="13"/>
        <v>0.75000000000000044</v>
      </c>
      <c r="AA124">
        <f t="shared" ca="1" si="14"/>
        <v>0.42305018749999945</v>
      </c>
    </row>
    <row r="125" spans="26:27" x14ac:dyDescent="0.2">
      <c r="Z125" s="36">
        <f t="shared" ca="1" si="13"/>
        <v>0.76000000000000045</v>
      </c>
      <c r="AA125">
        <f t="shared" ca="1" si="14"/>
        <v>0.41335435039999946</v>
      </c>
    </row>
    <row r="126" spans="26:27" x14ac:dyDescent="0.2">
      <c r="Z126" s="36">
        <f t="shared" ca="1" si="13"/>
        <v>0.77000000000000046</v>
      </c>
      <c r="AA126">
        <f t="shared" ca="1" si="14"/>
        <v>0.40325320769999951</v>
      </c>
    </row>
    <row r="127" spans="26:27" x14ac:dyDescent="0.2">
      <c r="Z127" s="36">
        <f t="shared" ca="1" si="13"/>
        <v>0.78000000000000047</v>
      </c>
      <c r="AA127">
        <f t="shared" ca="1" si="14"/>
        <v>0.39273944479999934</v>
      </c>
    </row>
    <row r="128" spans="26:27" x14ac:dyDescent="0.2">
      <c r="Z128" s="36">
        <f t="shared" ca="1" si="13"/>
        <v>0.79000000000000048</v>
      </c>
      <c r="AA128">
        <f t="shared" ca="1" si="14"/>
        <v>0.38180574709999948</v>
      </c>
    </row>
    <row r="129" spans="26:27" x14ac:dyDescent="0.2">
      <c r="Z129" s="36">
        <f t="shared" ca="1" si="13"/>
        <v>0.80000000000000049</v>
      </c>
      <c r="AA129">
        <f t="shared" ca="1" si="14"/>
        <v>0.37044479999999946</v>
      </c>
    </row>
    <row r="130" spans="26:27" x14ac:dyDescent="0.2">
      <c r="Z130" s="36">
        <f t="shared" ca="1" si="13"/>
        <v>0.8100000000000005</v>
      </c>
      <c r="AA130">
        <f t="shared" ca="1" si="14"/>
        <v>0.35864928889999936</v>
      </c>
    </row>
    <row r="131" spans="26:27" x14ac:dyDescent="0.2">
      <c r="Z131" s="36">
        <f t="shared" ca="1" si="13"/>
        <v>0.82000000000000051</v>
      </c>
      <c r="AA131">
        <f t="shared" ca="1" si="14"/>
        <v>0.34641189919999937</v>
      </c>
    </row>
    <row r="132" spans="26:27" x14ac:dyDescent="0.2">
      <c r="Z132" s="36">
        <f t="shared" ca="1" si="13"/>
        <v>0.83000000000000052</v>
      </c>
      <c r="AA132">
        <f t="shared" ca="1" si="14"/>
        <v>0.33372531629999924</v>
      </c>
    </row>
    <row r="133" spans="26:27" x14ac:dyDescent="0.2">
      <c r="Z133" s="36">
        <f t="shared" ca="1" si="13"/>
        <v>0.84000000000000052</v>
      </c>
      <c r="AA133">
        <f t="shared" ca="1" si="14"/>
        <v>0.32058222559999938</v>
      </c>
    </row>
    <row r="134" spans="26:27" x14ac:dyDescent="0.2">
      <c r="Z134" s="36">
        <f t="shared" ca="1" si="13"/>
        <v>0.85000000000000053</v>
      </c>
      <c r="AA134">
        <f t="shared" ca="1" si="14"/>
        <v>0.30697531249999932</v>
      </c>
    </row>
    <row r="135" spans="26:27" x14ac:dyDescent="0.2">
      <c r="Z135" s="36">
        <f t="shared" ca="1" si="13"/>
        <v>0.86000000000000054</v>
      </c>
      <c r="AA135">
        <f t="shared" ca="1" si="14"/>
        <v>0.29289726239999903</v>
      </c>
    </row>
    <row r="136" spans="26:27" x14ac:dyDescent="0.2">
      <c r="Z136" s="36">
        <f t="shared" ca="1" si="13"/>
        <v>0.87000000000000055</v>
      </c>
      <c r="AA136">
        <f t="shared" ca="1" si="14"/>
        <v>0.27834076069999925</v>
      </c>
    </row>
    <row r="137" spans="26:27" x14ac:dyDescent="0.2">
      <c r="Z137" s="36">
        <f t="shared" ca="1" si="13"/>
        <v>0.88000000000000056</v>
      </c>
      <c r="AA137">
        <f t="shared" ca="1" si="14"/>
        <v>0.26329849279999906</v>
      </c>
    </row>
    <row r="138" spans="26:27" x14ac:dyDescent="0.2">
      <c r="Z138" s="36">
        <f t="shared" ca="1" si="13"/>
        <v>0.89000000000000057</v>
      </c>
      <c r="AA138">
        <f t="shared" ca="1" si="14"/>
        <v>0.24776314409999911</v>
      </c>
    </row>
    <row r="139" spans="26:27" x14ac:dyDescent="0.2">
      <c r="Z139" s="36">
        <f t="shared" ca="1" si="13"/>
        <v>0.90000000000000058</v>
      </c>
      <c r="AA139">
        <f t="shared" ca="1" si="14"/>
        <v>0.23172739999999892</v>
      </c>
    </row>
    <row r="140" spans="26:27" x14ac:dyDescent="0.2">
      <c r="Z140" s="36">
        <f t="shared" ca="1" si="13"/>
        <v>0.91000000000000059</v>
      </c>
      <c r="AA140">
        <f t="shared" ca="1" si="14"/>
        <v>0.21518394589999901</v>
      </c>
    </row>
    <row r="141" spans="26:27" x14ac:dyDescent="0.2">
      <c r="Z141" s="36">
        <f t="shared" ca="1" si="13"/>
        <v>0.9200000000000006</v>
      </c>
      <c r="AA141">
        <f t="shared" ca="1" si="14"/>
        <v>0.19812546719999902</v>
      </c>
    </row>
    <row r="142" spans="26:27" x14ac:dyDescent="0.2">
      <c r="Z142" s="36">
        <f t="shared" ca="1" si="13"/>
        <v>0.9300000000000006</v>
      </c>
      <c r="AA142">
        <f t="shared" ca="1" si="14"/>
        <v>0.18054464929999892</v>
      </c>
    </row>
    <row r="143" spans="26:27" x14ac:dyDescent="0.2">
      <c r="Z143" s="36">
        <f t="shared" ca="1" si="13"/>
        <v>0.94000000000000061</v>
      </c>
      <c r="AA143">
        <f t="shared" ca="1" si="14"/>
        <v>0.16243417759999867</v>
      </c>
    </row>
    <row r="144" spans="26:27" x14ac:dyDescent="0.2">
      <c r="Z144" s="36">
        <f t="shared" ca="1" si="13"/>
        <v>0.95000000000000062</v>
      </c>
      <c r="AA144">
        <f t="shared" ca="1" si="14"/>
        <v>0.14378673749999882</v>
      </c>
    </row>
    <row r="145" spans="26:27" x14ac:dyDescent="0.2">
      <c r="Z145" s="36">
        <f t="shared" ca="1" si="13"/>
        <v>0.96000000000000063</v>
      </c>
      <c r="AA145">
        <f t="shared" ca="1" si="14"/>
        <v>0.12459501439999876</v>
      </c>
    </row>
    <row r="146" spans="26:27" x14ac:dyDescent="0.2">
      <c r="Z146" s="36">
        <f t="shared" ca="1" si="13"/>
        <v>0.97000000000000064</v>
      </c>
      <c r="AA146">
        <f t="shared" ca="1" si="14"/>
        <v>0.1048516936999988</v>
      </c>
    </row>
    <row r="147" spans="26:27" x14ac:dyDescent="0.2">
      <c r="Z147" s="36">
        <f t="shared" ca="1" si="13"/>
        <v>0.98000000000000065</v>
      </c>
      <c r="AA147">
        <f t="shared" ca="1" si="14"/>
        <v>8.4549460799998588E-2</v>
      </c>
    </row>
    <row r="148" spans="26:27" x14ac:dyDescent="0.2">
      <c r="Z148" s="36">
        <f t="shared" ca="1" si="13"/>
        <v>0.99000000000000066</v>
      </c>
      <c r="AA148">
        <f t="shared" ca="1" si="14"/>
        <v>6.3681001099998635E-2</v>
      </c>
    </row>
    <row r="149" spans="26:27" x14ac:dyDescent="0.2">
      <c r="Z149" s="36">
        <f t="shared" ca="1" si="13"/>
        <v>1.0000000000000007</v>
      </c>
      <c r="AA149">
        <f t="shared" ca="1" si="14"/>
        <v>4.2238999999998361E-2</v>
      </c>
    </row>
    <row r="150" spans="26:27" x14ac:dyDescent="0.2">
      <c r="Z150" s="36">
        <f t="shared" ca="1" si="13"/>
        <v>1.0100000000000007</v>
      </c>
      <c r="AA150">
        <f t="shared" ca="1" si="14"/>
        <v>2.0216142899998291E-2</v>
      </c>
    </row>
    <row r="151" spans="26:27" x14ac:dyDescent="0.2">
      <c r="Z151" s="36">
        <f t="shared" ca="1" si="13"/>
        <v>1.0200000000000007</v>
      </c>
      <c r="AA151">
        <f t="shared" ca="1" si="14"/>
        <v>-2.3948848000017176E-3</v>
      </c>
    </row>
    <row r="152" spans="26:27" x14ac:dyDescent="0.2">
      <c r="Z152" s="36">
        <f t="shared" ref="Z152:Z160" ca="1" si="15">+Z151+0.01</f>
        <v>1.0300000000000007</v>
      </c>
      <c r="AA152">
        <f t="shared" ca="1" si="14"/>
        <v>-2.5601397700001582E-2</v>
      </c>
    </row>
    <row r="153" spans="26:27" x14ac:dyDescent="0.2">
      <c r="Z153" s="36">
        <f t="shared" ca="1" si="15"/>
        <v>1.0400000000000007</v>
      </c>
      <c r="AA153">
        <f t="shared" ca="1" si="14"/>
        <v>-4.9410710400001667E-2</v>
      </c>
    </row>
    <row r="154" spans="26:27" x14ac:dyDescent="0.2">
      <c r="Z154" s="36">
        <f t="shared" ca="1" si="15"/>
        <v>1.0500000000000007</v>
      </c>
      <c r="AA154">
        <f t="shared" ca="1" si="14"/>
        <v>-7.3830137500001669E-2</v>
      </c>
    </row>
    <row r="155" spans="26:27" x14ac:dyDescent="0.2">
      <c r="Z155" s="36">
        <f t="shared" ca="1" si="15"/>
        <v>1.0600000000000007</v>
      </c>
      <c r="AA155">
        <f t="shared" ca="1" si="14"/>
        <v>-9.8866993600001729E-2</v>
      </c>
    </row>
    <row r="156" spans="26:27" x14ac:dyDescent="0.2">
      <c r="Z156" s="36">
        <f t="shared" ca="1" si="15"/>
        <v>1.0700000000000007</v>
      </c>
      <c r="AA156">
        <f t="shared" ca="1" si="14"/>
        <v>-0.12452859330000199</v>
      </c>
    </row>
    <row r="157" spans="26:27" x14ac:dyDescent="0.2">
      <c r="Z157" s="36">
        <f t="shared" ca="1" si="15"/>
        <v>1.0800000000000007</v>
      </c>
      <c r="AA157">
        <f t="shared" ca="1" si="14"/>
        <v>-0.15082225120000192</v>
      </c>
    </row>
    <row r="158" spans="26:27" x14ac:dyDescent="0.2">
      <c r="Z158" s="36">
        <f t="shared" ca="1" si="15"/>
        <v>1.0900000000000007</v>
      </c>
      <c r="AA158">
        <f t="shared" ca="1" si="14"/>
        <v>-0.17775528190000189</v>
      </c>
    </row>
    <row r="159" spans="26:27" x14ac:dyDescent="0.2">
      <c r="Z159" s="36">
        <f t="shared" ca="1" si="15"/>
        <v>1.1000000000000008</v>
      </c>
      <c r="AA159">
        <f t="shared" ca="1" si="14"/>
        <v>-0.20533500000000227</v>
      </c>
    </row>
    <row r="160" spans="26:27" x14ac:dyDescent="0.2">
      <c r="Z160" s="36">
        <f t="shared" ca="1" si="15"/>
        <v>1.1100000000000008</v>
      </c>
      <c r="AA160">
        <f t="shared" ca="1" si="14"/>
        <v>-0.23356872010000229</v>
      </c>
    </row>
    <row r="161" spans="26:27" x14ac:dyDescent="0.2">
      <c r="Z161" s="36">
        <f t="shared" ref="Z161:Z200" ca="1" si="16">+Z160+0.01</f>
        <v>1.1200000000000008</v>
      </c>
      <c r="AA161">
        <f t="shared" ca="1" si="14"/>
        <v>-0.26246375680000233</v>
      </c>
    </row>
    <row r="162" spans="26:27" x14ac:dyDescent="0.2">
      <c r="Z162" s="36">
        <f t="shared" ca="1" si="16"/>
        <v>1.1300000000000008</v>
      </c>
      <c r="AA162">
        <f t="shared" ref="AA162:AA200" ca="1" si="17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-0.29202742470000231</v>
      </c>
    </row>
    <row r="163" spans="26:27" x14ac:dyDescent="0.2">
      <c r="Z163" s="36">
        <f t="shared" ca="1" si="16"/>
        <v>1.1400000000000008</v>
      </c>
      <c r="AA163">
        <f t="shared" ca="1" si="17"/>
        <v>-0.32226703840000259</v>
      </c>
    </row>
    <row r="164" spans="26:27" x14ac:dyDescent="0.2">
      <c r="Z164" s="36">
        <f t="shared" ca="1" si="16"/>
        <v>1.1500000000000008</v>
      </c>
      <c r="AA164">
        <f t="shared" ca="1" si="17"/>
        <v>-0.35318991250000265</v>
      </c>
    </row>
    <row r="165" spans="26:27" x14ac:dyDescent="0.2">
      <c r="Z165" s="36">
        <f t="shared" ca="1" si="16"/>
        <v>1.1600000000000008</v>
      </c>
      <c r="AA165">
        <f t="shared" ca="1" si="17"/>
        <v>-0.38480336160000284</v>
      </c>
    </row>
    <row r="166" spans="26:27" x14ac:dyDescent="0.2">
      <c r="Z166" s="36">
        <f t="shared" ca="1" si="16"/>
        <v>1.1700000000000008</v>
      </c>
      <c r="AA166">
        <f t="shared" ca="1" si="17"/>
        <v>-0.41711470030000308</v>
      </c>
    </row>
    <row r="167" spans="26:27" x14ac:dyDescent="0.2">
      <c r="Z167" s="36">
        <f t="shared" ca="1" si="16"/>
        <v>1.1800000000000008</v>
      </c>
      <c r="AA167">
        <f t="shared" ca="1" si="17"/>
        <v>-0.45013124320000308</v>
      </c>
    </row>
    <row r="168" spans="26:27" x14ac:dyDescent="0.2">
      <c r="Z168" s="36">
        <f t="shared" ca="1" si="16"/>
        <v>1.1900000000000008</v>
      </c>
      <c r="AA168">
        <f t="shared" ca="1" si="17"/>
        <v>-0.48386030490000298</v>
      </c>
    </row>
    <row r="169" spans="26:27" x14ac:dyDescent="0.2">
      <c r="Z169" s="36">
        <f t="shared" ca="1" si="16"/>
        <v>1.2000000000000008</v>
      </c>
      <c r="AA169">
        <f t="shared" ca="1" si="17"/>
        <v>-0.51830920000000313</v>
      </c>
    </row>
    <row r="170" spans="26:27" x14ac:dyDescent="0.2">
      <c r="Z170" s="36">
        <f t="shared" ca="1" si="16"/>
        <v>1.2100000000000009</v>
      </c>
      <c r="AA170">
        <f t="shared" ca="1" si="17"/>
        <v>-0.55348524310000347</v>
      </c>
    </row>
    <row r="171" spans="26:27" x14ac:dyDescent="0.2">
      <c r="Z171" s="36">
        <f t="shared" ca="1" si="16"/>
        <v>1.2200000000000009</v>
      </c>
      <c r="AA171">
        <f t="shared" ca="1" si="17"/>
        <v>-0.58939574880000323</v>
      </c>
    </row>
    <row r="172" spans="26:27" x14ac:dyDescent="0.2">
      <c r="Z172" s="36">
        <f t="shared" ca="1" si="16"/>
        <v>1.2300000000000009</v>
      </c>
      <c r="AA172">
        <f t="shared" ca="1" si="17"/>
        <v>-0.62604803170000345</v>
      </c>
    </row>
    <row r="173" spans="26:27" x14ac:dyDescent="0.2">
      <c r="Z173" s="36">
        <f t="shared" ca="1" si="16"/>
        <v>1.2400000000000009</v>
      </c>
      <c r="AA173">
        <f t="shared" ca="1" si="17"/>
        <v>-0.66344940640000316</v>
      </c>
    </row>
    <row r="174" spans="26:27" x14ac:dyDescent="0.2">
      <c r="Z174" s="36">
        <f t="shared" ca="1" si="16"/>
        <v>1.2500000000000009</v>
      </c>
      <c r="AA174">
        <f t="shared" ca="1" si="17"/>
        <v>-0.70160718750000362</v>
      </c>
    </row>
    <row r="175" spans="26:27" x14ac:dyDescent="0.2">
      <c r="Z175" s="36">
        <f t="shared" ca="1" si="16"/>
        <v>1.2600000000000009</v>
      </c>
      <c r="AA175">
        <f t="shared" ca="1" si="17"/>
        <v>-0.74052868960000384</v>
      </c>
    </row>
    <row r="176" spans="26:27" x14ac:dyDescent="0.2">
      <c r="Z176" s="36">
        <f t="shared" ca="1" si="16"/>
        <v>1.2700000000000009</v>
      </c>
      <c r="AA176">
        <f t="shared" ca="1" si="17"/>
        <v>-0.78022122730000332</v>
      </c>
    </row>
    <row r="177" spans="26:27" x14ac:dyDescent="0.2">
      <c r="Z177" s="36">
        <f t="shared" ca="1" si="16"/>
        <v>1.2800000000000009</v>
      </c>
      <c r="AA177">
        <f t="shared" ca="1" si="17"/>
        <v>-0.82069211520000374</v>
      </c>
    </row>
    <row r="178" spans="26:27" x14ac:dyDescent="0.2">
      <c r="Z178" s="36">
        <f t="shared" ca="1" si="16"/>
        <v>1.2900000000000009</v>
      </c>
      <c r="AA178">
        <f t="shared" ca="1" si="17"/>
        <v>-0.86194866790000413</v>
      </c>
    </row>
    <row r="179" spans="26:27" x14ac:dyDescent="0.2">
      <c r="Z179" s="36">
        <f t="shared" ca="1" si="16"/>
        <v>1.3000000000000009</v>
      </c>
      <c r="AA179">
        <f t="shared" ca="1" si="17"/>
        <v>-0.90399820000000419</v>
      </c>
    </row>
    <row r="180" spans="26:27" x14ac:dyDescent="0.2">
      <c r="Z180" s="36">
        <f t="shared" ca="1" si="16"/>
        <v>1.3100000000000009</v>
      </c>
      <c r="AA180">
        <f t="shared" ca="1" si="17"/>
        <v>-0.94684802610000407</v>
      </c>
    </row>
    <row r="181" spans="26:27" x14ac:dyDescent="0.2">
      <c r="Z181" s="36">
        <f t="shared" ca="1" si="16"/>
        <v>1.320000000000001</v>
      </c>
      <c r="AA181">
        <f t="shared" ca="1" si="17"/>
        <v>-0.99050546080000434</v>
      </c>
    </row>
    <row r="182" spans="26:27" x14ac:dyDescent="0.2">
      <c r="Z182" s="36">
        <f t="shared" ca="1" si="16"/>
        <v>1.330000000000001</v>
      </c>
      <c r="AA182">
        <f t="shared" ca="1" si="17"/>
        <v>-1.0349778187000043</v>
      </c>
    </row>
    <row r="183" spans="26:27" x14ac:dyDescent="0.2">
      <c r="Z183" s="36">
        <f t="shared" ca="1" si="16"/>
        <v>1.340000000000001</v>
      </c>
      <c r="AA183">
        <f t="shared" ca="1" si="17"/>
        <v>-1.0802724144000044</v>
      </c>
    </row>
    <row r="184" spans="26:27" x14ac:dyDescent="0.2">
      <c r="Z184" s="36">
        <f t="shared" ca="1" si="16"/>
        <v>1.350000000000001</v>
      </c>
      <c r="AA184">
        <f t="shared" ca="1" si="17"/>
        <v>-1.1263965625000045</v>
      </c>
    </row>
    <row r="185" spans="26:27" x14ac:dyDescent="0.2">
      <c r="Z185" s="36">
        <f t="shared" ca="1" si="16"/>
        <v>1.360000000000001</v>
      </c>
      <c r="AA185">
        <f t="shared" ca="1" si="17"/>
        <v>-1.1733575776000049</v>
      </c>
    </row>
    <row r="186" spans="26:27" x14ac:dyDescent="0.2">
      <c r="Z186" s="36">
        <f t="shared" ca="1" si="16"/>
        <v>1.370000000000001</v>
      </c>
      <c r="AA186">
        <f t="shared" ca="1" si="17"/>
        <v>-1.2211627743000049</v>
      </c>
    </row>
    <row r="187" spans="26:27" x14ac:dyDescent="0.2">
      <c r="Z187" s="36">
        <f t="shared" ca="1" si="16"/>
        <v>1.380000000000001</v>
      </c>
      <c r="AA187">
        <f t="shared" ca="1" si="17"/>
        <v>-1.2698194672000054</v>
      </c>
    </row>
    <row r="188" spans="26:27" x14ac:dyDescent="0.2">
      <c r="Z188" s="36">
        <f t="shared" ca="1" si="16"/>
        <v>1.390000000000001</v>
      </c>
      <c r="AA188">
        <f t="shared" ca="1" si="17"/>
        <v>-1.3193349709000048</v>
      </c>
    </row>
    <row r="189" spans="26:27" x14ac:dyDescent="0.2">
      <c r="Z189" s="36">
        <f t="shared" ca="1" si="16"/>
        <v>1.400000000000001</v>
      </c>
      <c r="AA189">
        <f t="shared" ca="1" si="17"/>
        <v>-1.3697166000000056</v>
      </c>
    </row>
    <row r="190" spans="26:27" x14ac:dyDescent="0.2">
      <c r="Z190" s="36">
        <f t="shared" ca="1" si="16"/>
        <v>1.410000000000001</v>
      </c>
      <c r="AA190">
        <f t="shared" ca="1" si="17"/>
        <v>-1.4209716691000052</v>
      </c>
    </row>
    <row r="191" spans="26:27" x14ac:dyDescent="0.2">
      <c r="Z191" s="36">
        <f t="shared" ca="1" si="16"/>
        <v>1.420000000000001</v>
      </c>
      <c r="AA191">
        <f t="shared" ca="1" si="17"/>
        <v>-1.4731074928000059</v>
      </c>
    </row>
    <row r="192" spans="26:27" x14ac:dyDescent="0.2">
      <c r="Z192" s="36">
        <f t="shared" ca="1" si="16"/>
        <v>1.430000000000001</v>
      </c>
      <c r="AA192">
        <f t="shared" ca="1" si="17"/>
        <v>-1.5261313857000056</v>
      </c>
    </row>
    <row r="193" spans="26:27" x14ac:dyDescent="0.2">
      <c r="Z193" s="36">
        <f t="shared" ca="1" si="16"/>
        <v>1.4400000000000011</v>
      </c>
      <c r="AA193">
        <f t="shared" ca="1" si="17"/>
        <v>-1.5800506624000059</v>
      </c>
    </row>
    <row r="194" spans="26:27" x14ac:dyDescent="0.2">
      <c r="Z194" s="36">
        <f t="shared" ca="1" si="16"/>
        <v>1.4500000000000011</v>
      </c>
      <c r="AA194">
        <f t="shared" ca="1" si="17"/>
        <v>-1.6348726375000058</v>
      </c>
    </row>
    <row r="195" spans="26:27" x14ac:dyDescent="0.2">
      <c r="Z195" s="36">
        <f t="shared" ca="1" si="16"/>
        <v>1.4600000000000011</v>
      </c>
      <c r="AA195">
        <f t="shared" ca="1" si="17"/>
        <v>-1.6906046256000065</v>
      </c>
    </row>
    <row r="196" spans="26:27" x14ac:dyDescent="0.2">
      <c r="Z196" s="36">
        <f t="shared" ca="1" si="16"/>
        <v>1.4700000000000011</v>
      </c>
      <c r="AA196">
        <f t="shared" ca="1" si="17"/>
        <v>-1.7472539413000061</v>
      </c>
    </row>
    <row r="197" spans="26:27" x14ac:dyDescent="0.2">
      <c r="Z197" s="36">
        <f t="shared" ca="1" si="16"/>
        <v>1.4800000000000011</v>
      </c>
      <c r="AA197">
        <f t="shared" ca="1" si="17"/>
        <v>-1.8048278992000064</v>
      </c>
    </row>
    <row r="198" spans="26:27" x14ac:dyDescent="0.2">
      <c r="Z198" s="36">
        <f t="shared" ca="1" si="16"/>
        <v>1.4900000000000011</v>
      </c>
      <c r="AA198">
        <f t="shared" ca="1" si="17"/>
        <v>-1.8633338139000064</v>
      </c>
    </row>
    <row r="199" spans="26:27" x14ac:dyDescent="0.2">
      <c r="Z199" s="36">
        <f t="shared" ca="1" si="16"/>
        <v>1.5000000000000011</v>
      </c>
      <c r="AA199">
        <f t="shared" ca="1" si="17"/>
        <v>-1.9227790000000073</v>
      </c>
    </row>
    <row r="200" spans="26:27" x14ac:dyDescent="0.2">
      <c r="Z200" s="36">
        <f t="shared" ca="1" si="16"/>
        <v>1.5100000000000011</v>
      </c>
      <c r="AA200">
        <f t="shared" ca="1" si="17"/>
        <v>-1.9831707721000069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352425</xdr:colOff>
                    <xdr:row>3</xdr:row>
                    <xdr:rowOff>9525</xdr:rowOff>
                  </from>
                  <to>
                    <xdr:col>15</xdr:col>
                    <xdr:colOff>161925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161925</xdr:rowOff>
                  </from>
                  <to>
                    <xdr:col>15</xdr:col>
                    <xdr:colOff>152400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105" workbookViewId="0">
      <selection activeCell="C142" sqref="C142"/>
    </sheetView>
  </sheetViews>
  <sheetFormatPr defaultColWidth="8" defaultRowHeight="11.25" x14ac:dyDescent="0.2"/>
  <cols>
    <col min="1" max="2" width="8" style="39" customWidth="1"/>
    <col min="3" max="3" width="10" style="39" customWidth="1"/>
    <col min="4" max="4" width="8" style="39" customWidth="1"/>
    <col min="5" max="10" width="9.140625" style="39" customWidth="1"/>
    <col min="11" max="11" width="4.5703125" style="39" customWidth="1"/>
    <col min="12" max="13" width="8" style="39" customWidth="1"/>
    <col min="14" max="14" width="3" style="39" customWidth="1"/>
    <col min="15" max="16" width="8" style="39" customWidth="1"/>
    <col min="17" max="17" width="3.5703125" style="39" customWidth="1"/>
    <col min="18" max="19" width="8" style="39" customWidth="1"/>
    <col min="20" max="20" width="1.5703125" style="39" customWidth="1"/>
    <col min="21" max="21" width="8" style="39" customWidth="1"/>
    <col min="22" max="22" width="3.140625" style="39" customWidth="1"/>
    <col min="23" max="23" width="10" style="39" customWidth="1"/>
    <col min="24" max="24" width="11.7109375" style="39" customWidth="1"/>
    <col min="25" max="25" width="2.5703125" style="39" customWidth="1"/>
    <col min="26" max="35" width="10" style="39" customWidth="1"/>
    <col min="36" max="36" width="2.7109375" style="39" customWidth="1"/>
    <col min="37" max="37" width="9.7109375" style="39" customWidth="1"/>
    <col min="38" max="38" width="2.7109375" style="39" customWidth="1"/>
    <col min="39" max="40" width="10" style="39" customWidth="1"/>
    <col min="41" max="41" width="8" style="39" customWidth="1"/>
    <col min="42" max="42" width="9.85546875" style="39" customWidth="1"/>
    <col min="43" max="44" width="8" style="39" customWidth="1"/>
    <col min="45" max="45" width="22.5703125" style="39" bestFit="1" customWidth="1"/>
    <col min="46" max="47" width="8" style="39" customWidth="1"/>
    <col min="48" max="48" width="8.140625" style="39" customWidth="1"/>
    <col min="49" max="50" width="8" style="39" customWidth="1"/>
    <col min="51" max="51" width="7.5703125" style="39" customWidth="1"/>
    <col min="52" max="53" width="8" style="39" customWidth="1"/>
    <col min="54" max="56" width="10.42578125" style="39" bestFit="1" customWidth="1"/>
    <col min="57" max="63" width="8" style="39" customWidth="1"/>
    <col min="64" max="64" width="2.7109375" style="39" customWidth="1"/>
    <col min="65" max="16384" width="8" style="39"/>
  </cols>
  <sheetData>
    <row r="1" spans="2:68" x14ac:dyDescent="0.2">
      <c r="AP1" s="64" t="s">
        <v>89</v>
      </c>
    </row>
    <row r="2" spans="2:68" ht="25.5" x14ac:dyDescent="0.35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4.202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5.1000000000000014</v>
      </c>
      <c r="AS5" s="77" t="s">
        <v>67</v>
      </c>
    </row>
    <row r="6" spans="2:68" x14ac:dyDescent="0.2">
      <c r="C6" s="39" t="s">
        <v>35</v>
      </c>
      <c r="D6" s="41">
        <f>Expiry-Today</f>
        <v>16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0.56053344238772285</v>
      </c>
      <c r="AR6" s="80">
        <f ca="1">I113</f>
        <v>0.54800059688450142</v>
      </c>
      <c r="AS6" s="77" t="s">
        <v>69</v>
      </c>
    </row>
    <row r="7" spans="2:68" x14ac:dyDescent="0.2">
      <c r="C7" s="39" t="s">
        <v>36</v>
      </c>
      <c r="D7" s="43">
        <f>IntRate</f>
        <v>4.3900000000000002E-2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0.96869753520985125</v>
      </c>
      <c r="AA7" s="44"/>
      <c r="AE7" s="44">
        <f ca="1">SUM(AE13:AE179)*(ROUNDUP(MAX(StrikeRange),1)-ROUNDDOWN(MIN(StrikeRange),1))/100</f>
        <v>0.9850634750976005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 ca="1">T/365.25</f>
        <v>4.380561259411362E-2</v>
      </c>
      <c r="AR7" s="76">
        <f>T/365.25</f>
        <v>4.380561259411362E-2</v>
      </c>
      <c r="AS7" s="77" t="s">
        <v>71</v>
      </c>
    </row>
    <row r="8" spans="2:68" x14ac:dyDescent="0.2">
      <c r="C8" s="39" t="s">
        <v>33</v>
      </c>
      <c r="D8" s="45">
        <f>Yield</f>
        <v>4.3900000000000002E-2</v>
      </c>
      <c r="E8" s="45"/>
      <c r="F8" s="45"/>
      <c r="G8" s="45"/>
      <c r="H8" s="45"/>
      <c r="I8" s="45"/>
      <c r="J8" s="45"/>
      <c r="O8" s="39" t="s">
        <v>38</v>
      </c>
      <c r="P8" s="46">
        <v>2.0000000000000001E-4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0.11731847458060718</v>
      </c>
      <c r="AR8" s="80">
        <f ca="1">AR6*SQRT(AR7)</f>
        <v>0.11469537628636603</v>
      </c>
      <c r="AS8" s="81" t="s">
        <v>73</v>
      </c>
      <c r="AX8" s="64" t="s">
        <v>115</v>
      </c>
    </row>
    <row r="9" spans="2:68" x14ac:dyDescent="0.2">
      <c r="C9" s="39" t="s">
        <v>39</v>
      </c>
      <c r="D9" s="47">
        <f>EXP(-IntRate*T/365.25)</f>
        <v>0.99807878151455476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-1.4678159986585775</v>
      </c>
      <c r="AR9" s="76">
        <f ca="1">((LN(AR5/$D$4)+0.5*AR8^2)/AR8)*Gamma2</f>
        <v>1.7091331540854864</v>
      </c>
      <c r="AS9" s="81" t="s">
        <v>75</v>
      </c>
      <c r="AW9" s="64" t="s">
        <v>116</v>
      </c>
      <c r="AX9" s="39" t="s">
        <v>113</v>
      </c>
    </row>
    <row r="10" spans="2:68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2.1544838059180771</v>
      </c>
      <c r="AR10" s="76">
        <f ca="1">AR9^2</f>
        <v>2.9211361383942029</v>
      </c>
      <c r="AS10" s="82"/>
      <c r="AW10" s="64" t="s">
        <v>117</v>
      </c>
      <c r="AX10" s="39" t="s">
        <v>114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3" t="s">
        <v>92</v>
      </c>
      <c r="AN11" s="163"/>
      <c r="AP11" s="75" t="s">
        <v>77</v>
      </c>
      <c r="AQ11" s="76">
        <f ca="1">W13</f>
        <v>0.26678456086014207</v>
      </c>
      <c r="AR11" s="76">
        <f ca="1">W113</f>
        <v>0.13234095847570063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112</v>
      </c>
    </row>
    <row r="12" spans="2:68" x14ac:dyDescent="0.2">
      <c r="D12" s="51" t="s">
        <v>0</v>
      </c>
      <c r="E12" s="51" t="s">
        <v>43</v>
      </c>
      <c r="F12" s="91" t="s">
        <v>118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7.1077141550593526E-2</v>
      </c>
      <c r="AR12" s="76">
        <f ca="1">NORMSDIST(AR9)</f>
        <v>0.9562868895910579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119</v>
      </c>
      <c r="BC12" s="97" t="s">
        <v>120</v>
      </c>
      <c r="BD12" s="97" t="s">
        <v>121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-0.16706330318895768</v>
      </c>
      <c r="F13" s="45">
        <f ca="1">+D13*(1+$P$8)/UnderlyingPrice-1</f>
        <v>-0.16689671584959542</v>
      </c>
      <c r="G13" s="45">
        <f ca="1">+D13*(1-$P$8)/UnderlyingPrice-1</f>
        <v>-0.16722989052831982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0.56047091989300268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0.56053344238772285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0.56059604058924717</v>
      </c>
      <c r="L13" s="58">
        <f ca="1">_xll.EURO(UnderlyingPrice,$D13,IntRate,Yield,$I13,$D$6,L$12,0)</f>
        <v>0.71214864083871943</v>
      </c>
      <c r="M13" s="58">
        <f ca="1">_xll.EURO(UnderlyingPrice,$D13,IntRate,Yield,$I13,$D$6,M$12,0)</f>
        <v>1.1497336215501891E-2</v>
      </c>
      <c r="O13" s="58">
        <f ca="1">_xll.EURO(UnderlyingPrice,$D13*(1+$P$8),IntRate,Yield,$H13,Expiry-Today,O$12,0)</f>
        <v>0.711490844692241</v>
      </c>
      <c r="P13" s="58">
        <f ca="1">_xll.EURO(UnderlyingPrice,$D13*(1+$P$8),IntRate,Yield,$H13,Expiry-Today,P$12,0)</f>
        <v>1.153819521608454E-2</v>
      </c>
      <c r="R13" s="58">
        <f ca="1">_xll.EURO(UnderlyingPrice,$D13*(1-$P$8),IntRate,Yield,$J13,Expiry-Today,R$12,0)</f>
        <v>0.71280656745848248</v>
      </c>
      <c r="S13" s="58">
        <f ca="1">_xll.EURO(UnderlyingPrice,$D13*(1-$P$8),IntRate,Yield,$J13,Expiry-Today,S$12,0)</f>
        <v>1.1456607688204501E-2</v>
      </c>
      <c r="U13" s="59">
        <f ca="1">(O13+R13-2*L13)/($P$8*$D13)^2</f>
        <v>0.2662720094301862</v>
      </c>
      <c r="V13" s="59"/>
      <c r="W13" s="62">
        <f t="shared" ref="W13:W44" ca="1" si="3">U13/$D$9</f>
        <v>0.26678456086014207</v>
      </c>
      <c r="X13" s="63"/>
      <c r="Z13" s="59">
        <f ca="1">(1/(D13*SQRT(2*PI()*T/365.25*ATMImpVol^2)))</f>
        <v>1.0271971402741356</v>
      </c>
      <c r="AA13" s="59">
        <f ca="1">LN(D13/UnderlyingPrice)+0.5*T/365.25*ATMImpVol^2</f>
        <v>-0.17664095587350506</v>
      </c>
      <c r="AB13" s="59">
        <f t="shared" ref="AB13:AB76" ca="1" si="4">-(AA13^2)</f>
        <v>-3.1202027291905562E-2</v>
      </c>
      <c r="AC13" s="59">
        <f ca="1">AB13/(2*T/365.25*ATMImpVol^2)</f>
        <v>-1.2669993062232501</v>
      </c>
      <c r="AD13" s="60">
        <f t="shared" ref="AD13:AD76" ca="1" si="5">EXP(AC13)</f>
        <v>0.2816755770706022</v>
      </c>
      <c r="AE13" s="60">
        <f ca="1">AD13*Z13</f>
        <v>0.28933634725198942</v>
      </c>
      <c r="AF13" s="60"/>
      <c r="AG13" s="96">
        <f ca="1">(LN($D13/UnderlyingPrice)+0.5*ATMImpVol^2*(T/365.25))/(ATMImpVol*SQRT(T/365.25))</f>
        <v>-1.5918538288569399</v>
      </c>
      <c r="AH13" s="96">
        <f ca="1">(LN(($D13*(1+$P$8))/UnderlyingPrice)+0.5*ATMImpVol^2*(T/365.25))/(ATMImpVol*SQRT(T/365.25))</f>
        <v>-1.5900516480922073</v>
      </c>
      <c r="AI13" s="96">
        <f ca="1">(LN($D13*(1-$P$8)/UnderlyingPrice)+0.5*ATMImpVol^2*(T/365.25))/(ATMImpVol*SQRT(T/365.25))</f>
        <v>-1.593656370093874</v>
      </c>
      <c r="AJ13" s="96"/>
      <c r="AK13" s="96">
        <f ca="1">W13/(AH13-AI13)*(D13*2*$P$8)</f>
        <v>0.10361364483350304</v>
      </c>
      <c r="AL13" s="96"/>
      <c r="AM13" s="94">
        <v>-3.1</v>
      </c>
      <c r="AN13" s="95">
        <f t="shared" ref="AN13:AN75" ca="1" si="6">NORMDIST(AM13,0,1,FALSE)</f>
        <v>3.2668190561999178E-3</v>
      </c>
      <c r="AP13" s="83" t="s">
        <v>81</v>
      </c>
      <c r="AQ13" s="76">
        <f ca="1">AQ11*AQ5*AQ4*AQ8*EXP(AQ10/2)</f>
        <v>0.8063531613744811</v>
      </c>
      <c r="AR13" s="76">
        <f ca="1">AR11*AR5*AR4*AR8*EXP(AR10/2)</f>
        <v>0.83602054336790854</v>
      </c>
      <c r="AS13" s="81" t="s">
        <v>82</v>
      </c>
      <c r="AX13" s="106">
        <f ca="1">VLOOKUP(E13,ENAVolTable,4)+VLOOKUP(E13,ENAVolTable,5)*(E13-VLOOKUP(E13,ENAVolTable,1))</f>
        <v>0.53002500000000008</v>
      </c>
      <c r="AY13" s="106">
        <f ca="1">VLOOKUP(F13,ENAVolTable,4)+VLOOKUP(F13,ENAVolTable,5)*(F13-VLOOKUP(F13,ENAVolTable,1))</f>
        <v>0.53001625000000008</v>
      </c>
      <c r="AZ13" s="106">
        <f ca="1">VLOOKUP(G13,ENAVolTable,4)+VLOOKUP(G13,ENAVolTable,5)*(G13-VLOOKUP(G13,ENAVolTable,1))</f>
        <v>0.53003375000000008</v>
      </c>
      <c r="BB13" s="109">
        <f ca="1">_xll.EURO(UnderlyingPrice,$D13,IntRate,Yield,AX13,$D$6,1,0)</f>
        <v>0.70944992905487014</v>
      </c>
      <c r="BC13" s="109">
        <f ca="1">_xll.EURO(UnderlyingPrice,$D13*(1+$P$8),IntRate,Yield,AY13,$D$6,1,0)</f>
        <v>0.70878950623910475</v>
      </c>
      <c r="BD13" s="109">
        <f ca="1">_xll.EURO(UnderlyingPrice,$D13*(1-$P$8),IntRate,Yield,AZ13,$D$6,1,0)</f>
        <v>0.71011048891580852</v>
      </c>
      <c r="BF13" s="59">
        <f ca="1">(BC13+BD13-2*BB13)/($P$8*$D13)^2</f>
        <v>0.27968402650536028</v>
      </c>
      <c r="BG13" s="62">
        <f ca="1">+BF13/$D$9</f>
        <v>0.28022239495057505</v>
      </c>
      <c r="BI13" s="96">
        <f ca="1">(LN($D13/UnderlyingPrice)+0.5*ENAVol^2*(T/365.25))/(ENAVol*SQRT(T/365.25))</f>
        <v>-1.5924321384793101</v>
      </c>
      <c r="BJ13" s="96">
        <f ca="1">(LN(($D13*(1+$P$8))/UnderlyingPrice)+0.5*ENAVol^2*(T/365.25))/(ENAVol*SQRT(T/365.25))</f>
        <v>-1.5906293456531857</v>
      </c>
      <c r="BK13" s="96">
        <f ca="1">(LN($D13*(1-$P$8)/UnderlyingPrice)+0.5*ENAVol^2*(T/365.25))/(ENAVol*SQRT(T/365.25))</f>
        <v>-1.5942352919000604</v>
      </c>
      <c r="BL13" s="96"/>
      <c r="BM13" s="96">
        <f ca="1">BG13/(BJ13-BK13)*(D13*2*$P$8)</f>
        <v>0.10879567416481116</v>
      </c>
      <c r="BO13" s="58">
        <f ca="1">+BB13-L13</f>
        <v>-2.6987117838492836E-3</v>
      </c>
      <c r="BP13" s="46">
        <f ca="1">+BO13/BB13</f>
        <v>-3.8039496140968116E-3</v>
      </c>
    </row>
    <row r="14" spans="2:68" x14ac:dyDescent="0.2">
      <c r="C14" s="56">
        <v>1</v>
      </c>
      <c r="D14" s="63">
        <f ca="1">D13+(ROUNDUP(MAX(StrikeRange),1)-ROUNDDOWN(MIN(StrikeRange),1))/100</f>
        <v>3.516</v>
      </c>
      <c r="E14" s="45">
        <f t="shared" ref="E14:E77" ca="1" si="7">+D14/UnderlyingPrice-1</f>
        <v>-0.16325559257496425</v>
      </c>
      <c r="F14" s="45">
        <f t="shared" ref="F14:F65" ca="1" si="8">+D14*(1+$P$8)/UnderlyingPrice-1</f>
        <v>-0.1630882436934793</v>
      </c>
      <c r="G14" s="45">
        <f t="shared" ref="G14:G65" ca="1" si="9">+D14*(1-$P$8)/UnderlyingPrice-1</f>
        <v>-0.1634229414564492</v>
      </c>
      <c r="H14" s="45">
        <f t="shared" ca="1" si="0"/>
        <v>0.55906212182111437</v>
      </c>
      <c r="I14" s="45">
        <f t="shared" ca="1" si="1"/>
        <v>0.55912320087117684</v>
      </c>
      <c r="J14" s="45">
        <f t="shared" ca="1" si="2"/>
        <v>0.55918435554179224</v>
      </c>
      <c r="K14" s="58"/>
      <c r="L14" s="58">
        <f ca="1">_xll.EURO(UnderlyingPrice,$D14,IntRate,Yield,$I14,$D$6,L$12,0)</f>
        <v>0.69714658029810694</v>
      </c>
      <c r="M14" s="58">
        <f ca="1">_xll.EURO(UnderlyingPrice,$D14,IntRate,Yield,$I14,$D$6,M$12,0)</f>
        <v>1.2464536179122632E-2</v>
      </c>
      <c r="O14" s="58">
        <f ca="1">_xll.EURO(UnderlyingPrice,$D14*(1+$P$8),IntRate,Yield,$H14,Expiry-Today,O$12,0)</f>
        <v>0.69648886849775327</v>
      </c>
      <c r="P14" s="58">
        <f ca="1">_xll.EURO(UnderlyingPrice,$D14*(1+$P$8),IntRate,Yield,$H14,Expiry-Today,P$12,0)</f>
        <v>1.2508673377929463E-2</v>
      </c>
      <c r="R14" s="58">
        <f ca="1">_xll.EURO(UnderlyingPrice,$D14*(1-$P$8),IntRate,Yield,$J14,Expiry-Today,R$12,0)</f>
        <v>0.69780443183299967</v>
      </c>
      <c r="S14" s="58">
        <f ca="1">_xll.EURO(UnderlyingPrice,$D14*(1-$P$8),IntRate,Yield,$J14,Expiry-Today,S$12,0)</f>
        <v>1.2420538714853713E-2</v>
      </c>
      <c r="U14" s="59">
        <f t="shared" ref="U14:U45" ca="1" si="10">(O14+R14-2*L14)/($P$8*D14)^2</f>
        <v>0.28258300720112584</v>
      </c>
      <c r="V14" s="59"/>
      <c r="W14" s="62">
        <f t="shared" ca="1" si="3"/>
        <v>0.28312695594261061</v>
      </c>
      <c r="X14" s="63"/>
      <c r="Z14" s="59">
        <f t="shared" ref="Z14:Z77" ca="1" si="11">(1/(D14*SQRT(2*PI()*T/365.25*ATMImpVol^2)))</f>
        <v>1.0225227505573022</v>
      </c>
      <c r="AA14" s="59">
        <f t="shared" ref="AA14:AA77" ca="1" si="12">LN(D14/UnderlyingPrice)+0.5*T/365.25*ATMImpVol^2</f>
        <v>-0.17207994454594239</v>
      </c>
      <c r="AB14" s="59">
        <f t="shared" ca="1" si="4"/>
        <v>-2.9611507314934608E-2</v>
      </c>
      <c r="AC14" s="59">
        <f t="shared" ref="AC14:AC77" ca="1" si="13">AB14/(2*T/365.25*ATMImpVol^2)</f>
        <v>-1.202414153197658</v>
      </c>
      <c r="AD14" s="60">
        <f t="shared" ca="1" si="5"/>
        <v>0.30046795993688696</v>
      </c>
      <c r="AE14" s="60">
        <f t="shared" ref="AE14:AE77" ca="1" si="14">AD14*Z14</f>
        <v>0.30723532484900695</v>
      </c>
      <c r="AF14" s="60"/>
      <c r="AG14" s="96">
        <f t="shared" ref="AG14:AG77" ca="1" si="15">(LN($D14/UnderlyingPrice)+0.5*ATMImpVol^2*(T/365.25))/(ATMImpVol*SQRT(T/365.25))</f>
        <v>-1.5507508846991886</v>
      </c>
      <c r="AH14" s="96">
        <f t="shared" ref="AH14:AH77" ca="1" si="16">(LN(($D14*(1+$P$8))/UnderlyingPrice)+0.5*ATMImpVol^2*(T/365.25))/(ATMImpVol*SQRT(T/365.25))</f>
        <v>-1.5489487039344569</v>
      </c>
      <c r="AI14" s="96">
        <f t="shared" ref="AI14:AI77" ca="1" si="17">(LN($D14*(1-$P$8)/UnderlyingPrice)+0.5*ATMImpVol^2*(T/365.25))/(ATMImpVol*SQRT(T/365.25))</f>
        <v>-1.5525534259361227</v>
      </c>
      <c r="AJ14" s="96"/>
      <c r="AK14" s="96">
        <f t="shared" ref="AK14:AK77" ca="1" si="18">W14/(AH14-AI14)*(D14*2*$P$8)</f>
        <v>0.11046337294628703</v>
      </c>
      <c r="AL14" s="96"/>
      <c r="AM14" s="94">
        <v>-3</v>
      </c>
      <c r="AN14" s="95">
        <f t="shared" ca="1" si="6"/>
        <v>4.4318484119380067E-3</v>
      </c>
      <c r="AP14" s="75" t="s">
        <v>83</v>
      </c>
      <c r="AQ14" s="84">
        <v>0.97888826755206659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0.5298250000000001</v>
      </c>
      <c r="AY14" s="106">
        <f t="shared" ref="AY14:AY77" ca="1" si="20">VLOOKUP(F14,ENAVolTable,4)+VLOOKUP(F14,ENAVolTable,5)*(F14-VLOOKUP(F14,ENAVolTable,1))</f>
        <v>0.52981621000000012</v>
      </c>
      <c r="AZ14" s="106">
        <f t="shared" ref="AZ14:AZ77" ca="1" si="21">VLOOKUP(G14,ENAVolTable,4)+VLOOKUP(G14,ENAVolTable,5)*(G14-VLOOKUP(G14,ENAVolTable,1))</f>
        <v>0.52983379000000008</v>
      </c>
      <c r="BB14" s="109">
        <f ca="1">_xll.EURO(UnderlyingPrice,$D14,IntRate,Yield,AX14,$D$6,1,0)</f>
        <v>0.69438951587370434</v>
      </c>
      <c r="BC14" s="109">
        <f ca="1">_xll.EURO(UnderlyingPrice,$D14*(1+$P$8),IntRate,Yield,AY14,$D$6,1,0)</f>
        <v>0.69372932231675044</v>
      </c>
      <c r="BD14" s="109">
        <f ca="1">_xll.EURO(UnderlyingPrice,$D14*(1-$P$8),IntRate,Yield,AZ14,$D$6,1,0)</f>
        <v>0.6950498562956251</v>
      </c>
      <c r="BF14" s="59">
        <f t="shared" ref="BF14:BF77" ca="1" si="22">(BC14+BD14-2*BB14)/($P$8*$D14)^2</f>
        <v>0.29700276158042099</v>
      </c>
      <c r="BG14" s="62">
        <f t="shared" ref="BG14:BG77" ca="1" si="23">+BF14/$D$9</f>
        <v>0.2975744671475013</v>
      </c>
      <c r="BI14" s="96">
        <f t="shared" ref="BI14:BI77" ca="1" si="24">(LN($D14/UnderlyingPrice)+0.5*ENAVol^2*(T/365.25))/(ENAVol*SQRT(T/365.25))</f>
        <v>-1.5513152348310899</v>
      </c>
      <c r="BJ14" s="96">
        <f t="shared" ref="BJ14:BJ77" ca="1" si="25">(LN(($D14*(1+$P$8))/UnderlyingPrice)+0.5*ENAVol^2*(T/365.25))/(ENAVol*SQRT(T/365.25))</f>
        <v>-1.5495124420049666</v>
      </c>
      <c r="BK14" s="96">
        <f t="shared" ref="BK14:BK77" ca="1" si="26">(LN($D14*(1-$P$8)/UnderlyingPrice)+0.5*ENAVol^2*(T/365.25))/(ENAVol*SQRT(T/365.25))</f>
        <v>-1.5531183882518402</v>
      </c>
      <c r="BL14" s="96"/>
      <c r="BM14" s="96">
        <f t="shared" ref="BM14:BM77" ca="1" si="27">BG14/(BJ14-BK14)*(D14*2*$P$8)</f>
        <v>0.11606072357820023</v>
      </c>
      <c r="BO14" s="58">
        <f t="shared" ref="BO14:BO77" ca="1" si="28">+BB14-L14</f>
        <v>-2.7570644244025999E-3</v>
      </c>
      <c r="BP14" s="46">
        <f t="shared" ref="BP14:BP77" ca="1" si="29">+BO14/BB14</f>
        <v>-3.9704868252994404E-3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3.532</v>
      </c>
      <c r="E15" s="45">
        <f t="shared" ca="1" si="7"/>
        <v>-0.15944788196097093</v>
      </c>
      <c r="F15" s="45">
        <f t="shared" ca="1" si="8"/>
        <v>-0.15927977153736317</v>
      </c>
      <c r="G15" s="45">
        <f t="shared" ca="1" si="9"/>
        <v>-0.15961599238457869</v>
      </c>
      <c r="H15" s="45">
        <f t="shared" ca="1" si="0"/>
        <v>0.55769247078342976</v>
      </c>
      <c r="I15" s="45">
        <f t="shared" ca="1" si="1"/>
        <v>0.55775210848238388</v>
      </c>
      <c r="J15" s="45">
        <f t="shared" ca="1" si="2"/>
        <v>0.55781182170457355</v>
      </c>
      <c r="K15" s="58"/>
      <c r="L15" s="58">
        <f ca="1">_xll.EURO(UnderlyingPrice,$D15,IntRate,Yield,$I15,$D$6,L$12,0)</f>
        <v>0.68221687352687344</v>
      </c>
      <c r="M15" s="58">
        <f ca="1">_xll.EURO(UnderlyingPrice,$D15,IntRate,Yield,$I15,$D$6,M$12,0)</f>
        <v>1.3504089912121098E-2</v>
      </c>
      <c r="O15" s="58">
        <f ca="1">_xll.EURO(UnderlyingPrice,$D15*(1+$P$8),IntRate,Yield,$H15,Expiry-Today,O$12,0)</f>
        <v>0.68155946208258733</v>
      </c>
      <c r="P15" s="58">
        <f ca="1">_xll.EURO(UnderlyingPrice,$D15*(1+$P$8),IntRate,Yield,$H15,Expiry-Today,P$12,0)</f>
        <v>1.3551721319097709E-2</v>
      </c>
      <c r="R15" s="58">
        <f ca="1">_xll.EURO(UnderlyingPrice,$D15*(1-$P$8),IntRate,Yield,$J15,Expiry-Today,R$12,0)</f>
        <v>0.6828744344128701</v>
      </c>
      <c r="S15" s="58">
        <f ca="1">_xll.EURO(UnderlyingPrice,$D15*(1-$P$8),IntRate,Yield,$J15,Expiry-Today,S$12,0)</f>
        <v>1.3456607946856325E-2</v>
      </c>
      <c r="U15" s="59">
        <f t="shared" ca="1" si="10"/>
        <v>0.2994818097381205</v>
      </c>
      <c r="V15" s="59"/>
      <c r="W15" s="62">
        <f t="shared" ca="1" si="3"/>
        <v>0.30005828726632761</v>
      </c>
      <c r="X15" s="63"/>
      <c r="Z15" s="59">
        <f t="shared" ca="1" si="11"/>
        <v>1.0178907109171786</v>
      </c>
      <c r="AA15" s="59">
        <f t="shared" ca="1" si="12"/>
        <v>-0.1675396416271594</v>
      </c>
      <c r="AB15" s="59">
        <f t="shared" ca="1" si="4"/>
        <v>-2.8069531516557E-2</v>
      </c>
      <c r="AC15" s="59">
        <f t="shared" ca="1" si="13"/>
        <v>-1.1398002003131191</v>
      </c>
      <c r="AD15" s="60">
        <f t="shared" ca="1" si="5"/>
        <v>0.31988292794072054</v>
      </c>
      <c r="AE15" s="60">
        <f t="shared" ca="1" si="14"/>
        <v>0.32560586093184868</v>
      </c>
      <c r="AF15" s="60"/>
      <c r="AG15" s="96">
        <f t="shared" ca="1" si="15"/>
        <v>-1.5098345606808179</v>
      </c>
      <c r="AH15" s="96">
        <f t="shared" ca="1" si="16"/>
        <v>-1.5080323799160862</v>
      </c>
      <c r="AI15" s="96">
        <f t="shared" ca="1" si="17"/>
        <v>-1.5116371019177519</v>
      </c>
      <c r="AJ15" s="96"/>
      <c r="AK15" s="96">
        <f t="shared" ca="1" si="18"/>
        <v>0.11760195323078308</v>
      </c>
      <c r="AL15" s="96"/>
      <c r="AM15" s="94">
        <v>-2.9</v>
      </c>
      <c r="AN15" s="95">
        <f t="shared" ca="1" si="6"/>
        <v>5.9525324197758529E-3</v>
      </c>
      <c r="AP15" s="75" t="s">
        <v>85</v>
      </c>
      <c r="AQ15" s="76">
        <f ca="1">(SUM(W13:W113)-(W13+W113)/2)*(ROUNDUP(MAX(StrikeRange),1)-ROUNDDOWN(MIN(StrikeRange),1))/100</f>
        <v>0.90411741618226571</v>
      </c>
      <c r="AR15" s="85"/>
      <c r="AS15" s="77" t="s">
        <v>86</v>
      </c>
      <c r="AX15" s="106">
        <f t="shared" ca="1" si="19"/>
        <v>0.52962500000000012</v>
      </c>
      <c r="AY15" s="106">
        <f t="shared" ca="1" si="20"/>
        <v>0.52961617000000005</v>
      </c>
      <c r="AZ15" s="106">
        <f t="shared" ca="1" si="21"/>
        <v>0.52963383000000008</v>
      </c>
      <c r="BB15" s="109">
        <f ca="1">_xll.EURO(UnderlyingPrice,$D15,IntRate,Yield,AX15,$D$6,1,0)</f>
        <v>0.6794051458294259</v>
      </c>
      <c r="BC15" s="109">
        <f ca="1">_xll.EURO(UnderlyingPrice,$D15*(1+$P$8),IntRate,Yield,AY15,$D$6,1,0)</f>
        <v>0.67874540979482179</v>
      </c>
      <c r="BD15" s="109">
        <f ca="1">_xll.EURO(UnderlyingPrice,$D15*(1-$P$8),IntRate,Yield,AZ15,$D$6,1,0)</f>
        <v>0.68006503895509063</v>
      </c>
      <c r="BF15" s="59">
        <f t="shared" ca="1" si="22"/>
        <v>0.31481113904897273</v>
      </c>
      <c r="BG15" s="62">
        <f t="shared" ca="1" si="23"/>
        <v>0.31541712425872459</v>
      </c>
      <c r="BI15" s="96">
        <f t="shared" ca="1" si="24"/>
        <v>-1.5103850147026754</v>
      </c>
      <c r="BJ15" s="96">
        <f t="shared" ca="1" si="25"/>
        <v>-1.5085822218765519</v>
      </c>
      <c r="BK15" s="96">
        <f t="shared" ca="1" si="26"/>
        <v>-1.5121881681234257</v>
      </c>
      <c r="BL15" s="96"/>
      <c r="BM15" s="96">
        <f t="shared" ca="1" si="27"/>
        <v>0.12357957735478099</v>
      </c>
      <c r="BO15" s="58">
        <f t="shared" ca="1" si="28"/>
        <v>-2.8117276974475303E-3</v>
      </c>
      <c r="BP15" s="46">
        <f t="shared" ca="1" si="29"/>
        <v>-4.1385139849285943E-3</v>
      </c>
    </row>
    <row r="16" spans="2:68" x14ac:dyDescent="0.2">
      <c r="C16" s="56">
        <v>3</v>
      </c>
      <c r="D16" s="63">
        <f t="shared" ca="1" si="30"/>
        <v>3.548</v>
      </c>
      <c r="E16" s="45">
        <f t="shared" ca="1" si="7"/>
        <v>-0.15564017134697761</v>
      </c>
      <c r="F16" s="45">
        <f t="shared" ca="1" si="8"/>
        <v>-0.15547129938124704</v>
      </c>
      <c r="G16" s="45">
        <f t="shared" ca="1" si="9"/>
        <v>-0.15580904331270817</v>
      </c>
      <c r="H16" s="45">
        <f t="shared" ca="1" si="0"/>
        <v>0.55636156272266868</v>
      </c>
      <c r="I16" s="45">
        <f t="shared" ca="1" si="1"/>
        <v>0.55641976140640137</v>
      </c>
      <c r="J16" s="45">
        <f t="shared" ca="1" si="2"/>
        <v>0.55647803550488906</v>
      </c>
      <c r="L16" s="58">
        <f ca="1">_xll.EURO(UnderlyingPrice,$D16,IntRate,Yield,$I16,$D$6,L$12,0)</f>
        <v>0.66736384622639866</v>
      </c>
      <c r="M16" s="58">
        <f ca="1">_xll.EURO(UnderlyingPrice,$D16,IntRate,Yield,$I16,$D$6,M$12,0)</f>
        <v>1.4620323115879796E-2</v>
      </c>
      <c r="O16" s="58">
        <f ca="1">_xll.EURO(UnderlyingPrice,$D16*(1+$P$8),IntRate,Yield,$H16,Expiry-Today,O$12,0)</f>
        <v>0.66670696027157161</v>
      </c>
      <c r="P16" s="58">
        <f ca="1">_xll.EURO(UnderlyingPrice,$D16*(1+$P$8),IntRate,Yield,$H16,Expiry-Today,P$12,0)</f>
        <v>1.467167386441548E-2</v>
      </c>
      <c r="R16" s="58">
        <f ca="1">_xll.EURO(UnderlyingPrice,$D16*(1-$P$8),IntRate,Yield,$J16,Expiry-Today,R$12,0)</f>
        <v>0.66802089177572466</v>
      </c>
      <c r="S16" s="58">
        <f ca="1">_xll.EURO(UnderlyingPrice,$D16*(1-$P$8),IntRate,Yield,$J16,Expiry-Today,S$12,0)</f>
        <v>1.456913196184334E-2</v>
      </c>
      <c r="U16" s="59">
        <f t="shared" ca="1" si="10"/>
        <v>0.31694996194412783</v>
      </c>
      <c r="V16" s="59"/>
      <c r="W16" s="62">
        <f t="shared" ca="1" si="3"/>
        <v>0.31756006420972671</v>
      </c>
      <c r="X16" s="63"/>
      <c r="Z16" s="59">
        <f t="shared" ca="1" si="11"/>
        <v>1.0133004484102239</v>
      </c>
      <c r="AA16" s="59">
        <f t="shared" ca="1" si="12"/>
        <v>-0.16301985992153992</v>
      </c>
      <c r="AB16" s="59">
        <f t="shared" ca="1" si="4"/>
        <v>-2.6575474728838498E-2</v>
      </c>
      <c r="AC16" s="59">
        <f t="shared" ca="1" si="13"/>
        <v>-1.0791320618044218</v>
      </c>
      <c r="AD16" s="60">
        <f t="shared" ca="1" si="5"/>
        <v>0.33989040152120059</v>
      </c>
      <c r="AE16" s="60">
        <f t="shared" ca="1" si="14"/>
        <v>0.34441109627176364</v>
      </c>
      <c r="AF16" s="60"/>
      <c r="AG16" s="96">
        <f t="shared" ca="1" si="15"/>
        <v>-1.4691031698314601</v>
      </c>
      <c r="AH16" s="96">
        <f t="shared" ca="1" si="16"/>
        <v>-1.4673009890667283</v>
      </c>
      <c r="AI16" s="96">
        <f t="shared" ca="1" si="17"/>
        <v>-1.4709057110683943</v>
      </c>
      <c r="AJ16" s="96"/>
      <c r="AK16" s="96">
        <f t="shared" ca="1" si="18"/>
        <v>0.12502524270059059</v>
      </c>
      <c r="AL16" s="96"/>
      <c r="AM16" s="94">
        <v>-2.8</v>
      </c>
      <c r="AN16" s="95">
        <f t="shared" ca="1" si="6"/>
        <v>7.9154515829799668E-3</v>
      </c>
      <c r="AP16" s="75" t="s">
        <v>87</v>
      </c>
      <c r="AQ16" s="76">
        <f ca="1">1-AQ15</f>
        <v>9.588258381773429E-2</v>
      </c>
      <c r="AR16" s="76"/>
      <c r="AS16" s="82"/>
      <c r="AV16" s="105"/>
      <c r="AX16" s="106">
        <f t="shared" ca="1" si="19"/>
        <v>0.52942500000000003</v>
      </c>
      <c r="AY16" s="106">
        <f t="shared" ca="1" si="20"/>
        <v>0.5294161300000001</v>
      </c>
      <c r="AZ16" s="106">
        <f t="shared" ca="1" si="21"/>
        <v>0.52943387000000008</v>
      </c>
      <c r="BA16" s="107"/>
      <c r="BB16" s="109">
        <f ca="1">_xll.EURO(UnderlyingPrice,$D16,IntRate,Yield,AX16,$D$6,1,0)</f>
        <v>0.66450137719524616</v>
      </c>
      <c r="BC16" s="109">
        <f ca="1">_xll.EURO(UnderlyingPrice,$D16*(1+$P$8),IntRate,Yield,AY16,$D$6,1,0)</f>
        <v>0.66384233502432499</v>
      </c>
      <c r="BD16" s="109">
        <f ca="1">_xll.EURO(UnderlyingPrice,$D16*(1-$P$8),IntRate,Yield,AZ16,$D$6,1,0)</f>
        <v>0.66516058708148806</v>
      </c>
      <c r="BF16" s="59">
        <f t="shared" ca="1" si="22"/>
        <v>0.33307767420941958</v>
      </c>
      <c r="BG16" s="62">
        <f t="shared" ca="1" si="23"/>
        <v>0.333718820977222</v>
      </c>
      <c r="BI16" s="96">
        <f t="shared" ca="1" si="24"/>
        <v>-1.4696397905507648</v>
      </c>
      <c r="BJ16" s="96">
        <f t="shared" ca="1" si="25"/>
        <v>-1.4678369977246415</v>
      </c>
      <c r="BK16" s="96">
        <f t="shared" ca="1" si="26"/>
        <v>-1.4714429439715153</v>
      </c>
      <c r="BL16" s="96"/>
      <c r="BM16" s="96">
        <f t="shared" ca="1" si="27"/>
        <v>0.13134243227875977</v>
      </c>
      <c r="BO16" s="58">
        <f t="shared" ca="1" si="28"/>
        <v>-2.8624690311525036E-3</v>
      </c>
      <c r="BP16" s="46">
        <f t="shared" ca="1" si="29"/>
        <v>-4.307694655554405E-3</v>
      </c>
    </row>
    <row r="17" spans="3:68" x14ac:dyDescent="0.2">
      <c r="C17" s="56">
        <v>4</v>
      </c>
      <c r="D17" s="63">
        <f t="shared" ca="1" si="30"/>
        <v>3.5640000000000001</v>
      </c>
      <c r="E17" s="45">
        <f t="shared" ca="1" si="7"/>
        <v>-0.15183246073298429</v>
      </c>
      <c r="F17" s="45">
        <f t="shared" ca="1" si="8"/>
        <v>-0.1516628272251308</v>
      </c>
      <c r="G17" s="45">
        <f t="shared" ca="1" si="9"/>
        <v>-0.15200209424083766</v>
      </c>
      <c r="H17" s="45">
        <f t="shared" ca="1" si="0"/>
        <v>0.55506899358155104</v>
      </c>
      <c r="I17" s="45">
        <f t="shared" ca="1" si="1"/>
        <v>0.55512575582828672</v>
      </c>
      <c r="J17" s="45">
        <f t="shared" ca="1" si="2"/>
        <v>0.5551825933700365</v>
      </c>
      <c r="L17" s="58">
        <f ca="1">_xll.EURO(UnderlyingPrice,$D17,IntRate,Yield,$I17,$D$6,L$12,0)</f>
        <v>0.65259196975963851</v>
      </c>
      <c r="M17" s="58">
        <f ca="1">_xll.EURO(UnderlyingPrice,$D17,IntRate,Yield,$I17,$D$6,M$12,0)</f>
        <v>1.5817707153352456E-2</v>
      </c>
      <c r="O17" s="58">
        <f ca="1">_xll.EURO(UnderlyingPrice,$D17*(1+$P$8),IntRate,Yield,$H17,Expiry-Today,O$12,0)</f>
        <v>0.65193584343379918</v>
      </c>
      <c r="P17" s="58">
        <f ca="1">_xll.EURO(UnderlyingPrice,$D17*(1+$P$8),IntRate,Yield,$H17,Expiry-Today,P$12,0)</f>
        <v>1.5873011382976365E-2</v>
      </c>
      <c r="R17" s="58">
        <f ca="1">_xll.EURO(UnderlyingPrice,$D17*(1-$P$8),IntRate,Yield,$J17,Expiry-Today,R$12,0)</f>
        <v>0.65324826627565669</v>
      </c>
      <c r="S17" s="58">
        <f ca="1">_xll.EURO(UnderlyingPrice,$D17*(1-$P$8),IntRate,Yield,$J17,Expiry-Today,S$12,0)</f>
        <v>1.576257311390683E-2</v>
      </c>
      <c r="U17" s="59">
        <f t="shared" ca="1" si="10"/>
        <v>0.33496475471190063</v>
      </c>
      <c r="V17" s="59"/>
      <c r="W17" s="62">
        <f t="shared" ca="1" si="3"/>
        <v>0.33560953395242166</v>
      </c>
      <c r="X17" s="63"/>
      <c r="Z17" s="59">
        <f t="shared" ca="1" si="11"/>
        <v>1.0087514003814464</v>
      </c>
      <c r="AA17" s="59">
        <f t="shared" ca="1" si="12"/>
        <v>-0.15852041476031012</v>
      </c>
      <c r="AB17" s="59">
        <f t="shared" ca="1" si="4"/>
        <v>-2.5128721895780748E-2</v>
      </c>
      <c r="AC17" s="59">
        <f t="shared" ca="1" si="13"/>
        <v>-1.0203847625147946</v>
      </c>
      <c r="AD17" s="60">
        <f t="shared" ca="1" si="5"/>
        <v>0.36045622344528494</v>
      </c>
      <c r="AE17" s="60">
        <f t="shared" ca="1" si="14"/>
        <v>0.36361072017663876</v>
      </c>
      <c r="AF17" s="60"/>
      <c r="AG17" s="96">
        <f t="shared" ca="1" si="15"/>
        <v>-1.4285550479521569</v>
      </c>
      <c r="AH17" s="96">
        <f t="shared" ca="1" si="16"/>
        <v>-1.4267528671874239</v>
      </c>
      <c r="AI17" s="96">
        <f t="shared" ca="1" si="17"/>
        <v>-1.4303575891890912</v>
      </c>
      <c r="AJ17" s="96"/>
      <c r="AK17" s="96">
        <f t="shared" ca="1" si="18"/>
        <v>0.13272728143287571</v>
      </c>
      <c r="AL17" s="96"/>
      <c r="AM17" s="94">
        <v>-2.7</v>
      </c>
      <c r="AN17" s="95">
        <f t="shared" ca="1" si="6"/>
        <v>1.042093481442259E-2</v>
      </c>
      <c r="AP17" s="86" t="s">
        <v>88</v>
      </c>
      <c r="AQ17" s="87">
        <f ca="1">(Alpha1/Gamma2*AQ12)+(Alpha2/Gamma2*(1-AR12))</f>
        <v>9.5882583557653528E-2</v>
      </c>
      <c r="AR17" s="85"/>
      <c r="AS17" s="82"/>
      <c r="AV17" s="105"/>
      <c r="AX17" s="106">
        <f t="shared" ca="1" si="19"/>
        <v>0.52922500000000006</v>
      </c>
      <c r="AY17" s="106">
        <f t="shared" ca="1" si="20"/>
        <v>0.52921609000000003</v>
      </c>
      <c r="AZ17" s="106">
        <f t="shared" ca="1" si="21"/>
        <v>0.52923391000000009</v>
      </c>
      <c r="BB17" s="109">
        <f ca="1">_xll.EURO(UnderlyingPrice,$D17,IntRate,Yield,AX17,$D$6,1,0)</f>
        <v>0.64968288546134678</v>
      </c>
      <c r="BC17" s="109">
        <f ca="1">_xll.EURO(UnderlyingPrice,$D17*(1+$P$8),IntRate,Yield,AY17,$D$6,1,0)</f>
        <v>0.64902478129075813</v>
      </c>
      <c r="BD17" s="109">
        <f ca="1">_xll.EURO(UnderlyingPrice,$D17*(1-$P$8),IntRate,Yield,AZ17,$D$6,1,0)</f>
        <v>0.65034116835931099</v>
      </c>
      <c r="BF17" s="59">
        <f t="shared" ca="1" si="22"/>
        <v>0.35176748696831678</v>
      </c>
      <c r="BG17" s="62">
        <f t="shared" ca="1" si="23"/>
        <v>0.35244461006827549</v>
      </c>
      <c r="BI17" s="96">
        <f t="shared" ca="1" si="24"/>
        <v>-1.4290778976112009</v>
      </c>
      <c r="BJ17" s="96">
        <f t="shared" ca="1" si="25"/>
        <v>-1.4272751047850762</v>
      </c>
      <c r="BK17" s="96">
        <f t="shared" ca="1" si="26"/>
        <v>-1.4308810510319514</v>
      </c>
      <c r="BL17" s="96"/>
      <c r="BM17" s="96">
        <f t="shared" ca="1" si="27"/>
        <v>0.13933791624008332</v>
      </c>
      <c r="BO17" s="58">
        <f t="shared" ca="1" si="28"/>
        <v>-2.9090842982917309E-3</v>
      </c>
      <c r="BP17" s="46">
        <f t="shared" ca="1" si="29"/>
        <v>-4.4776988333715441E-3</v>
      </c>
    </row>
    <row r="18" spans="3:68" x14ac:dyDescent="0.2">
      <c r="C18" s="56">
        <v>5</v>
      </c>
      <c r="D18" s="63">
        <f t="shared" ca="1" si="30"/>
        <v>3.58</v>
      </c>
      <c r="E18" s="45">
        <f t="shared" ca="1" si="7"/>
        <v>-0.14802475011899097</v>
      </c>
      <c r="F18" s="45">
        <f t="shared" ca="1" si="8"/>
        <v>-0.14785435506901479</v>
      </c>
      <c r="G18" s="45">
        <f t="shared" ca="1" si="9"/>
        <v>-0.14819514516896704</v>
      </c>
      <c r="H18" s="45">
        <f t="shared" ca="1" si="0"/>
        <v>0.55381435930279699</v>
      </c>
      <c r="I18" s="45">
        <f t="shared" ca="1" si="1"/>
        <v>0.5538696879330971</v>
      </c>
      <c r="J18" s="45">
        <f t="shared" ca="1" si="2"/>
        <v>0.55392509172731375</v>
      </c>
      <c r="L18" s="58">
        <f ca="1">_xll.EURO(UnderlyingPrice,$D18,IntRate,Yield,$I18,$D$6,L$12,0)</f>
        <v>0.6379058553374537</v>
      </c>
      <c r="M18" s="58">
        <f ca="1">_xll.EURO(UnderlyingPrice,$D18,IntRate,Yield,$I18,$D$6,M$12,0)</f>
        <v>1.7100853235400393E-2</v>
      </c>
      <c r="O18" s="58">
        <f ca="1">_xll.EURO(UnderlyingPrice,$D18*(1+$P$8),IntRate,Yield,$H18,Expiry-Today,O$12,0)</f>
        <v>0.63725073161451551</v>
      </c>
      <c r="P18" s="58">
        <f ca="1">_xll.EURO(UnderlyingPrice,$D18*(1+$P$8),IntRate,Yield,$H18,Expiry-Today,P$12,0)</f>
        <v>1.7160353920026905E-2</v>
      </c>
      <c r="R18" s="58">
        <f ca="1">_xll.EURO(UnderlyingPrice,$D18*(1-$P$8),IntRate,Yield,$J18,Expiry-Today,R$12,0)</f>
        <v>0.63856116028385079</v>
      </c>
      <c r="S18" s="58">
        <f ca="1">_xll.EURO(UnderlyingPrice,$D18*(1-$P$8),IntRate,Yield,$J18,Expiry-Today,S$12,0)</f>
        <v>1.7041533774233897E-2</v>
      </c>
      <c r="U18" s="59">
        <f t="shared" ca="1" si="10"/>
        <v>0.35349914739324695</v>
      </c>
      <c r="V18" s="59"/>
      <c r="W18" s="62">
        <f t="shared" ca="1" si="3"/>
        <v>0.35417960379522601</v>
      </c>
      <c r="X18" s="63"/>
      <c r="Z18" s="59">
        <f t="shared" ca="1" si="11"/>
        <v>1.0042430142344902</v>
      </c>
      <c r="AA18" s="59">
        <f t="shared" ca="1" si="12"/>
        <v>-0.1540411239562641</v>
      </c>
      <c r="AB18" s="59">
        <f t="shared" ca="1" si="4"/>
        <v>-2.3728667869709123E-2</v>
      </c>
      <c r="AC18" s="59">
        <f t="shared" ca="1" si="13"/>
        <v>-0.96353372962796702</v>
      </c>
      <c r="AD18" s="60">
        <f t="shared" ca="1" si="5"/>
        <v>0.38154223386478703</v>
      </c>
      <c r="AE18" s="60">
        <f t="shared" ca="1" si="14"/>
        <v>0.38316112299413452</v>
      </c>
      <c r="AF18" s="60"/>
      <c r="AG18" s="96">
        <f t="shared" ca="1" si="15"/>
        <v>-1.3881885532073566</v>
      </c>
      <c r="AH18" s="96">
        <f t="shared" ca="1" si="16"/>
        <v>-1.3863863724426246</v>
      </c>
      <c r="AI18" s="96">
        <f t="shared" ca="1" si="17"/>
        <v>-1.3899910944442897</v>
      </c>
      <c r="AJ18" s="96"/>
      <c r="AK18" s="96">
        <f t="shared" ca="1" si="18"/>
        <v>0.14070022387315559</v>
      </c>
      <c r="AL18" s="96"/>
      <c r="AM18" s="94">
        <v>-2.6</v>
      </c>
      <c r="AN18" s="95">
        <f t="shared" ca="1" si="6"/>
        <v>1.3582969233685611E-2</v>
      </c>
      <c r="AX18" s="106">
        <f t="shared" ca="1" si="19"/>
        <v>0.52902500000000008</v>
      </c>
      <c r="AY18" s="106">
        <f t="shared" ca="1" si="20"/>
        <v>0.52901605000000007</v>
      </c>
      <c r="AZ18" s="106">
        <f t="shared" ca="1" si="21"/>
        <v>0.52903395000000009</v>
      </c>
      <c r="BB18" s="109">
        <f ca="1">_xll.EURO(UnderlyingPrice,$D18,IntRate,Yield,AX18,$D$6,1,0)</f>
        <v>0.63495445440687215</v>
      </c>
      <c r="BC18" s="109">
        <f ca="1">_xll.EURO(UnderlyingPrice,$D18*(1+$P$8),IntRate,Yield,AY18,$D$6,1,0)</f>
        <v>0.63429753983905357</v>
      </c>
      <c r="BD18" s="109">
        <f ca="1">_xll.EURO(UnderlyingPrice,$D18*(1-$P$8),IntRate,Yield,AZ18,$D$6,1,0)</f>
        <v>0.63561155908926414</v>
      </c>
      <c r="BF18" s="59">
        <f t="shared" ca="1" si="22"/>
        <v>0.37084238440071432</v>
      </c>
      <c r="BG18" s="62">
        <f t="shared" ca="1" si="23"/>
        <v>0.37155622508873704</v>
      </c>
      <c r="BI18" s="96">
        <f t="shared" ca="1" si="24"/>
        <v>-1.3886976934908268</v>
      </c>
      <c r="BJ18" s="96">
        <f t="shared" ca="1" si="25"/>
        <v>-1.3868949006647031</v>
      </c>
      <c r="BK18" s="96">
        <f t="shared" ca="1" si="26"/>
        <v>-1.3905008469115763</v>
      </c>
      <c r="BL18" s="96"/>
      <c r="BM18" s="96">
        <f t="shared" ca="1" si="27"/>
        <v>0.14755309089492016</v>
      </c>
      <c r="BO18" s="58">
        <f t="shared" ca="1" si="28"/>
        <v>-2.9514009305815492E-3</v>
      </c>
      <c r="BP18" s="46">
        <f t="shared" ca="1" si="29"/>
        <v>-4.6482088756090879E-3</v>
      </c>
    </row>
    <row r="19" spans="3:68" x14ac:dyDescent="0.2">
      <c r="C19" s="56">
        <v>6</v>
      </c>
      <c r="D19" s="63">
        <f t="shared" ca="1" si="30"/>
        <v>3.5960000000000001</v>
      </c>
      <c r="E19" s="45">
        <f t="shared" ca="1" si="7"/>
        <v>-0.14421703950499765</v>
      </c>
      <c r="F19" s="45">
        <f t="shared" ca="1" si="8"/>
        <v>-0.14404588291289866</v>
      </c>
      <c r="G19" s="45">
        <f t="shared" ca="1" si="9"/>
        <v>-0.14438819609709652</v>
      </c>
      <c r="H19" s="45">
        <f t="shared" ca="1" si="0"/>
        <v>0.552597255829126</v>
      </c>
      <c r="I19" s="45">
        <f t="shared" ca="1" si="1"/>
        <v>0.55265115390589004</v>
      </c>
      <c r="J19" s="45">
        <f t="shared" ca="1" si="2"/>
        <v>0.55270512700401897</v>
      </c>
      <c r="L19" s="58">
        <f ca="1">_xll.EURO(UnderlyingPrice,$D19,IntRate,Yield,$I19,$D$6,L$12,0)</f>
        <v>0.62331024709494409</v>
      </c>
      <c r="M19" s="58">
        <f ca="1">_xll.EURO(UnderlyingPrice,$D19,IntRate,Yield,$I19,$D$6,M$12,0)</f>
        <v>1.8474505497123817E-2</v>
      </c>
      <c r="O19" s="58">
        <f ca="1">_xll.EURO(UnderlyingPrice,$D19*(1+$P$8),IntRate,Yield,$H19,Expiry-Today,O$12,0)</f>
        <v>0.62265637755461922</v>
      </c>
      <c r="P19" s="58">
        <f ca="1">_xll.EURO(UnderlyingPrice,$D19*(1+$P$8),IntRate,Yield,$H19,Expiry-Today,P$12,0)</f>
        <v>1.8538454216464162E-2</v>
      </c>
      <c r="R19" s="58">
        <f ca="1">_xll.EURO(UnderlyingPrice,$D19*(1-$P$8),IntRate,Yield,$J19,Expiry-Today,R$12,0)</f>
        <v>0.6239643093216074</v>
      </c>
      <c r="S19" s="58">
        <f ca="1">_xll.EURO(UnderlyingPrice,$D19*(1-$P$8),IntRate,Yield,$J19,Expiry-Today,S$12,0)</f>
        <v>1.8410749464121912E-2</v>
      </c>
      <c r="U19" s="59">
        <f t="shared" ca="1" si="10"/>
        <v>0.37252169177379624</v>
      </c>
      <c r="V19" s="59"/>
      <c r="W19" s="62">
        <f t="shared" ca="1" si="3"/>
        <v>0.37323876498857705</v>
      </c>
      <c r="X19" s="63"/>
      <c r="Z19" s="59">
        <f t="shared" ca="1" si="11"/>
        <v>0.99977474720786286</v>
      </c>
      <c r="AA19" s="59">
        <f t="shared" ca="1" si="12"/>
        <v>-0.1495818077594992</v>
      </c>
      <c r="AB19" s="59">
        <f t="shared" ca="1" si="4"/>
        <v>-2.2374717212599773E-2</v>
      </c>
      <c r="AC19" s="59">
        <f t="shared" ca="1" si="13"/>
        <v>-0.90855478460079298</v>
      </c>
      <c r="AD19" s="60">
        <f t="shared" ca="1" si="5"/>
        <v>0.40310637880895989</v>
      </c>
      <c r="AE19" s="60">
        <f t="shared" ca="1" si="14"/>
        <v>0.40301557797160487</v>
      </c>
      <c r="AF19" s="60"/>
      <c r="AG19" s="96">
        <f t="shared" ca="1" si="15"/>
        <v>-1.3480020657260086</v>
      </c>
      <c r="AH19" s="96">
        <f t="shared" ca="1" si="16"/>
        <v>-1.3461998849612766</v>
      </c>
      <c r="AI19" s="96">
        <f t="shared" ca="1" si="17"/>
        <v>-1.3498046069629417</v>
      </c>
      <c r="AJ19" s="96"/>
      <c r="AK19" s="96">
        <f t="shared" ca="1" si="18"/>
        <v>0.14893426991362566</v>
      </c>
      <c r="AL19" s="96"/>
      <c r="AM19" s="94">
        <v>-2.5</v>
      </c>
      <c r="AN19" s="95">
        <f t="shared" ca="1" si="6"/>
        <v>1.7528300493568537E-2</v>
      </c>
      <c r="AX19" s="106">
        <f t="shared" ca="1" si="19"/>
        <v>0.5288250000000001</v>
      </c>
      <c r="AY19" s="106">
        <f t="shared" ca="1" si="20"/>
        <v>0.52881601000000011</v>
      </c>
      <c r="AZ19" s="106">
        <f t="shared" ca="1" si="21"/>
        <v>0.52883399000000009</v>
      </c>
      <c r="BB19" s="109">
        <f ca="1">_xll.EURO(UnderlyingPrice,$D19,IntRate,Yield,AX19,$D$6,1,0)</f>
        <v>0.6203209663241247</v>
      </c>
      <c r="BC19" s="109">
        <f ca="1">_xll.EURO(UnderlyingPrice,$D19*(1+$P$8),IntRate,Yield,AY19,$D$6,1,0)</f>
        <v>0.61966550005094501</v>
      </c>
      <c r="BD19" s="109">
        <f ca="1">_xll.EURO(UnderlyingPrice,$D19*(1-$P$8),IntRate,Yield,AZ19,$D$6,1,0)</f>
        <v>0.62097663445926443</v>
      </c>
      <c r="BF19" s="59">
        <f t="shared" ca="1" si="22"/>
        <v>0.39026097784685054</v>
      </c>
      <c r="BG19" s="62">
        <f t="shared" ca="1" si="23"/>
        <v>0.39101219770912388</v>
      </c>
      <c r="BI19" s="96">
        <f t="shared" ca="1" si="24"/>
        <v>-1.3484975577684473</v>
      </c>
      <c r="BJ19" s="96">
        <f t="shared" ca="1" si="25"/>
        <v>-1.3466947649423238</v>
      </c>
      <c r="BK19" s="96">
        <f t="shared" ca="1" si="26"/>
        <v>-1.3503007111891969</v>
      </c>
      <c r="BL19" s="96"/>
      <c r="BM19" s="96">
        <f t="shared" ca="1" si="27"/>
        <v>0.15597346900900366</v>
      </c>
      <c r="BO19" s="58">
        <f t="shared" ca="1" si="28"/>
        <v>-2.9892807708193914E-3</v>
      </c>
      <c r="BP19" s="46">
        <f t="shared" ca="1" si="29"/>
        <v>-4.818925899817899E-3</v>
      </c>
    </row>
    <row r="20" spans="3:68" x14ac:dyDescent="0.2">
      <c r="C20" s="56">
        <v>7</v>
      </c>
      <c r="D20" s="63">
        <f t="shared" ca="1" si="30"/>
        <v>3.6120000000000001</v>
      </c>
      <c r="E20" s="45">
        <f t="shared" ca="1" si="7"/>
        <v>-0.14040932889100421</v>
      </c>
      <c r="F20" s="45">
        <f t="shared" ca="1" si="8"/>
        <v>-0.14023741075678242</v>
      </c>
      <c r="G20" s="45">
        <f t="shared" ca="1" si="9"/>
        <v>-0.14058124702522601</v>
      </c>
      <c r="H20" s="45">
        <f t="shared" ca="1" si="0"/>
        <v>0.55141727910325833</v>
      </c>
      <c r="I20" s="45">
        <f t="shared" ca="1" si="1"/>
        <v>0.55146974993172271</v>
      </c>
      <c r="J20" s="45">
        <f t="shared" ca="1" si="2"/>
        <v>0.55152229562744959</v>
      </c>
      <c r="L20" s="58">
        <f ca="1">_xll.EURO(UnderlyingPrice,$D20,IntRate,Yield,$I20,$D$6,L$12,0)</f>
        <v>0.60881001403875601</v>
      </c>
      <c r="M20" s="58">
        <f ca="1">_xll.EURO(UnderlyingPrice,$D20,IntRate,Yield,$I20,$D$6,M$12,0)</f>
        <v>1.9943532945168818E-2</v>
      </c>
      <c r="O20" s="58">
        <f ca="1">_xll.EURO(UnderlyingPrice,$D20*(1+$P$8),IntRate,Yield,$H20,Expiry-Today,O$12,0)</f>
        <v>0.60815765857916082</v>
      </c>
      <c r="P20" s="58">
        <f ca="1">_xll.EURO(UnderlyingPrice,$D20*(1+$P$8),IntRate,Yield,$H20,Expiry-Today,P$12,0)</f>
        <v>2.0012189597339247E-2</v>
      </c>
      <c r="R20" s="58">
        <f ca="1">_xll.EURO(UnderlyingPrice,$D20*(1-$P$8),IntRate,Yield,$J20,Expiry-Today,R$12,0)</f>
        <v>0.60946257406632665</v>
      </c>
      <c r="S20" s="58">
        <f ca="1">_xll.EURO(UnderlyingPrice,$D20*(1-$P$8),IntRate,Yield,$J20,Expiry-Today,S$12,0)</f>
        <v>1.9875080860972782E-2</v>
      </c>
      <c r="U20" s="59">
        <f t="shared" ca="1" si="10"/>
        <v>0.39199648475508142</v>
      </c>
      <c r="V20" s="59"/>
      <c r="W20" s="62">
        <f t="shared" ca="1" si="3"/>
        <v>0.39275104532353494</v>
      </c>
      <c r="X20" s="63"/>
      <c r="Z20" s="59">
        <f t="shared" ca="1" si="11"/>
        <v>0.99534606615710808</v>
      </c>
      <c r="AA20" s="59">
        <f t="shared" ca="1" si="12"/>
        <v>-0.14514228881413394</v>
      </c>
      <c r="AB20" s="59">
        <f t="shared" ca="1" si="4"/>
        <v>-2.106628400220547E-2</v>
      </c>
      <c r="AC20" s="59">
        <f t="shared" ca="1" si="13"/>
        <v>-0.85542413529073669</v>
      </c>
      <c r="AD20" s="60">
        <f t="shared" ca="1" si="5"/>
        <v>0.42510285171922657</v>
      </c>
      <c r="AE20" s="60">
        <f t="shared" ca="1" si="14"/>
        <v>0.42312445117090058</v>
      </c>
      <c r="AF20" s="60"/>
      <c r="AG20" s="96">
        <f t="shared" ca="1" si="15"/>
        <v>-1.3079939872115136</v>
      </c>
      <c r="AH20" s="96">
        <f t="shared" ca="1" si="16"/>
        <v>-1.3061918064467817</v>
      </c>
      <c r="AI20" s="96">
        <f t="shared" ca="1" si="17"/>
        <v>-1.3097965284484483</v>
      </c>
      <c r="AJ20" s="96"/>
      <c r="AK20" s="96">
        <f t="shared" ca="1" si="18"/>
        <v>0.15741760668952798</v>
      </c>
      <c r="AL20" s="96"/>
      <c r="AM20" s="94">
        <v>-2.4</v>
      </c>
      <c r="AN20" s="95">
        <f t="shared" ca="1" si="6"/>
        <v>2.2394530294842896E-2</v>
      </c>
      <c r="AP20" s="64" t="s">
        <v>90</v>
      </c>
      <c r="AX20" s="106">
        <f t="shared" ca="1" si="19"/>
        <v>0.52862500000000012</v>
      </c>
      <c r="AY20" s="106">
        <f t="shared" ca="1" si="20"/>
        <v>0.52861597000000005</v>
      </c>
      <c r="AZ20" s="106">
        <f t="shared" ca="1" si="21"/>
        <v>0.52863403000000009</v>
      </c>
      <c r="BB20" s="109">
        <f ca="1">_xll.EURO(UnderlyingPrice,$D20,IntRate,Yield,AX20,$D$6,1,0)</f>
        <v>0.60578739142605365</v>
      </c>
      <c r="BC20" s="109">
        <f ca="1">_xll.EURO(UnderlyingPrice,$D20*(1+$P$8),IntRate,Yield,AY20,$D$6,1,0)</f>
        <v>0.60513363880619808</v>
      </c>
      <c r="BD20" s="109">
        <f ca="1">_xll.EURO(UnderlyingPrice,$D20*(1-$P$8),IntRate,Yield,AZ20,$D$6,1,0)</f>
        <v>0.60644135799818244</v>
      </c>
      <c r="BF20" s="59">
        <f t="shared" ca="1" si="22"/>
        <v>0.40997882893622856</v>
      </c>
      <c r="BG20" s="62">
        <f t="shared" ca="1" si="23"/>
        <v>0.41076800401877889</v>
      </c>
      <c r="BI20" s="96">
        <f t="shared" ca="1" si="24"/>
        <v>-1.3084758916046457</v>
      </c>
      <c r="BJ20" s="96">
        <f t="shared" ca="1" si="25"/>
        <v>-1.306673098778522</v>
      </c>
      <c r="BK20" s="96">
        <f t="shared" ca="1" si="26"/>
        <v>-1.3102790450253967</v>
      </c>
      <c r="BL20" s="96"/>
      <c r="BM20" s="96">
        <f t="shared" ca="1" si="27"/>
        <v>0.16458304466426835</v>
      </c>
      <c r="BO20" s="58">
        <f t="shared" ca="1" si="28"/>
        <v>-3.0226226127023637E-3</v>
      </c>
      <c r="BP20" s="46">
        <f t="shared" ca="1" si="29"/>
        <v>-4.9895766327967966E-3</v>
      </c>
    </row>
    <row r="21" spans="3:68" x14ac:dyDescent="0.2">
      <c r="C21" s="56">
        <v>8</v>
      </c>
      <c r="D21" s="63">
        <f t="shared" ca="1" si="30"/>
        <v>3.6280000000000001</v>
      </c>
      <c r="E21" s="45">
        <f t="shared" ca="1" si="7"/>
        <v>-0.13660161827701089</v>
      </c>
      <c r="F21" s="45">
        <f t="shared" ca="1" si="8"/>
        <v>-0.13642893860066629</v>
      </c>
      <c r="G21" s="45">
        <f t="shared" ca="1" si="9"/>
        <v>-0.13677429795335549</v>
      </c>
      <c r="H21" s="45">
        <f t="shared" ca="1" si="0"/>
        <v>0.5502740250679139</v>
      </c>
      <c r="I21" s="45">
        <f t="shared" ca="1" si="1"/>
        <v>0.55032507219565252</v>
      </c>
      <c r="J21" s="45">
        <f t="shared" ca="1" si="2"/>
        <v>0.5503761940249039</v>
      </c>
      <c r="L21" s="58">
        <f ca="1">_xll.EURO(UnderlyingPrice,$D21,IntRate,Yield,$I21,$D$6,L$12,0)</f>
        <v>0.59441014085621502</v>
      </c>
      <c r="M21" s="58">
        <f ca="1">_xll.EURO(UnderlyingPrice,$D21,IntRate,Yield,$I21,$D$6,M$12,0)</f>
        <v>2.1512920266860469E-2</v>
      </c>
      <c r="O21" s="58">
        <f ca="1">_xll.EURO(UnderlyingPrice,$D21*(1+$P$8),IntRate,Yield,$H21,Expiry-Today,O$12,0)</f>
        <v>0.59375956734613444</v>
      </c>
      <c r="P21" s="58">
        <f ca="1">_xll.EURO(UnderlyingPrice,$D21*(1+$P$8),IntRate,Yield,$H21,Expiry-Today,P$12,0)</f>
        <v>2.1586552720646746E-2</v>
      </c>
      <c r="R21" s="58">
        <f ca="1">_xll.EURO(UnderlyingPrice,$D21*(1-$P$8),IntRate,Yield,$J21,Expiry-Today,R$12,0)</f>
        <v>0.59506093122087611</v>
      </c>
      <c r="S21" s="58">
        <f ca="1">_xll.EURO(UnderlyingPrice,$D21*(1-$P$8),IntRate,Yield,$J21,Expiry-Today,S$12,0)</f>
        <v>2.1439504667654929E-2</v>
      </c>
      <c r="U21" s="59">
        <f t="shared" ca="1" si="10"/>
        <v>0.41188317502891464</v>
      </c>
      <c r="V21" s="59"/>
      <c r="W21" s="62">
        <f t="shared" ca="1" si="3"/>
        <v>0.41267601581900598</v>
      </c>
      <c r="X21" s="63"/>
      <c r="Z21" s="59">
        <f t="shared" ca="1" si="11"/>
        <v>0.99095644734274391</v>
      </c>
      <c r="AA21" s="59">
        <f t="shared" ca="1" si="12"/>
        <v>-0.14072239211598278</v>
      </c>
      <c r="AB21" s="59">
        <f t="shared" ca="1" si="4"/>
        <v>-1.9802791642844413E-2</v>
      </c>
      <c r="AC21" s="59">
        <f t="shared" ca="1" si="13"/>
        <v>-0.80411836827270289</v>
      </c>
      <c r="AD21" s="60">
        <f t="shared" ca="1" si="5"/>
        <v>0.44748226726639945</v>
      </c>
      <c r="AE21" s="60">
        <f t="shared" ca="1" si="14"/>
        <v>0.44343543781918743</v>
      </c>
      <c r="AF21" s="60"/>
      <c r="AG21" s="96">
        <f t="shared" ca="1" si="15"/>
        <v>-1.268162740560298</v>
      </c>
      <c r="AH21" s="96">
        <f t="shared" ca="1" si="16"/>
        <v>-1.2663605597955658</v>
      </c>
      <c r="AI21" s="96">
        <f t="shared" ca="1" si="17"/>
        <v>-1.2699652817972329</v>
      </c>
      <c r="AJ21" s="96"/>
      <c r="AK21" s="96">
        <f t="shared" ca="1" si="18"/>
        <v>0.16613637164796127</v>
      </c>
      <c r="AL21" s="96"/>
      <c r="AM21" s="94">
        <v>-2.2999999999999998</v>
      </c>
      <c r="AN21" s="95">
        <f t="shared" ca="1" si="6"/>
        <v>2.8327037741601183E-2</v>
      </c>
      <c r="AX21" s="106">
        <f t="shared" ca="1" si="19"/>
        <v>0.52842500000000003</v>
      </c>
      <c r="AY21" s="106">
        <f t="shared" ca="1" si="20"/>
        <v>0.52841593000000009</v>
      </c>
      <c r="AZ21" s="106">
        <f t="shared" ca="1" si="21"/>
        <v>0.52843407000000009</v>
      </c>
      <c r="BB21" s="109">
        <f ca="1">_xll.EURO(UnderlyingPrice,$D21,IntRate,Yield,AX21,$D$6,1,0)</f>
        <v>0.5913587764750452</v>
      </c>
      <c r="BC21" s="109">
        <f ca="1">_xll.EURO(UnderlyingPrice,$D21*(1+$P$8),IntRate,Yield,AY21,$D$6,1,0)</f>
        <v>0.59070700906606799</v>
      </c>
      <c r="BD21" s="109">
        <f ca="1">_xll.EURO(UnderlyingPrice,$D21*(1-$P$8),IntRate,Yield,AZ21,$D$6,1,0)</f>
        <v>0.59201077024998439</v>
      </c>
      <c r="BF21" s="59">
        <f t="shared" ca="1" si="22"/>
        <v>0.42994863615703238</v>
      </c>
      <c r="BG21" s="62">
        <f t="shared" ca="1" si="23"/>
        <v>0.43077625145441739</v>
      </c>
      <c r="BI21" s="96">
        <f t="shared" ca="1" si="24"/>
        <v>-1.2686311173602278</v>
      </c>
      <c r="BJ21" s="96">
        <f t="shared" ca="1" si="25"/>
        <v>-1.2668283245341039</v>
      </c>
      <c r="BK21" s="96">
        <f t="shared" ca="1" si="26"/>
        <v>-1.2704342707809788</v>
      </c>
      <c r="BL21" s="96"/>
      <c r="BM21" s="96">
        <f t="shared" ca="1" si="27"/>
        <v>0.17336434137154019</v>
      </c>
      <c r="BO21" s="58">
        <f t="shared" ca="1" si="28"/>
        <v>-3.0513643811698188E-3</v>
      </c>
      <c r="BP21" s="46">
        <f t="shared" ca="1" si="29"/>
        <v>-5.1599206819222436E-3</v>
      </c>
    </row>
    <row r="22" spans="3:68" x14ac:dyDescent="0.2">
      <c r="C22" s="56">
        <v>9</v>
      </c>
      <c r="D22" s="63">
        <f t="shared" ca="1" si="30"/>
        <v>3.6440000000000001</v>
      </c>
      <c r="E22" s="45">
        <f t="shared" ca="1" si="7"/>
        <v>-0.13279390766301757</v>
      </c>
      <c r="F22" s="45">
        <f t="shared" ca="1" si="8"/>
        <v>-0.13262046644455017</v>
      </c>
      <c r="G22" s="45">
        <f t="shared" ca="1" si="9"/>
        <v>-0.13296734888148498</v>
      </c>
      <c r="H22" s="45">
        <f t="shared" ca="1" si="0"/>
        <v>0.54916708966581262</v>
      </c>
      <c r="I22" s="45">
        <f t="shared" ca="1" si="1"/>
        <v>0.54921671688273688</v>
      </c>
      <c r="J22" s="45">
        <f t="shared" ca="1" si="2"/>
        <v>0.54926641862367942</v>
      </c>
      <c r="L22" s="58">
        <f ca="1">_xll.EURO(UnderlyingPrice,$D22,IntRate,Yield,$I22,$D$6,L$12,0)</f>
        <v>0.58011571758771563</v>
      </c>
      <c r="M22" s="58">
        <f ca="1">_xll.EURO(UnderlyingPrice,$D22,IntRate,Yield,$I22,$D$6,M$12,0)</f>
        <v>2.3187757502594442E-2</v>
      </c>
      <c r="O22" s="58">
        <f ca="1">_xll.EURO(UnderlyingPrice,$D22*(1+$P$8),IntRate,Yield,$H22,Expiry-Today,O$12,0)</f>
        <v>0.57946720145749042</v>
      </c>
      <c r="P22" s="58">
        <f ca="1">_xll.EURO(UnderlyingPrice,$D22*(1+$P$8),IntRate,Yield,$H22,Expiry-Today,P$12,0)</f>
        <v>2.3266641188336878E-2</v>
      </c>
      <c r="R22" s="58">
        <f ca="1">_xll.EURO(UnderlyingPrice,$D22*(1-$P$8),IntRate,Yield,$J22,Expiry-Today,R$12,0)</f>
        <v>0.58076446324728126</v>
      </c>
      <c r="S22" s="58">
        <f ca="1">_xll.EURO(UnderlyingPrice,$D22*(1-$P$8),IntRate,Yield,$J22,Expiry-Today,S$12,0)</f>
        <v>2.3109103346191817E-2</v>
      </c>
      <c r="U22" s="59">
        <f t="shared" ca="1" si="10"/>
        <v>0.43213702799551984</v>
      </c>
      <c r="V22" s="59"/>
      <c r="W22" s="62">
        <f t="shared" ca="1" si="3"/>
        <v>0.43296885576483735</v>
      </c>
      <c r="X22" s="63"/>
      <c r="Z22" s="59">
        <f t="shared" ca="1" si="11"/>
        <v>0.98660537622378552</v>
      </c>
      <c r="AA22" s="59">
        <f t="shared" ca="1" si="12"/>
        <v>-0.1363219449711611</v>
      </c>
      <c r="AB22" s="59">
        <f t="shared" ca="1" si="4"/>
        <v>-1.8583672680720274E-2</v>
      </c>
      <c r="AC22" s="59">
        <f t="shared" ca="1" si="13"/>
        <v>-0.75461444133986555</v>
      </c>
      <c r="AD22" s="60">
        <f t="shared" ca="1" si="5"/>
        <v>0.47019186633271953</v>
      </c>
      <c r="AE22" s="60">
        <f t="shared" ca="1" si="14"/>
        <v>0.46389382318055661</v>
      </c>
      <c r="AF22" s="60"/>
      <c r="AG22" s="96">
        <f t="shared" ca="1" si="15"/>
        <v>-1.2285067694887688</v>
      </c>
      <c r="AH22" s="96">
        <f t="shared" ca="1" si="16"/>
        <v>-1.2267045887240364</v>
      </c>
      <c r="AI22" s="96">
        <f t="shared" ca="1" si="17"/>
        <v>-1.2303093107257033</v>
      </c>
      <c r="AJ22" s="96"/>
      <c r="AK22" s="96">
        <f t="shared" ca="1" si="18"/>
        <v>0.17507463928452899</v>
      </c>
      <c r="AL22" s="96"/>
      <c r="AM22" s="94">
        <v>-2.2000000000000002</v>
      </c>
      <c r="AN22" s="95">
        <f t="shared" ca="1" si="6"/>
        <v>3.5474592846231418E-2</v>
      </c>
      <c r="AP22" s="56"/>
      <c r="AQ22" s="74" t="s">
        <v>61</v>
      </c>
      <c r="AR22" s="74" t="s">
        <v>62</v>
      </c>
      <c r="AX22" s="106">
        <f t="shared" ca="1" si="19"/>
        <v>0.52822500000000006</v>
      </c>
      <c r="AY22" s="106">
        <f t="shared" ca="1" si="20"/>
        <v>0.52821589000000002</v>
      </c>
      <c r="AZ22" s="106">
        <f t="shared" ca="1" si="21"/>
        <v>0.52823411000000009</v>
      </c>
      <c r="BB22" s="109">
        <f ca="1">_xll.EURO(UnderlyingPrice,$D22,IntRate,Yield,AX22,$D$6,1,0)</f>
        <v>0.57704023267779547</v>
      </c>
      <c r="BC22" s="109">
        <f ca="1">_xll.EURO(UnderlyingPrice,$D22*(1+$P$8),IntRate,Yield,AY22,$D$6,1,0)</f>
        <v>0.57639072772413602</v>
      </c>
      <c r="BD22" s="109">
        <f ca="1">_xll.EURO(UnderlyingPrice,$D22*(1-$P$8),IntRate,Yield,AZ22,$D$6,1,0)</f>
        <v>0.57768997671267153</v>
      </c>
      <c r="BF22" s="59">
        <f t="shared" ca="1" si="22"/>
        <v>0.45012043428303045</v>
      </c>
      <c r="BG22" s="62">
        <f t="shared" ca="1" si="23"/>
        <v>0.45098687861091097</v>
      </c>
      <c r="BI22" s="96">
        <f t="shared" ca="1" si="24"/>
        <v>-1.2289616782230517</v>
      </c>
      <c r="BJ22" s="96">
        <f t="shared" ca="1" si="25"/>
        <v>-1.2271588853969275</v>
      </c>
      <c r="BK22" s="96">
        <f t="shared" ca="1" si="26"/>
        <v>-1.2307648316438025</v>
      </c>
      <c r="BL22" s="96"/>
      <c r="BM22" s="96">
        <f t="shared" ca="1" si="27"/>
        <v>0.18229846738091515</v>
      </c>
      <c r="BO22" s="58">
        <f t="shared" ca="1" si="28"/>
        <v>-3.0754849099201564E-3</v>
      </c>
      <c r="BP22" s="46">
        <f t="shared" ca="1" si="29"/>
        <v>-5.3297581966653415E-3</v>
      </c>
    </row>
    <row r="23" spans="3:68" x14ac:dyDescent="0.2">
      <c r="C23" s="56">
        <v>10</v>
      </c>
      <c r="D23" s="63">
        <f t="shared" ca="1" si="30"/>
        <v>3.66</v>
      </c>
      <c r="E23" s="45">
        <f t="shared" ca="1" si="7"/>
        <v>-0.12898619704902425</v>
      </c>
      <c r="F23" s="45">
        <f t="shared" ca="1" si="8"/>
        <v>-0.12881199428843415</v>
      </c>
      <c r="G23" s="45">
        <f t="shared" ca="1" si="9"/>
        <v>-0.12916039980961436</v>
      </c>
      <c r="H23" s="45">
        <f t="shared" ca="1" si="0"/>
        <v>0.54809606883967432</v>
      </c>
      <c r="I23" s="45">
        <f t="shared" ca="1" si="1"/>
        <v>0.54814428017803329</v>
      </c>
      <c r="J23" s="45">
        <f t="shared" ca="1" si="2"/>
        <v>0.54819256585107423</v>
      </c>
      <c r="L23" s="58">
        <f ca="1">_xll.EURO(UnderlyingPrice,$D23,IntRate,Yield,$I23,$D$6,L$12,0)</f>
        <v>0.56593192817505722</v>
      </c>
      <c r="M23" s="58">
        <f ca="1">_xll.EURO(UnderlyingPrice,$D23,IntRate,Yield,$I23,$D$6,M$12,0)</f>
        <v>2.4973228594168562E-2</v>
      </c>
      <c r="O23" s="58">
        <f ca="1">_xll.EURO(UnderlyingPrice,$D23*(1+$P$8),IntRate,Yield,$H23,Expiry-Today,O$12,0)</f>
        <v>0.56528575194558828</v>
      </c>
      <c r="P23" s="58">
        <f ca="1">_xll.EURO(UnderlyingPrice,$D23*(1+$P$8),IntRate,Yield,$H23,Expiry-Today,P$12,0)</f>
        <v>2.5057646032768111E-2</v>
      </c>
      <c r="R23" s="58">
        <f ca="1">_xll.EURO(UnderlyingPrice,$D23*(1-$P$8),IntRate,Yield,$J23,Expiry-Today,R$12,0)</f>
        <v>0.56657834697687282</v>
      </c>
      <c r="S23" s="58">
        <f ca="1">_xll.EURO(UnderlyingPrice,$D23*(1-$P$8),IntRate,Yield,$J23,Expiry-Today,S$12,0)</f>
        <v>2.4889053727915722E-2</v>
      </c>
      <c r="U23" s="59">
        <f t="shared" ca="1" si="10"/>
        <v>0.4527089989505923</v>
      </c>
      <c r="V23" s="59"/>
      <c r="W23" s="62">
        <f t="shared" ca="1" si="3"/>
        <v>0.45358042604975524</v>
      </c>
      <c r="X23" s="63"/>
      <c r="Z23" s="59">
        <f t="shared" ca="1" si="11"/>
        <v>0.98229234725668713</v>
      </c>
      <c r="AA23" s="59">
        <f t="shared" ca="1" si="12"/>
        <v>-0.13194077695559811</v>
      </c>
      <c r="AB23" s="59">
        <f t="shared" ca="1" si="4"/>
        <v>-1.7408368623646888E-2</v>
      </c>
      <c r="AC23" s="59">
        <f t="shared" ca="1" si="13"/>
        <v>-0.70688967618335097</v>
      </c>
      <c r="AD23" s="60">
        <f t="shared" ca="1" si="5"/>
        <v>0.49317575069619568</v>
      </c>
      <c r="AE23" s="60">
        <f t="shared" ca="1" si="14"/>
        <v>0.48444276576144479</v>
      </c>
      <c r="AF23" s="60"/>
      <c r="AG23" s="96">
        <f t="shared" ca="1" si="15"/>
        <v>-1.1890245381684525</v>
      </c>
      <c r="AH23" s="96">
        <f t="shared" ca="1" si="16"/>
        <v>-1.1872223574037215</v>
      </c>
      <c r="AI23" s="96">
        <f t="shared" ca="1" si="17"/>
        <v>-1.1908270794053863</v>
      </c>
      <c r="AJ23" s="96"/>
      <c r="AK23" s="96">
        <f t="shared" ca="1" si="18"/>
        <v>0.18421441193805077</v>
      </c>
      <c r="AL23" s="96"/>
      <c r="AM23" s="94">
        <v>-2.1</v>
      </c>
      <c r="AN23" s="95">
        <f t="shared" ca="1" si="6"/>
        <v>4.3983595980427184E-2</v>
      </c>
      <c r="AP23" s="74" t="s">
        <v>96</v>
      </c>
      <c r="AQ23" s="98">
        <f ca="1">2*PI()</f>
        <v>6.2831853071795862</v>
      </c>
      <c r="AR23" s="76">
        <f>2*PI()</f>
        <v>6.2831853071795862</v>
      </c>
      <c r="AX23" s="106">
        <f t="shared" ca="1" si="19"/>
        <v>0.52802500000000008</v>
      </c>
      <c r="AY23" s="106">
        <f t="shared" ca="1" si="20"/>
        <v>0.52801585000000006</v>
      </c>
      <c r="AZ23" s="106">
        <f t="shared" ca="1" si="21"/>
        <v>0.52803415000000009</v>
      </c>
      <c r="BB23" s="109">
        <f ca="1">_xll.EURO(UnderlyingPrice,$D23,IntRate,Yield,AX23,$D$6,1,0)</f>
        <v>0.56283692289752985</v>
      </c>
      <c r="BC23" s="109">
        <f ca="1">_xll.EURO(UnderlyingPrice,$D23*(1+$P$8),IntRate,Yield,AY23,$D$6,1,0)</f>
        <v>0.56218996277612598</v>
      </c>
      <c r="BD23" s="109">
        <f ca="1">_xll.EURO(UnderlyingPrice,$D23*(1-$P$8),IntRate,Yield,AZ23,$D$6,1,0)</f>
        <v>0.56348413509294071</v>
      </c>
      <c r="BF23" s="59">
        <f t="shared" ca="1" si="22"/>
        <v>0.47044179992145352</v>
      </c>
      <c r="BG23" s="62">
        <f t="shared" ca="1" si="23"/>
        <v>0.47134736118482762</v>
      </c>
      <c r="BI23" s="96">
        <f t="shared" ca="1" si="24"/>
        <v>-1.1894660378430417</v>
      </c>
      <c r="BJ23" s="96">
        <f t="shared" ca="1" si="25"/>
        <v>-1.1876632450169189</v>
      </c>
      <c r="BK23" s="96">
        <f t="shared" ca="1" si="26"/>
        <v>-1.1912691912637918</v>
      </c>
      <c r="BL23" s="96"/>
      <c r="BM23" s="96">
        <f t="shared" ca="1" si="27"/>
        <v>0.1913651756104236</v>
      </c>
      <c r="BO23" s="58">
        <f t="shared" ca="1" si="28"/>
        <v>-3.095005277527374E-3</v>
      </c>
      <c r="BP23" s="46">
        <f t="shared" ca="1" si="29"/>
        <v>-5.498937883453057E-3</v>
      </c>
    </row>
    <row r="24" spans="3:68" x14ac:dyDescent="0.2">
      <c r="C24" s="56">
        <v>11</v>
      </c>
      <c r="D24" s="63">
        <f t="shared" ca="1" si="30"/>
        <v>3.6760000000000002</v>
      </c>
      <c r="E24" s="45">
        <f t="shared" ca="1" si="7"/>
        <v>-0.12517848643503093</v>
      </c>
      <c r="F24" s="45">
        <f t="shared" ca="1" si="8"/>
        <v>-0.12500352213231791</v>
      </c>
      <c r="G24" s="45">
        <f t="shared" ca="1" si="9"/>
        <v>-0.12535345073774384</v>
      </c>
      <c r="H24" s="45">
        <f t="shared" ca="1" si="0"/>
        <v>0.5470605585322188</v>
      </c>
      <c r="I24" s="45">
        <f t="shared" ca="1" si="1"/>
        <v>0.54710735826659884</v>
      </c>
      <c r="J24" s="45">
        <f t="shared" ca="1" si="2"/>
        <v>0.54715423213438596</v>
      </c>
      <c r="L24" s="58">
        <f ca="1">_xll.EURO(UnderlyingPrice,$D24,IntRate,Yield,$I24,$D$6,L$12,0)</f>
        <v>0.55186403791013205</v>
      </c>
      <c r="M24" s="58">
        <f ca="1">_xll.EURO(UnderlyingPrice,$D24,IntRate,Yield,$I24,$D$6,M$12,0)</f>
        <v>2.6874598833475871E-2</v>
      </c>
      <c r="O24" s="58">
        <f ca="1">_xll.EURO(UnderlyingPrice,$D24*(1+$P$8),IntRate,Yield,$H24,Expiry-Today,O$12,0)</f>
        <v>0.5512204906600795</v>
      </c>
      <c r="P24" s="58">
        <f ca="1">_xll.EURO(UnderlyingPrice,$D24*(1+$P$8),IntRate,Yield,$H24,Expiry-Today,P$12,0)</f>
        <v>2.6964839103593152E-2</v>
      </c>
      <c r="R24" s="58">
        <f ca="1">_xll.EURO(UnderlyingPrice,$D24*(1-$P$8),IntRate,Yield,$J24,Expiry-Today,R$12,0)</f>
        <v>0.55250784112075468</v>
      </c>
      <c r="S24" s="58">
        <f ca="1">_xll.EURO(UnderlyingPrice,$D24*(1-$P$8),IntRate,Yield,$J24,Expiry-Today,S$12,0)</f>
        <v>2.6784614523929662E-2</v>
      </c>
      <c r="U24" s="59">
        <f t="shared" ca="1" si="10"/>
        <v>0.47354589039544043</v>
      </c>
      <c r="V24" s="59"/>
      <c r="W24" s="62">
        <f t="shared" ca="1" si="3"/>
        <v>0.47445742677431602</v>
      </c>
      <c r="X24" s="63"/>
      <c r="Z24" s="59">
        <f t="shared" ca="1" si="11"/>
        <v>0.97801686369953056</v>
      </c>
      <c r="AA24" s="59">
        <f t="shared" ca="1" si="12"/>
        <v>-0.1275787198754324</v>
      </c>
      <c r="AB24" s="59">
        <f t="shared" ca="1" si="4"/>
        <v>-1.627632976505405E-2</v>
      </c>
      <c r="AC24" s="59">
        <f t="shared" ca="1" si="13"/>
        <v>-0.66092175124576302</v>
      </c>
      <c r="AD24" s="60">
        <f t="shared" ca="1" si="5"/>
        <v>0.51637514562781162</v>
      </c>
      <c r="AE24" s="60">
        <f t="shared" ca="1" si="14"/>
        <v>0.50502360041930072</v>
      </c>
      <c r="AF24" s="60"/>
      <c r="AG24" s="96">
        <f t="shared" ca="1" si="15"/>
        <v>-1.1497145308690875</v>
      </c>
      <c r="AH24" s="96">
        <f t="shared" ca="1" si="16"/>
        <v>-1.1479123501043551</v>
      </c>
      <c r="AI24" s="96">
        <f t="shared" ca="1" si="17"/>
        <v>-1.1515170721060213</v>
      </c>
      <c r="AJ24" s="96"/>
      <c r="AK24" s="96">
        <f t="shared" ca="1" si="18"/>
        <v>0.19353564574646553</v>
      </c>
      <c r="AL24" s="96"/>
      <c r="AM24" s="94">
        <v>-2</v>
      </c>
      <c r="AN24" s="95">
        <f t="shared" ca="1" si="6"/>
        <v>5.3990966513188049E-2</v>
      </c>
      <c r="AP24" s="74" t="s">
        <v>77</v>
      </c>
      <c r="AQ24" s="98">
        <f ca="1">AG13</f>
        <v>-1.5918538288569399</v>
      </c>
      <c r="AR24" s="76">
        <f ca="1">AG113</f>
        <v>1.8008885863178365</v>
      </c>
      <c r="AX24" s="106">
        <f t="shared" ca="1" si="19"/>
        <v>0.5278250000000001</v>
      </c>
      <c r="AY24" s="106">
        <f t="shared" ca="1" si="20"/>
        <v>0.52781581000000011</v>
      </c>
      <c r="AZ24" s="106">
        <f t="shared" ca="1" si="21"/>
        <v>0.52783419000000009</v>
      </c>
      <c r="BB24" s="109">
        <f ca="1">_xll.EURO(UnderlyingPrice,$D24,IntRate,Yield,AX24,$D$6,1,0)</f>
        <v>0.54875404824099849</v>
      </c>
      <c r="BC24" s="109">
        <f ca="1">_xll.EURO(UnderlyingPrice,$D24*(1+$P$8),IntRate,Yield,AY24,$D$6,1,0)</f>
        <v>0.54810991986650892</v>
      </c>
      <c r="BD24" s="109">
        <f ca="1">_xll.EURO(UnderlyingPrice,$D24*(1-$P$8),IntRate,Yield,AZ24,$D$6,1,0)</f>
        <v>0.54939844193364973</v>
      </c>
      <c r="BF24" s="59">
        <f t="shared" ca="1" si="22"/>
        <v>0.49085812344922231</v>
      </c>
      <c r="BG24" s="62">
        <f t="shared" ca="1" si="23"/>
        <v>0.49180298443411424</v>
      </c>
      <c r="BI24" s="96">
        <f t="shared" ca="1" si="24"/>
        <v>-1.15014267997516</v>
      </c>
      <c r="BJ24" s="96">
        <f t="shared" ca="1" si="25"/>
        <v>-1.1483398871490358</v>
      </c>
      <c r="BK24" s="96">
        <f t="shared" ca="1" si="26"/>
        <v>-1.1519458333959101</v>
      </c>
      <c r="BL24" s="96"/>
      <c r="BM24" s="96">
        <f t="shared" ca="1" si="27"/>
        <v>0.20054295289031687</v>
      </c>
      <c r="BO24" s="58">
        <f t="shared" ca="1" si="28"/>
        <v>-3.1099896691335616E-3</v>
      </c>
      <c r="BP24" s="46">
        <f t="shared" ca="1" si="29"/>
        <v>-5.6673653326157055E-3</v>
      </c>
    </row>
    <row r="25" spans="3:68" x14ac:dyDescent="0.2">
      <c r="C25" s="56">
        <v>12</v>
      </c>
      <c r="D25" s="63">
        <f t="shared" ca="1" si="30"/>
        <v>3.6920000000000002</v>
      </c>
      <c r="E25" s="45">
        <f t="shared" ca="1" si="7"/>
        <v>-0.1213707758210375</v>
      </c>
      <c r="F25" s="45">
        <f t="shared" ca="1" si="8"/>
        <v>-0.12119504997620179</v>
      </c>
      <c r="G25" s="45">
        <f t="shared" ca="1" si="9"/>
        <v>-0.12154650166587333</v>
      </c>
      <c r="H25" s="45">
        <f t="shared" ca="1" si="0"/>
        <v>0.54606015468616642</v>
      </c>
      <c r="I25" s="45">
        <f t="shared" ca="1" si="1"/>
        <v>0.54610554733349082</v>
      </c>
      <c r="J25" s="45">
        <f t="shared" ca="1" si="2"/>
        <v>0.5461510139009127</v>
      </c>
      <c r="L25" s="58">
        <f ca="1">_xll.EURO(UnderlyingPrice,$D25,IntRate,Yield,$I25,$D$6,L$12,0)</f>
        <v>0.53791737982052368</v>
      </c>
      <c r="M25" s="58">
        <f ca="1">_xll.EURO(UnderlyingPrice,$D25,IntRate,Yield,$I25,$D$6,M$12,0)</f>
        <v>2.889720124810119E-2</v>
      </c>
      <c r="O25" s="58">
        <f ca="1">_xll.EURO(UnderlyingPrice,$D25*(1+$P$8),IntRate,Yield,$H25,Expiry-Today,O$12,0)</f>
        <v>0.53727675659238683</v>
      </c>
      <c r="P25" s="58">
        <f ca="1">_xll.EURO(UnderlyingPrice,$D25*(1+$P$8),IntRate,Yield,$H25,Expiry-Today,P$12,0)</f>
        <v>2.8993559392234913E-2</v>
      </c>
      <c r="R25" s="58">
        <f ca="1">_xll.EURO(UnderlyingPrice,$D25*(1-$P$8),IntRate,Yield,$J25,Expiry-Today,R$12,0)</f>
        <v>0.53855827271651879</v>
      </c>
      <c r="S25" s="58">
        <f ca="1">_xll.EURO(UnderlyingPrice,$D25*(1-$P$8),IntRate,Yield,$J25,Expiry-Today,S$12,0)</f>
        <v>2.8801112771826176E-2</v>
      </c>
      <c r="U25" s="59">
        <f t="shared" ca="1" si="10"/>
        <v>0.49459054515156964</v>
      </c>
      <c r="V25" s="59"/>
      <c r="W25" s="62">
        <f t="shared" ca="1" si="3"/>
        <v>0.4955425907372194</v>
      </c>
      <c r="X25" s="63"/>
      <c r="Z25" s="59">
        <f t="shared" ca="1" si="11"/>
        <v>0.97377843742130954</v>
      </c>
      <c r="AA25" s="59">
        <f t="shared" ca="1" si="12"/>
        <v>-0.12323560772826717</v>
      </c>
      <c r="AB25" s="59">
        <f t="shared" ca="1" si="4"/>
        <v>-1.5187015012155343E-2</v>
      </c>
      <c r="AC25" s="59">
        <f t="shared" ca="1" si="13"/>
        <v>-0.61668869474371146</v>
      </c>
      <c r="AD25" s="60">
        <f t="shared" ca="1" si="5"/>
        <v>0.5397286883075344</v>
      </c>
      <c r="AE25" s="60">
        <f t="shared" ca="1" si="14"/>
        <v>0.52557615873156383</v>
      </c>
      <c r="AF25" s="60"/>
      <c r="AG25" s="96">
        <f t="shared" ca="1" si="15"/>
        <v>-1.1105752516094634</v>
      </c>
      <c r="AH25" s="96">
        <f t="shared" ca="1" si="16"/>
        <v>-1.1087730708447323</v>
      </c>
      <c r="AI25" s="96">
        <f t="shared" ca="1" si="17"/>
        <v>-1.1123777928463985</v>
      </c>
      <c r="AJ25" s="96"/>
      <c r="AK25" s="96">
        <f t="shared" ca="1" si="18"/>
        <v>0.20301629297972651</v>
      </c>
      <c r="AL25" s="96"/>
      <c r="AM25" s="94">
        <v>-1.9</v>
      </c>
      <c r="AN25" s="95">
        <f t="shared" ca="1" si="6"/>
        <v>6.5615814774676581E-2</v>
      </c>
      <c r="AP25" s="74" t="s">
        <v>97</v>
      </c>
      <c r="AQ25" s="98">
        <f ca="1">NORMSDIST(AG13/Gamma)</f>
        <v>6.3073579553019621E-2</v>
      </c>
      <c r="AR25" s="76">
        <f ca="1">NORMSDIST(AG113/Gamma)</f>
        <v>0.95821318372538611</v>
      </c>
      <c r="AX25" s="106">
        <f t="shared" ca="1" si="19"/>
        <v>0.52762500000000012</v>
      </c>
      <c r="AY25" s="106">
        <f t="shared" ca="1" si="20"/>
        <v>0.52761577000000004</v>
      </c>
      <c r="AZ25" s="106">
        <f t="shared" ca="1" si="21"/>
        <v>0.52763423000000009</v>
      </c>
      <c r="BB25" s="109">
        <f ca="1">_xll.EURO(UnderlyingPrice,$D25,IntRate,Yield,AX25,$D$6,1,0)</f>
        <v>0.53479683408346412</v>
      </c>
      <c r="BC25" s="109">
        <f ca="1">_xll.EURO(UnderlyingPrice,$D25*(1+$P$8),IntRate,Yield,AY25,$D$6,1,0)</f>
        <v>0.53415582827543595</v>
      </c>
      <c r="BD25" s="109">
        <f ca="1">_xll.EURO(UnderlyingPrice,$D25*(1-$P$8),IntRate,Yield,AZ25,$D$6,1,0)</f>
        <v>0.53543811867693636</v>
      </c>
      <c r="BF25" s="59">
        <f t="shared" ca="1" si="22"/>
        <v>0.51131286333600201</v>
      </c>
      <c r="BG25" s="62">
        <f t="shared" ca="1" si="23"/>
        <v>0.51229709799070167</v>
      </c>
      <c r="BI25" s="96">
        <f t="shared" ca="1" si="24"/>
        <v>-1.1109901081301268</v>
      </c>
      <c r="BJ25" s="96">
        <f t="shared" ca="1" si="25"/>
        <v>-1.1091873153040039</v>
      </c>
      <c r="BK25" s="96">
        <f t="shared" ca="1" si="26"/>
        <v>-1.1127932615508782</v>
      </c>
      <c r="BL25" s="96"/>
      <c r="BM25" s="96">
        <f t="shared" ca="1" si="27"/>
        <v>0.20980910488293469</v>
      </c>
      <c r="BO25" s="58">
        <f t="shared" ca="1" si="28"/>
        <v>-3.1205457370595546E-3</v>
      </c>
      <c r="BP25" s="46">
        <f t="shared" ca="1" si="29"/>
        <v>-5.8350116122275709E-3</v>
      </c>
    </row>
    <row r="26" spans="3:68" x14ac:dyDescent="0.2">
      <c r="C26" s="56">
        <v>13</v>
      </c>
      <c r="D26" s="63">
        <f t="shared" ca="1" si="30"/>
        <v>3.7080000000000002</v>
      </c>
      <c r="E26" s="45">
        <f t="shared" ca="1" si="7"/>
        <v>-0.11756306520704418</v>
      </c>
      <c r="F26" s="45">
        <f t="shared" ca="1" si="8"/>
        <v>-0.11738657782008566</v>
      </c>
      <c r="G26" s="45">
        <f t="shared" ca="1" si="9"/>
        <v>-0.11773955259400282</v>
      </c>
      <c r="H26" s="45">
        <f t="shared" ca="1" si="0"/>
        <v>0.54509445324423678</v>
      </c>
      <c r="I26" s="45">
        <f t="shared" ca="1" si="1"/>
        <v>0.54513844356376684</v>
      </c>
      <c r="J26" s="45">
        <f t="shared" ca="1" si="2"/>
        <v>0.54518250757795239</v>
      </c>
      <c r="L26" s="58">
        <f ca="1">_xll.EURO(UnderlyingPrice,$D26,IntRate,Yield,$I26,$D$6,L$12,0)</f>
        <v>0.52409734004087705</v>
      </c>
      <c r="M26" s="58">
        <f ca="1">_xll.EURO(UnderlyingPrice,$D26,IntRate,Yield,$I26,$D$6,M$12,0)</f>
        <v>3.1046421972687588E-2</v>
      </c>
      <c r="O26" s="58">
        <f ca="1">_xll.EURO(UnderlyingPrice,$D26*(1+$P$8),IntRate,Yield,$H26,Expiry-Today,O$12,0)</f>
        <v>0.52345994118726624</v>
      </c>
      <c r="P26" s="58">
        <f ca="1">_xll.EURO(UnderlyingPrice,$D26*(1+$P$8),IntRate,Yield,$H26,Expiry-Today,P$12,0)</f>
        <v>3.1149198343447981E-2</v>
      </c>
      <c r="R26" s="58">
        <f ca="1">_xll.EURO(UnderlyingPrice,$D26*(1-$P$8),IntRate,Yield,$J26,Expiry-Today,R$12,0)</f>
        <v>0.5247350225594416</v>
      </c>
      <c r="S26" s="58">
        <f ca="1">_xll.EURO(UnderlyingPrice,$D26*(1-$P$8),IntRate,Yield,$J26,Expiry-Today,S$12,0)</f>
        <v>3.0943929266880499E-2</v>
      </c>
      <c r="U26" s="59">
        <f t="shared" ca="1" si="10"/>
        <v>0.51578206976850061</v>
      </c>
      <c r="V26" s="59"/>
      <c r="W26" s="62">
        <f t="shared" ca="1" si="3"/>
        <v>0.5167749072731681</v>
      </c>
      <c r="X26" s="63"/>
      <c r="Z26" s="59">
        <f t="shared" ca="1" si="11"/>
        <v>0.96957658871614738</v>
      </c>
      <c r="AA26" s="59">
        <f t="shared" ca="1" si="12"/>
        <v>-0.11891127666526419</v>
      </c>
      <c r="AB26" s="59">
        <f t="shared" ca="1" si="4"/>
        <v>-1.4139891718163003E-2</v>
      </c>
      <c r="AC26" s="59">
        <f t="shared" ca="1" si="13"/>
        <v>-0.57416887785467641</v>
      </c>
      <c r="AD26" s="60">
        <f t="shared" ca="1" si="5"/>
        <v>0.5631727396866949</v>
      </c>
      <c r="AE26" s="60">
        <f t="shared" ca="1" si="14"/>
        <v>0.54603910380335252</v>
      </c>
      <c r="AF26" s="60"/>
      <c r="AG26" s="96">
        <f t="shared" ca="1" si="15"/>
        <v>-1.0716052238158196</v>
      </c>
      <c r="AH26" s="96">
        <f t="shared" ca="1" si="16"/>
        <v>-1.0698030430510883</v>
      </c>
      <c r="AI26" s="96">
        <f t="shared" ca="1" si="17"/>
        <v>-1.0734077650527549</v>
      </c>
      <c r="AJ26" s="96"/>
      <c r="AK26" s="96">
        <f t="shared" ca="1" si="18"/>
        <v>0.21263235892065643</v>
      </c>
      <c r="AL26" s="96"/>
      <c r="AM26" s="94">
        <v>-1.8</v>
      </c>
      <c r="AN26" s="95">
        <f t="shared" ca="1" si="6"/>
        <v>7.8950158300894135E-2</v>
      </c>
      <c r="AP26" s="74" t="s">
        <v>98</v>
      </c>
      <c r="AQ26" s="98">
        <f ca="1">EXP(((Gamma*AG13)^2)/2)</f>
        <v>3.945033359088832</v>
      </c>
      <c r="AR26" s="76">
        <f ca="1">EXP(((Gamma*AG113)^2)/2)</f>
        <v>5.7925520747067507</v>
      </c>
      <c r="AX26" s="106">
        <f t="shared" ca="1" si="19"/>
        <v>0.52753000000000005</v>
      </c>
      <c r="AY26" s="106">
        <f t="shared" ca="1" si="20"/>
        <v>0.5275337080000001</v>
      </c>
      <c r="AZ26" s="106">
        <f t="shared" ca="1" si="21"/>
        <v>0.52752629200000012</v>
      </c>
      <c r="BB26" s="109">
        <f ca="1">_xll.EURO(UnderlyingPrice,$D26,IntRate,Yield,AX26,$D$6,1,0)</f>
        <v>0.5209886699132884</v>
      </c>
      <c r="BC26" s="109">
        <f ca="1">_xll.EURO(UnderlyingPrice,$D26*(1+$P$8),IntRate,Yield,AY26,$D$6,1,0)</f>
        <v>0.52035336837711155</v>
      </c>
      <c r="BD26" s="109">
        <f ca="1">_xll.EURO(UnderlyingPrice,$D26*(1-$P$8),IntRate,Yield,AZ26,$D$6,1,0)</f>
        <v>0.52162427354104945</v>
      </c>
      <c r="BF26" s="59">
        <f t="shared" ca="1" si="22"/>
        <v>0.54928682762992698</v>
      </c>
      <c r="BG26" s="62">
        <f t="shared" ca="1" si="23"/>
        <v>0.55034415900155753</v>
      </c>
      <c r="BI26" s="96">
        <f t="shared" ca="1" si="24"/>
        <v>-1.0720068452327041</v>
      </c>
      <c r="BJ26" s="96">
        <f t="shared" ca="1" si="25"/>
        <v>-1.070204052406581</v>
      </c>
      <c r="BK26" s="96">
        <f t="shared" ca="1" si="26"/>
        <v>-1.0738099986534557</v>
      </c>
      <c r="BL26" s="96"/>
      <c r="BM26" s="96">
        <f t="shared" ca="1" si="27"/>
        <v>0.22636789368077093</v>
      </c>
      <c r="BO26" s="58">
        <f t="shared" ca="1" si="28"/>
        <v>-3.1086701275886419E-3</v>
      </c>
      <c r="BP26" s="46">
        <f t="shared" ca="1" si="29"/>
        <v>-5.9668670493468476E-3</v>
      </c>
    </row>
    <row r="27" spans="3:68" x14ac:dyDescent="0.2">
      <c r="C27" s="56">
        <v>14</v>
      </c>
      <c r="D27" s="63">
        <f t="shared" ca="1" si="30"/>
        <v>3.7240000000000002</v>
      </c>
      <c r="E27" s="45">
        <f t="shared" ca="1" si="7"/>
        <v>-0.11375535459305086</v>
      </c>
      <c r="F27" s="45">
        <f t="shared" ca="1" si="8"/>
        <v>-0.11357810566396942</v>
      </c>
      <c r="G27" s="45">
        <f t="shared" ca="1" si="9"/>
        <v>-0.1139326035221323</v>
      </c>
      <c r="H27" s="45">
        <f t="shared" ca="1" si="0"/>
        <v>0.54416305014914979</v>
      </c>
      <c r="I27" s="45">
        <f t="shared" ca="1" si="1"/>
        <v>0.54420564314248421</v>
      </c>
      <c r="J27" s="45">
        <f t="shared" ca="1" si="2"/>
        <v>0.54424830959280246</v>
      </c>
      <c r="L27" s="58">
        <f ca="1">_xll.EURO(UnderlyingPrice,$D27,IntRate,Yield,$I27,$D$6,L$12,0)</f>
        <v>0.5104093422312701</v>
      </c>
      <c r="M27" s="58">
        <f ca="1">_xll.EURO(UnderlyingPrice,$D27,IntRate,Yield,$I27,$D$6,M$12,0)</f>
        <v>3.3327684667313506E-2</v>
      </c>
      <c r="O27" s="58">
        <f ca="1">_xll.EURO(UnderlyingPrice,$D27*(1+$P$8),IntRate,Yield,$H27,Expiry-Today,O$12,0)</f>
        <v>0.50977547270335366</v>
      </c>
      <c r="P27" s="58">
        <f ca="1">_xll.EURO(UnderlyingPrice,$D27*(1+$P$8),IntRate,Yield,$H27,Expiry-Today,P$12,0)</f>
        <v>3.343718421586872E-2</v>
      </c>
      <c r="R27" s="58">
        <f ca="1">_xll.EURO(UnderlyingPrice,$D27*(1-$P$8),IntRate,Yield,$J27,Expiry-Today,R$12,0)</f>
        <v>0.51104350967874668</v>
      </c>
      <c r="S27" s="58">
        <f ca="1">_xll.EURO(UnderlyingPrice,$D27*(1-$P$8),IntRate,Yield,$J27,Expiry-Today,S$12,0)</f>
        <v>3.3218483038317315E-2</v>
      </c>
      <c r="U27" s="59">
        <f t="shared" ca="1" si="10"/>
        <v>0.5370561350906885</v>
      </c>
      <c r="V27" s="59"/>
      <c r="W27" s="62">
        <f t="shared" ca="1" si="3"/>
        <v>0.53808992339835326</v>
      </c>
      <c r="X27" s="63"/>
      <c r="Z27" s="59">
        <f t="shared" ca="1" si="11"/>
        <v>0.96541084612230799</v>
      </c>
      <c r="AA27" s="59">
        <f t="shared" ca="1" si="12"/>
        <v>-0.1146055649540523</v>
      </c>
      <c r="AB27" s="59">
        <f t="shared" ca="1" si="4"/>
        <v>-1.3134435518437501E-2</v>
      </c>
      <c r="AC27" s="59">
        <f t="shared" ca="1" si="13"/>
        <v>-0.53334100806364659</v>
      </c>
      <c r="AD27" s="60">
        <f t="shared" ca="1" si="5"/>
        <v>0.58664171717578484</v>
      </c>
      <c r="AE27" s="60">
        <f t="shared" ca="1" si="14"/>
        <v>0.56635027654931813</v>
      </c>
      <c r="AF27" s="60"/>
      <c r="AG27" s="96">
        <f t="shared" ca="1" si="15"/>
        <v>-1.0328029899875839</v>
      </c>
      <c r="AH27" s="96">
        <f t="shared" ca="1" si="16"/>
        <v>-1.0310008092228513</v>
      </c>
      <c r="AI27" s="96">
        <f t="shared" ca="1" si="17"/>
        <v>-1.034605531224519</v>
      </c>
      <c r="AJ27" s="96"/>
      <c r="AK27" s="96">
        <f t="shared" ca="1" si="18"/>
        <v>0.22235799307778933</v>
      </c>
      <c r="AL27" s="96"/>
      <c r="AM27" s="94">
        <v>-1.7</v>
      </c>
      <c r="AN27" s="95">
        <f t="shared" ca="1" si="6"/>
        <v>9.4049077376886933E-2</v>
      </c>
      <c r="AP27" s="74" t="s">
        <v>81</v>
      </c>
      <c r="AQ27" s="98">
        <f ca="1">AK13*SQRT(2*PI())*EXP(((Gamma*AG13)^2)/2)</f>
        <v>1.0246075821134843</v>
      </c>
      <c r="AR27" s="76">
        <f ca="1">AK113*SQRT(2*PI())*EXP(((Gamma*AG113)^2)/2)</f>
        <v>1.0874581357311932</v>
      </c>
      <c r="AX27" s="106">
        <f t="shared" ca="1" si="19"/>
        <v>0.52761000000000002</v>
      </c>
      <c r="AY27" s="106">
        <f t="shared" ca="1" si="20"/>
        <v>0.52761372400000006</v>
      </c>
      <c r="AZ27" s="106">
        <f t="shared" ca="1" si="21"/>
        <v>0.5276062760000001</v>
      </c>
      <c r="BB27" s="109">
        <f ca="1">_xll.EURO(UnderlyingPrice,$D27,IntRate,Yield,AX27,$D$6,1,0)</f>
        <v>0.5073499832881061</v>
      </c>
      <c r="BC27" s="109">
        <f ca="1">_xll.EURO(UnderlyingPrice,$D27*(1+$P$8),IntRate,Yield,AY27,$D$6,1,0)</f>
        <v>0.50671861516207262</v>
      </c>
      <c r="BD27" s="109">
        <f ca="1">_xll.EURO(UnderlyingPrice,$D27*(1-$P$8),IntRate,Yield,AZ27,$D$6,1,0)</f>
        <v>0.50798166751732676</v>
      </c>
      <c r="BF27" s="59">
        <f t="shared" ca="1" si="22"/>
        <v>0.56983554863528363</v>
      </c>
      <c r="BG27" s="62">
        <f t="shared" ca="1" si="23"/>
        <v>0.57093243458254384</v>
      </c>
      <c r="BI27" s="96">
        <f t="shared" ca="1" si="24"/>
        <v>-1.0331914332873191</v>
      </c>
      <c r="BJ27" s="96">
        <f t="shared" ca="1" si="25"/>
        <v>-1.0313886404611947</v>
      </c>
      <c r="BK27" s="96">
        <f t="shared" ca="1" si="26"/>
        <v>-1.0349945867080705</v>
      </c>
      <c r="BL27" s="96"/>
      <c r="BM27" s="96">
        <f t="shared" ca="1" si="27"/>
        <v>0.23584959295801844</v>
      </c>
      <c r="BO27" s="58">
        <f t="shared" ca="1" si="28"/>
        <v>-3.0593589431640034E-3</v>
      </c>
      <c r="BP27" s="46">
        <f t="shared" ca="1" si="29"/>
        <v>-6.030075971100805E-3</v>
      </c>
    </row>
    <row r="28" spans="3:68" x14ac:dyDescent="0.2">
      <c r="C28" s="56">
        <v>15</v>
      </c>
      <c r="D28" s="63">
        <f t="shared" ca="1" si="30"/>
        <v>3.74</v>
      </c>
      <c r="E28" s="45">
        <f t="shared" ca="1" si="7"/>
        <v>-0.10994764397905754</v>
      </c>
      <c r="F28" s="45">
        <f t="shared" ca="1" si="8"/>
        <v>-0.1097696335078534</v>
      </c>
      <c r="G28" s="45">
        <f t="shared" ca="1" si="9"/>
        <v>-0.11012565445026168</v>
      </c>
      <c r="H28" s="45">
        <f t="shared" ca="1" si="0"/>
        <v>0.54326554134362537</v>
      </c>
      <c r="I28" s="45">
        <f t="shared" ca="1" si="1"/>
        <v>0.54330674225470021</v>
      </c>
      <c r="J28" s="45">
        <f t="shared" ca="1" si="2"/>
        <v>0.54334801637276131</v>
      </c>
      <c r="L28" s="58">
        <f ca="1">_xll.EURO(UnderlyingPrice,$D28,IntRate,Yield,$I28,$D$6,L$12,0)</f>
        <v>0.4968588311160782</v>
      </c>
      <c r="M28" s="58">
        <f ca="1">_xll.EURO(UnderlyingPrice,$D28,IntRate,Yield,$I28,$D$6,M$12,0)</f>
        <v>3.5746434056353915E-2</v>
      </c>
      <c r="O28" s="58">
        <f ca="1">_xll.EURO(UnderlyingPrice,$D28*(1+$P$8),IntRate,Yield,$H28,Expiry-Today,O$12,0)</f>
        <v>0.4962287996968211</v>
      </c>
      <c r="P28" s="58">
        <f ca="1">_xll.EURO(UnderlyingPrice,$D28*(1+$P$8),IntRate,Yield,$H28,Expiry-Today,P$12,0)</f>
        <v>3.5862965565669702E-2</v>
      </c>
      <c r="R28" s="58">
        <f ca="1">_xll.EURO(UnderlyingPrice,$D28*(1-$P$8),IntRate,Yield,$J28,Expiry-Today,R$12,0)</f>
        <v>0.49748917493176448</v>
      </c>
      <c r="S28" s="58">
        <f ca="1">_xll.EURO(UnderlyingPrice,$D28*(1-$P$8),IntRate,Yield,$J28,Expiry-Today,S$12,0)</f>
        <v>3.5630214943467742E-2</v>
      </c>
      <c r="U28" s="59">
        <f t="shared" ca="1" si="10"/>
        <v>0.55834530078351763</v>
      </c>
      <c r="V28" s="59"/>
      <c r="W28" s="62">
        <f t="shared" ca="1" si="3"/>
        <v>0.55942006896113483</v>
      </c>
      <c r="X28" s="63"/>
      <c r="Z28" s="59">
        <f t="shared" ca="1" si="11"/>
        <v>0.96128074624584881</v>
      </c>
      <c r="AA28" s="59">
        <f t="shared" ca="1" si="12"/>
        <v>-0.1103183129424324</v>
      </c>
      <c r="AB28" s="59">
        <f t="shared" ca="1" si="4"/>
        <v>-1.2170130170464448E-2</v>
      </c>
      <c r="AC28" s="59">
        <f t="shared" ca="1" si="13"/>
        <v>-0.49418412266517187</v>
      </c>
      <c r="AD28" s="60">
        <f t="shared" ca="1" si="5"/>
        <v>0.61006844532094262</v>
      </c>
      <c r="AE28" s="60">
        <f t="shared" ca="1" si="14"/>
        <v>0.58644705037916056</v>
      </c>
      <c r="AF28" s="60"/>
      <c r="AG28" s="96">
        <f t="shared" ca="1" si="15"/>
        <v>-0.99416711137028857</v>
      </c>
      <c r="AH28" s="96">
        <f t="shared" ca="1" si="16"/>
        <v>-0.99236493060555697</v>
      </c>
      <c r="AI28" s="96">
        <f t="shared" ca="1" si="17"/>
        <v>-0.99596965260722259</v>
      </c>
      <c r="AJ28" s="96"/>
      <c r="AK28" s="96">
        <f t="shared" ca="1" si="18"/>
        <v>0.23216559356842464</v>
      </c>
      <c r="AL28" s="96"/>
      <c r="AM28" s="94">
        <v>-1.6</v>
      </c>
      <c r="AN28" s="95">
        <f t="shared" ca="1" si="6"/>
        <v>0.11092083467945553</v>
      </c>
      <c r="AP28" s="74" t="s">
        <v>83</v>
      </c>
      <c r="AQ28" s="99">
        <v>1.0407855397352697</v>
      </c>
      <c r="AR28" s="100"/>
      <c r="AX28" s="106">
        <f t="shared" ca="1" si="19"/>
        <v>0.5276900000000001</v>
      </c>
      <c r="AY28" s="106">
        <f t="shared" ca="1" si="20"/>
        <v>0.52769374000000002</v>
      </c>
      <c r="AZ28" s="106">
        <f t="shared" ca="1" si="21"/>
        <v>0.52768626000000007</v>
      </c>
      <c r="BB28" s="109">
        <f ca="1">_xll.EURO(UnderlyingPrice,$D28,IntRate,Yield,AX28,$D$6,1,0)</f>
        <v>0.49385716958873527</v>
      </c>
      <c r="BC28" s="109">
        <f ca="1">_xll.EURO(UnderlyingPrice,$D28*(1+$P$8),IntRate,Yield,AY28,$D$6,1,0)</f>
        <v>0.49323003680558575</v>
      </c>
      <c r="BD28" s="109">
        <f ca="1">_xll.EURO(UnderlyingPrice,$D28*(1-$P$8),IntRate,Yield,AZ28,$D$6,1,0)</f>
        <v>0.49448463256349884</v>
      </c>
      <c r="BF28" s="59">
        <f t="shared" ca="1" si="22"/>
        <v>0.59015058703921652</v>
      </c>
      <c r="BG28" s="62">
        <f t="shared" ca="1" si="23"/>
        <v>0.59128657774257121</v>
      </c>
      <c r="BI28" s="96">
        <f t="shared" ca="1" si="24"/>
        <v>-0.99454243305087076</v>
      </c>
      <c r="BJ28" s="96">
        <f t="shared" ca="1" si="25"/>
        <v>-0.99273964022474737</v>
      </c>
      <c r="BK28" s="96">
        <f t="shared" ca="1" si="26"/>
        <v>-0.99634558647162119</v>
      </c>
      <c r="BL28" s="96"/>
      <c r="BM28" s="96">
        <f t="shared" ca="1" si="27"/>
        <v>0.2453072396932594</v>
      </c>
      <c r="BO28" s="58">
        <f t="shared" ca="1" si="28"/>
        <v>-3.0016615273429359E-3</v>
      </c>
      <c r="BP28" s="46">
        <f t="shared" ca="1" si="29"/>
        <v>-6.0779952427188633E-3</v>
      </c>
    </row>
    <row r="29" spans="3:68" x14ac:dyDescent="0.2">
      <c r="C29" s="56">
        <v>16</v>
      </c>
      <c r="D29" s="63">
        <f t="shared" ca="1" si="30"/>
        <v>3.7560000000000002</v>
      </c>
      <c r="E29" s="45">
        <f t="shared" ca="1" si="7"/>
        <v>-0.10613993336506422</v>
      </c>
      <c r="F29" s="45">
        <f t="shared" ca="1" si="8"/>
        <v>-0.10596116135173728</v>
      </c>
      <c r="G29" s="45">
        <f t="shared" ca="1" si="9"/>
        <v>-0.10631870537839117</v>
      </c>
      <c r="H29" s="45">
        <f t="shared" ca="1" si="0"/>
        <v>0.54240152277038378</v>
      </c>
      <c r="I29" s="45">
        <f t="shared" ca="1" si="1"/>
        <v>0.54244133708547215</v>
      </c>
      <c r="J29" s="45">
        <f t="shared" ca="1" si="2"/>
        <v>0.54248122434512625</v>
      </c>
      <c r="L29" s="58">
        <f ca="1">_xll.EURO(UnderlyingPrice,$D29,IntRate,Yield,$I29,$D$6,L$12,0)</f>
        <v>0.48345125522871379</v>
      </c>
      <c r="M29" s="58">
        <f ca="1">_xll.EURO(UnderlyingPrice,$D29,IntRate,Yield,$I29,$D$6,M$12,0)</f>
        <v>3.8308118673223146E-2</v>
      </c>
      <c r="O29" s="58">
        <f ca="1">_xll.EURO(UnderlyingPrice,$D29*(1+$P$8),IntRate,Yield,$H29,Expiry-Today,O$12,0)</f>
        <v>0.48282537371421697</v>
      </c>
      <c r="P29" s="58">
        <f ca="1">_xll.EURO(UnderlyingPrice,$D29*(1+$P$8),IntRate,Yield,$H29,Expiry-Today,P$12,0)</f>
        <v>3.8431993939399778E-2</v>
      </c>
      <c r="R29" s="58">
        <f ca="1">_xll.EURO(UnderlyingPrice,$D29*(1-$P$8),IntRate,Yield,$J29,Expiry-Today,R$12,0)</f>
        <v>0.48407746380071126</v>
      </c>
      <c r="S29" s="58">
        <f ca="1">_xll.EURO(UnderlyingPrice,$D29*(1-$P$8),IntRate,Yield,$J29,Expiry-Today,S$12,0)</f>
        <v>3.8184570464546597E-2</v>
      </c>
      <c r="U29" s="59">
        <f t="shared" ca="1" si="10"/>
        <v>0.57957941882542574</v>
      </c>
      <c r="V29" s="59"/>
      <c r="W29" s="62">
        <f t="shared" ca="1" si="3"/>
        <v>0.58069506091085443</v>
      </c>
      <c r="X29" s="63"/>
      <c r="Z29" s="59">
        <f t="shared" ca="1" si="11"/>
        <v>0.95718583358878462</v>
      </c>
      <c r="AA29" s="59">
        <f t="shared" ca="1" si="12"/>
        <v>-0.1060493630228565</v>
      </c>
      <c r="AB29" s="59">
        <f t="shared" ca="1" si="4"/>
        <v>-1.1246467397553604E-2</v>
      </c>
      <c r="AC29" s="59">
        <f t="shared" ca="1" si="13"/>
        <v>-0.45667758241655548</v>
      </c>
      <c r="AD29" s="60">
        <f t="shared" ca="1" si="5"/>
        <v>0.63338452145195367</v>
      </c>
      <c r="AE29" s="60">
        <f t="shared" ca="1" si="14"/>
        <v>0.60626669114822174</v>
      </c>
      <c r="AF29" s="60"/>
      <c r="AG29" s="96">
        <f t="shared" ca="1" si="15"/>
        <v>-0.95569616763546295</v>
      </c>
      <c r="AH29" s="96">
        <f t="shared" ca="1" si="16"/>
        <v>-0.95389398687073135</v>
      </c>
      <c r="AI29" s="96">
        <f t="shared" ca="1" si="17"/>
        <v>-0.95749870887239719</v>
      </c>
      <c r="AJ29" s="96"/>
      <c r="AK29" s="96">
        <f t="shared" ca="1" si="18"/>
        <v>0.24202594793975557</v>
      </c>
      <c r="AL29" s="96"/>
      <c r="AM29" s="94">
        <v>-1.5</v>
      </c>
      <c r="AN29" s="95">
        <f t="shared" ca="1" si="6"/>
        <v>0.12951759566589172</v>
      </c>
      <c r="AP29" s="74" t="s">
        <v>85</v>
      </c>
      <c r="AQ29" s="98">
        <f ca="1">AQ15</f>
        <v>0.90411741618226571</v>
      </c>
      <c r="AR29" s="100"/>
      <c r="AX29" s="106">
        <f t="shared" ca="1" si="19"/>
        <v>0.52777000000000007</v>
      </c>
      <c r="AY29" s="106">
        <f t="shared" ca="1" si="20"/>
        <v>0.52777375600000009</v>
      </c>
      <c r="AZ29" s="106">
        <f t="shared" ca="1" si="21"/>
        <v>0.52776624400000005</v>
      </c>
      <c r="BB29" s="109">
        <f ca="1">_xll.EURO(UnderlyingPrice,$D29,IntRate,Yield,AX29,$D$6,1,0)</f>
        <v>0.48051542808000569</v>
      </c>
      <c r="BC29" s="109">
        <f ca="1">_xll.EURO(UnderlyingPrice,$D29*(1+$P$8),IntRate,Yield,AY29,$D$6,1,0)</f>
        <v>0.47989283249242343</v>
      </c>
      <c r="BD29" s="109">
        <f ca="1">_xll.EURO(UnderlyingPrice,$D29*(1-$P$8),IntRate,Yield,AZ29,$D$6,1,0)</f>
        <v>0.48113836798564291</v>
      </c>
      <c r="BF29" s="59">
        <f t="shared" ca="1" si="22"/>
        <v>0.61016689051283646</v>
      </c>
      <c r="BG29" s="62">
        <f t="shared" ca="1" si="23"/>
        <v>0.61134141093243799</v>
      </c>
      <c r="BI29" s="96">
        <f t="shared" ca="1" si="24"/>
        <v>-0.95605842371251271</v>
      </c>
      <c r="BJ29" s="96">
        <f t="shared" ca="1" si="25"/>
        <v>-0.95425563088638921</v>
      </c>
      <c r="BK29" s="96">
        <f t="shared" ca="1" si="26"/>
        <v>-0.95786157713326314</v>
      </c>
      <c r="BL29" s="96"/>
      <c r="BM29" s="96">
        <f t="shared" ca="1" si="27"/>
        <v>0.25471243132954136</v>
      </c>
      <c r="BO29" s="58">
        <f t="shared" ca="1" si="28"/>
        <v>-2.9358271487081034E-3</v>
      </c>
      <c r="BP29" s="46">
        <f t="shared" ca="1" si="29"/>
        <v>-6.1097458627681961E-3</v>
      </c>
    </row>
    <row r="30" spans="3:68" x14ac:dyDescent="0.2">
      <c r="C30" s="56">
        <v>17</v>
      </c>
      <c r="D30" s="63">
        <f t="shared" ca="1" si="30"/>
        <v>3.7720000000000002</v>
      </c>
      <c r="E30" s="45">
        <f t="shared" ca="1" si="7"/>
        <v>-0.1023322227510709</v>
      </c>
      <c r="F30" s="45">
        <f t="shared" ca="1" si="8"/>
        <v>-0.10215268919562104</v>
      </c>
      <c r="G30" s="45">
        <f t="shared" ca="1" si="9"/>
        <v>-0.10251175630652065</v>
      </c>
      <c r="H30" s="45">
        <f t="shared" ca="1" si="0"/>
        <v>0.5415705903721445</v>
      </c>
      <c r="I30" s="45">
        <f t="shared" ca="1" si="1"/>
        <v>0.54160902381985743</v>
      </c>
      <c r="J30" s="45">
        <f t="shared" ca="1" si="2"/>
        <v>0.54164752993719556</v>
      </c>
      <c r="L30" s="58">
        <f ca="1">_xll.EURO(UnderlyingPrice,$D30,IntRate,Yield,$I30,$D$6,L$12,0)</f>
        <v>0.47019204895908695</v>
      </c>
      <c r="M30" s="58">
        <f ca="1">_xll.EURO(UnderlyingPrice,$D30,IntRate,Yield,$I30,$D$6,M$12,0)</f>
        <v>4.1018172907828609E-2</v>
      </c>
      <c r="O30" s="58">
        <f ca="1">_xll.EURO(UnderlyingPrice,$D30*(1+$P$8),IntRate,Yield,$H30,Expiry-Today,O$12,0)</f>
        <v>0.4695706312919512</v>
      </c>
      <c r="P30" s="58">
        <f ca="1">_xll.EURO(UnderlyingPrice,$D30*(1+$P$8),IntRate,Yield,$H30,Expiry-Today,P$12,0)</f>
        <v>4.1149705873467224E-2</v>
      </c>
      <c r="R30" s="58">
        <f ca="1">_xll.EURO(UnderlyingPrice,$D30*(1-$P$8),IntRate,Yield,$J30,Expiry-Today,R$12,0)</f>
        <v>0.47081380848825605</v>
      </c>
      <c r="S30" s="58">
        <f ca="1">_xll.EURO(UnderlyingPrice,$D30*(1-$P$8),IntRate,Yield,$J30,Expiry-Today,S$12,0)</f>
        <v>4.0886981804223232E-2</v>
      </c>
      <c r="U30" s="59">
        <f t="shared" ca="1" si="10"/>
        <v>0.60068600257844962</v>
      </c>
      <c r="V30" s="59"/>
      <c r="W30" s="62">
        <f t="shared" ca="1" si="3"/>
        <v>0.601842273078811</v>
      </c>
      <c r="X30" s="63"/>
      <c r="Z30" s="59">
        <f t="shared" ca="1" si="11"/>
        <v>0.95312566038162105</v>
      </c>
      <c r="AA30" s="59">
        <f t="shared" ca="1" si="12"/>
        <v>-0.10179855959766193</v>
      </c>
      <c r="AB30" s="59">
        <f t="shared" ca="1" si="4"/>
        <v>-1.0362946736158727E-2</v>
      </c>
      <c r="AC30" s="59">
        <f t="shared" ca="1" si="13"/>
        <v>-0.42080106533807654</v>
      </c>
      <c r="AD30" s="60">
        <f t="shared" ca="1" si="5"/>
        <v>0.65652069314126527</v>
      </c>
      <c r="AE30" s="60">
        <f t="shared" ca="1" si="14"/>
        <v>0.625746719204468</v>
      </c>
      <c r="AF30" s="60"/>
      <c r="AG30" s="96">
        <f t="shared" ca="1" si="15"/>
        <v>-0.91738875656733077</v>
      </c>
      <c r="AH30" s="96">
        <f t="shared" ca="1" si="16"/>
        <v>-0.91558657580259784</v>
      </c>
      <c r="AI30" s="96">
        <f t="shared" ca="1" si="17"/>
        <v>-0.91919129780426501</v>
      </c>
      <c r="AJ30" s="96"/>
      <c r="AK30" s="96">
        <f t="shared" ca="1" si="18"/>
        <v>0.25190836386310395</v>
      </c>
      <c r="AL30" s="96"/>
      <c r="AM30" s="94">
        <v>-1.4</v>
      </c>
      <c r="AN30" s="95">
        <f t="shared" ca="1" si="6"/>
        <v>0.14972746563574485</v>
      </c>
      <c r="AP30" s="74" t="s">
        <v>87</v>
      </c>
      <c r="AQ30" s="98">
        <f ca="1">1-AQ29</f>
        <v>9.588258381773429E-2</v>
      </c>
      <c r="AR30" s="76"/>
      <c r="AX30" s="106">
        <f t="shared" ca="1" si="19"/>
        <v>0.52785000000000004</v>
      </c>
      <c r="AY30" s="106">
        <f t="shared" ca="1" si="20"/>
        <v>0.52785377200000005</v>
      </c>
      <c r="AZ30" s="106">
        <f t="shared" ca="1" si="21"/>
        <v>0.52784622800000003</v>
      </c>
      <c r="BB30" s="109">
        <f ca="1">_xll.EURO(UnderlyingPrice,$D30,IntRate,Yield,AX30,$D$6,1,0)</f>
        <v>0.46732988155977129</v>
      </c>
      <c r="BC30" s="109">
        <f ca="1">_xll.EURO(UnderlyingPrice,$D30*(1+$P$8),IntRate,Yield,AY30,$D$6,1,0)</f>
        <v>0.4667121241022012</v>
      </c>
      <c r="BD30" s="109">
        <f ca="1">_xll.EURO(UnderlyingPrice,$D30*(1-$P$8),IntRate,Yield,AZ30,$D$6,1,0)</f>
        <v>0.46794799745999338</v>
      </c>
      <c r="BF30" s="59">
        <f t="shared" ca="1" si="22"/>
        <v>0.6298198184722491</v>
      </c>
      <c r="BG30" s="62">
        <f t="shared" ca="1" si="23"/>
        <v>0.63103216914051241</v>
      </c>
      <c r="BI30" s="96">
        <f t="shared" ca="1" si="24"/>
        <v>-0.91773800258024407</v>
      </c>
      <c r="BJ30" s="96">
        <f t="shared" ca="1" si="25"/>
        <v>-0.91593520975411935</v>
      </c>
      <c r="BK30" s="96">
        <f t="shared" ca="1" si="26"/>
        <v>-0.91954115600099462</v>
      </c>
      <c r="BL30" s="96"/>
      <c r="BM30" s="96">
        <f t="shared" ca="1" si="27"/>
        <v>0.26403647520376883</v>
      </c>
      <c r="BO30" s="58">
        <f t="shared" ca="1" si="28"/>
        <v>-2.8621673993156627E-3</v>
      </c>
      <c r="BP30" s="46">
        <f t="shared" ca="1" si="29"/>
        <v>-6.1245118539452791E-3</v>
      </c>
    </row>
    <row r="31" spans="3:68" x14ac:dyDescent="0.2">
      <c r="C31" s="56">
        <v>18</v>
      </c>
      <c r="D31" s="63">
        <f t="shared" ca="1" si="30"/>
        <v>3.7880000000000003</v>
      </c>
      <c r="E31" s="45">
        <f t="shared" ca="1" si="7"/>
        <v>-9.8524512137077469E-2</v>
      </c>
      <c r="F31" s="45">
        <f t="shared" ca="1" si="8"/>
        <v>-9.8344217039504911E-2</v>
      </c>
      <c r="G31" s="45">
        <f t="shared" ca="1" si="9"/>
        <v>-9.8704807234650138E-2</v>
      </c>
      <c r="H31" s="45">
        <f t="shared" ca="1" si="0"/>
        <v>0.54077234009162767</v>
      </c>
      <c r="I31" s="45">
        <f t="shared" ca="1" si="1"/>
        <v>0.54080939864291333</v>
      </c>
      <c r="J31" s="45">
        <f t="shared" ca="1" si="2"/>
        <v>0.54084652957626711</v>
      </c>
      <c r="L31" s="58">
        <f ca="1">_xll.EURO(UnderlyingPrice,$D31,IntRate,Yield,$I31,$D$6,L$12,0)</f>
        <v>0.45708661401129058</v>
      </c>
      <c r="M31" s="58">
        <f ca="1">_xll.EURO(UnderlyingPrice,$D31,IntRate,Yield,$I31,$D$6,M$12,0)</f>
        <v>4.3881998464264882E-2</v>
      </c>
      <c r="O31" s="58">
        <f ca="1">_xll.EURO(UnderlyingPrice,$D31*(1+$P$8),IntRate,Yield,$H31,Expiry-Today,O$12,0)</f>
        <v>0.45646997537060452</v>
      </c>
      <c r="P31" s="58">
        <f ca="1">_xll.EURO(UnderlyingPrice,$D31*(1+$P$8),IntRate,Yield,$H31,Expiry-Today,P$12,0)</f>
        <v>4.4021504308454418E-2</v>
      </c>
      <c r="R31" s="58">
        <f ca="1">_xll.EURO(UnderlyingPrice,$D31*(1-$P$8),IntRate,Yield,$J31,Expiry-Today,R$12,0)</f>
        <v>0.45770360941880917</v>
      </c>
      <c r="S31" s="58">
        <f ca="1">_xll.EURO(UnderlyingPrice,$D31*(1-$P$8),IntRate,Yield,$J31,Expiry-Today,S$12,0)</f>
        <v>4.3742849386908089E-2</v>
      </c>
      <c r="U31" s="59">
        <f t="shared" ca="1" si="10"/>
        <v>0.62159074654040813</v>
      </c>
      <c r="V31" s="59"/>
      <c r="W31" s="62">
        <f t="shared" ca="1" si="3"/>
        <v>0.62278725693092352</v>
      </c>
      <c r="X31" s="63"/>
      <c r="Z31" s="59">
        <f t="shared" ca="1" si="11"/>
        <v>0.9490997864201357</v>
      </c>
      <c r="AA31" s="59">
        <f t="shared" ca="1" si="12"/>
        <v>-9.7565749045041075E-2</v>
      </c>
      <c r="AB31" s="59">
        <f t="shared" ca="1" si="4"/>
        <v>-9.519075386719934E-3</v>
      </c>
      <c r="AC31" s="59">
        <f t="shared" ca="1" si="13"/>
        <v>-0.38653456065624786</v>
      </c>
      <c r="AD31" s="60">
        <f t="shared" ca="1" si="5"/>
        <v>0.67940724420865717</v>
      </c>
      <c r="AE31" s="60">
        <f t="shared" ca="1" si="14"/>
        <v>0.64482527037072945</v>
      </c>
      <c r="AF31" s="60"/>
      <c r="AG31" s="96">
        <f t="shared" ca="1" si="15"/>
        <v>-0.87924349375613564</v>
      </c>
      <c r="AH31" s="96">
        <f t="shared" ca="1" si="16"/>
        <v>-0.87744131299140382</v>
      </c>
      <c r="AI31" s="96">
        <f t="shared" ca="1" si="17"/>
        <v>-0.8810460349930711</v>
      </c>
      <c r="AJ31" s="96"/>
      <c r="AK31" s="96">
        <f t="shared" ca="1" si="18"/>
        <v>0.26178086722506555</v>
      </c>
      <c r="AL31" s="96"/>
      <c r="AM31" s="94">
        <v>-1.3</v>
      </c>
      <c r="AN31" s="95">
        <f t="shared" ca="1" si="6"/>
        <v>0.17136859204780733</v>
      </c>
      <c r="AP31" s="101" t="s">
        <v>88</v>
      </c>
      <c r="AQ31" s="102">
        <f ca="1">SQRT(AQ23)/Gamma*((AR24*AR26*(1-AR25))+(AQ24*AQ26*AQ25))</f>
        <v>9.5884273012891777E-2</v>
      </c>
      <c r="AR31" s="100"/>
      <c r="AX31" s="106">
        <f t="shared" ca="1" si="19"/>
        <v>0.52793000000000012</v>
      </c>
      <c r="AY31" s="106">
        <f t="shared" ca="1" si="20"/>
        <v>0.52793378800000013</v>
      </c>
      <c r="AZ31" s="106">
        <f t="shared" ca="1" si="21"/>
        <v>0.52792621200000012</v>
      </c>
      <c r="BB31" s="109">
        <f ca="1">_xll.EURO(UnderlyingPrice,$D31,IntRate,Yield,AX31,$D$6,1,0)</f>
        <v>0.45430555981756271</v>
      </c>
      <c r="BC31" s="109">
        <f ca="1">_xll.EURO(UnderlyingPrice,$D31*(1+$P$8),IntRate,Yield,AY31,$D$6,1,0)</f>
        <v>0.45369293965876079</v>
      </c>
      <c r="BD31" s="109">
        <f ca="1">_xll.EURO(UnderlyingPrice,$D31*(1-$P$8),IntRate,Yield,AZ31,$D$6,1,0)</f>
        <v>0.4549185525010695</v>
      </c>
      <c r="BF31" s="59">
        <f t="shared" ca="1" si="22"/>
        <v>0.64904550617344492</v>
      </c>
      <c r="BG31" s="62">
        <f t="shared" ca="1" si="23"/>
        <v>0.65029486468847453</v>
      </c>
      <c r="BI31" s="96">
        <f t="shared" ca="1" si="24"/>
        <v>-0.8795797847741319</v>
      </c>
      <c r="BJ31" s="96">
        <f t="shared" ca="1" si="25"/>
        <v>-0.8777769919480084</v>
      </c>
      <c r="BK31" s="96">
        <f t="shared" ca="1" si="26"/>
        <v>-0.88138293819488378</v>
      </c>
      <c r="BL31" s="96"/>
      <c r="BM31" s="96">
        <f t="shared" ca="1" si="27"/>
        <v>0.27325054549267919</v>
      </c>
      <c r="BO31" s="58">
        <f t="shared" ca="1" si="28"/>
        <v>-2.7810541937278721E-3</v>
      </c>
      <c r="BP31" s="46">
        <f t="shared" ca="1" si="29"/>
        <v>-6.121549986851737E-3</v>
      </c>
    </row>
    <row r="32" spans="3:68" x14ac:dyDescent="0.2">
      <c r="C32" s="56">
        <v>19</v>
      </c>
      <c r="D32" s="63">
        <f t="shared" ca="1" si="30"/>
        <v>3.8040000000000003</v>
      </c>
      <c r="E32" s="45">
        <f t="shared" ca="1" si="7"/>
        <v>-9.4716801523084149E-2</v>
      </c>
      <c r="F32" s="45">
        <f t="shared" ca="1" si="8"/>
        <v>-9.4535744883388784E-2</v>
      </c>
      <c r="G32" s="45">
        <f t="shared" ca="1" si="9"/>
        <v>-9.4897858162779625E-2</v>
      </c>
      <c r="H32" s="45">
        <f t="shared" ca="1" si="0"/>
        <v>0.54000636787155309</v>
      </c>
      <c r="I32" s="45">
        <f t="shared" ca="1" si="1"/>
        <v>0.54004205773969727</v>
      </c>
      <c r="J32" s="45">
        <f t="shared" ca="1" si="2"/>
        <v>0.54007781968963842</v>
      </c>
      <c r="L32" s="58">
        <f ca="1">_xll.EURO(UnderlyingPrice,$D32,IntRate,Yield,$I32,$D$6,L$12,0)</f>
        <v>0.44414030038899988</v>
      </c>
      <c r="M32" s="58">
        <f ca="1">_xll.EURO(UnderlyingPrice,$D32,IntRate,Yield,$I32,$D$6,M$12,0)</f>
        <v>4.6904945346207594E-2</v>
      </c>
      <c r="O32" s="58">
        <f ca="1">_xll.EURO(UnderlyingPrice,$D32*(1+$P$8),IntRate,Yield,$H32,Expiry-Today,O$12,0)</f>
        <v>0.44352875624211574</v>
      </c>
      <c r="P32" s="58">
        <f ca="1">_xll.EURO(UnderlyingPrice,$D32*(1+$P$8),IntRate,Yield,$H32,Expiry-Today,P$12,0)</f>
        <v>4.7052739536299404E-2</v>
      </c>
      <c r="R32" s="58">
        <f ca="1">_xll.EURO(UnderlyingPrice,$D32*(1-$P$8),IntRate,Yield,$J32,Expiry-Today,R$12,0)</f>
        <v>0.44475221626233807</v>
      </c>
      <c r="S32" s="58">
        <f ca="1">_xll.EURO(UnderlyingPrice,$D32*(1-$P$8),IntRate,Yield,$J32,Expiry-Today,S$12,0)</f>
        <v>4.675752288256918E-2</v>
      </c>
      <c r="U32" s="59">
        <f t="shared" ca="1" si="10"/>
        <v>0.64221798126360352</v>
      </c>
      <c r="V32" s="59"/>
      <c r="W32" s="62">
        <f t="shared" ca="1" si="3"/>
        <v>0.64345419736211296</v>
      </c>
      <c r="X32" s="63"/>
      <c r="Z32" s="59">
        <f t="shared" ca="1" si="11"/>
        <v>0.94510777890627617</v>
      </c>
      <c r="AA32" s="59">
        <f t="shared" ca="1" si="12"/>
        <v>-9.3350779685729038E-2</v>
      </c>
      <c r="AB32" s="59">
        <f t="shared" ca="1" si="4"/>
        <v>-8.7143680679335218E-3</v>
      </c>
      <c r="AC32" s="59">
        <f t="shared" ca="1" si="13"/>
        <v>-0.35385836288625067</v>
      </c>
      <c r="AD32" s="60">
        <f t="shared" ca="1" si="5"/>
        <v>0.70197438594049766</v>
      </c>
      <c r="AE32" s="60">
        <f t="shared" ca="1" si="14"/>
        <v>0.66344145274532085</v>
      </c>
      <c r="AF32" s="60"/>
      <c r="AG32" s="96">
        <f t="shared" ca="1" si="15"/>
        <v>-0.84125901229793743</v>
      </c>
      <c r="AH32" s="96">
        <f t="shared" ca="1" si="16"/>
        <v>-0.83945683153320561</v>
      </c>
      <c r="AI32" s="96">
        <f t="shared" ca="1" si="17"/>
        <v>-0.843061553534873</v>
      </c>
      <c r="AJ32" s="96"/>
      <c r="AK32" s="96">
        <f t="shared" ca="1" si="18"/>
        <v>0.27161037834632179</v>
      </c>
      <c r="AL32" s="96"/>
      <c r="AM32" s="94">
        <v>-1.2</v>
      </c>
      <c r="AN32" s="95">
        <f t="shared" ca="1" si="6"/>
        <v>0.19418605498321292</v>
      </c>
      <c r="AX32" s="106">
        <f t="shared" ca="1" si="19"/>
        <v>0.52801000000000009</v>
      </c>
      <c r="AY32" s="106">
        <f t="shared" ca="1" si="20"/>
        <v>0.52801380400000009</v>
      </c>
      <c r="AZ32" s="106">
        <f t="shared" ca="1" si="21"/>
        <v>0.52800619600000009</v>
      </c>
      <c r="BB32" s="109">
        <f ca="1">_xll.EURO(UnderlyingPrice,$D32,IntRate,Yield,AX32,$D$6,1,0)</f>
        <v>0.44144738329588185</v>
      </c>
      <c r="BC32" s="109">
        <f ca="1">_xll.EURO(UnderlyingPrice,$D32*(1+$P$8),IntRate,Yield,AY32,$D$6,1,0)</f>
        <v>0.44084019698712629</v>
      </c>
      <c r="BD32" s="109">
        <f ca="1">_xll.EURO(UnderlyingPrice,$D32*(1-$P$8),IntRate,Yield,AZ32,$D$6,1,0)</f>
        <v>0.44205495612755774</v>
      </c>
      <c r="BF32" s="59">
        <f t="shared" ca="1" si="22"/>
        <v>0.6677812862066802</v>
      </c>
      <c r="BG32" s="62">
        <f t="shared" ca="1" si="23"/>
        <v>0.66906670953703873</v>
      </c>
      <c r="BI32" s="96">
        <f t="shared" ca="1" si="24"/>
        <v>-0.84158240292600461</v>
      </c>
      <c r="BJ32" s="96">
        <f t="shared" ca="1" si="25"/>
        <v>-0.83977961009988089</v>
      </c>
      <c r="BK32" s="96">
        <f t="shared" ca="1" si="26"/>
        <v>-0.84338555634675649</v>
      </c>
      <c r="BL32" s="96"/>
      <c r="BM32" s="96">
        <f t="shared" ca="1" si="27"/>
        <v>0.28232586831089246</v>
      </c>
      <c r="BO32" s="58">
        <f t="shared" ca="1" si="28"/>
        <v>-2.6929170931180302E-3</v>
      </c>
      <c r="BP32" s="46">
        <f t="shared" ca="1" si="29"/>
        <v>-6.1001994688755284E-3</v>
      </c>
    </row>
    <row r="33" spans="3:68" x14ac:dyDescent="0.2">
      <c r="C33" s="56">
        <v>20</v>
      </c>
      <c r="D33" s="63">
        <f t="shared" ca="1" si="30"/>
        <v>3.8200000000000003</v>
      </c>
      <c r="E33" s="45">
        <f t="shared" ca="1" si="7"/>
        <v>-9.0909090909090828E-2</v>
      </c>
      <c r="F33" s="45">
        <f t="shared" ca="1" si="8"/>
        <v>-9.0727272727272656E-2</v>
      </c>
      <c r="G33" s="45">
        <f t="shared" ca="1" si="9"/>
        <v>-9.1090909090909E-2</v>
      </c>
      <c r="H33" s="45">
        <f t="shared" ca="1" si="0"/>
        <v>0.53927226965464103</v>
      </c>
      <c r="I33" s="45">
        <f t="shared" ca="1" si="1"/>
        <v>0.53930659729526675</v>
      </c>
      <c r="J33" s="45">
        <f t="shared" ca="1" si="2"/>
        <v>0.53934099670460767</v>
      </c>
      <c r="L33" s="58">
        <f ca="1">_xll.EURO(UnderlyingPrice,$D33,IntRate,Yield,$I33,$D$6,L$12,0)</f>
        <v>0.43135838703481166</v>
      </c>
      <c r="M33" s="58">
        <f ca="1">_xll.EURO(UnderlyingPrice,$D33,IntRate,Yield,$I33,$D$6,M$12,0)</f>
        <v>5.0092292496252022E-2</v>
      </c>
      <c r="O33" s="58">
        <f ca="1">_xll.EURO(UnderlyingPrice,$D33*(1+$P$8),IntRate,Yield,$H33,Expiry-Today,O$12,0)</f>
        <v>0.43075225215665158</v>
      </c>
      <c r="P33" s="58">
        <f ca="1">_xll.EURO(UnderlyingPrice,$D33*(1+$P$8),IntRate,Yield,$H33,Expiry-Today,P$12,0)</f>
        <v>5.0248689807168678E-2</v>
      </c>
      <c r="R33" s="58">
        <f ca="1">_xll.EURO(UnderlyingPrice,$D33*(1-$P$8),IntRate,Yield,$J33,Expiry-Today,R$12,0)</f>
        <v>0.431964908606433</v>
      </c>
      <c r="S33" s="58">
        <f ca="1">_xll.EURO(UnderlyingPrice,$D33*(1-$P$8),IntRate,Yield,$J33,Expiry-Today,S$12,0)</f>
        <v>4.9936281878796396E-2</v>
      </c>
      <c r="U33" s="59">
        <f t="shared" ca="1" si="10"/>
        <v>0.66249119619074381</v>
      </c>
      <c r="V33" s="59"/>
      <c r="W33" s="62">
        <f t="shared" ca="1" si="3"/>
        <v>0.66376643653863998</v>
      </c>
      <c r="X33" s="63"/>
      <c r="Z33" s="59">
        <f t="shared" ca="1" si="11"/>
        <v>0.94114921229305604</v>
      </c>
      <c r="AA33" s="59">
        <f t="shared" ca="1" si="12"/>
        <v>-8.9153501750389108E-2</v>
      </c>
      <c r="AB33" s="59">
        <f t="shared" ca="1" si="4"/>
        <v>-7.9483468743566342E-3</v>
      </c>
      <c r="AC33" s="59">
        <f t="shared" ca="1" si="13"/>
        <v>-0.3227530660497851</v>
      </c>
      <c r="AD33" s="60">
        <f t="shared" ca="1" si="5"/>
        <v>0.72415265016609454</v>
      </c>
      <c r="AE33" s="60">
        <f t="shared" ca="1" si="14"/>
        <v>0.68153569628374888</v>
      </c>
      <c r="AF33" s="60"/>
      <c r="AG33" s="96">
        <f t="shared" ca="1" si="15"/>
        <v>-0.80343396250069621</v>
      </c>
      <c r="AH33" s="96">
        <f t="shared" ca="1" si="16"/>
        <v>-0.80163178173596428</v>
      </c>
      <c r="AI33" s="96">
        <f t="shared" ca="1" si="17"/>
        <v>-0.80523650373763078</v>
      </c>
      <c r="AJ33" s="96"/>
      <c r="AK33" s="96">
        <f t="shared" ca="1" si="18"/>
        <v>0.28136292190136974</v>
      </c>
      <c r="AL33" s="96"/>
      <c r="AM33" s="94">
        <v>-1.1000000000000001</v>
      </c>
      <c r="AN33" s="95">
        <f t="shared" ca="1" si="6"/>
        <v>0.2178521770325505</v>
      </c>
      <c r="AX33" s="106">
        <f t="shared" ca="1" si="19"/>
        <v>0.52809000000000006</v>
      </c>
      <c r="AY33" s="106">
        <f t="shared" ca="1" si="20"/>
        <v>0.52809382000000005</v>
      </c>
      <c r="AZ33" s="106">
        <f t="shared" ca="1" si="21"/>
        <v>0.52808618000000007</v>
      </c>
      <c r="BB33" s="109">
        <f ca="1">_xll.EURO(UnderlyingPrice,$D33,IntRate,Yield,AX33,$D$6,1,0)</f>
        <v>0.42876014705271848</v>
      </c>
      <c r="BC33" s="109">
        <f ca="1">_xll.EURO(UnderlyingPrice,$D33*(1+$P$8),IntRate,Yield,AY33,$D$6,1,0)</f>
        <v>0.42815868767663456</v>
      </c>
      <c r="BD33" s="109">
        <f ca="1">_xll.EURO(UnderlyingPrice,$D33*(1-$P$8),IntRate,Yield,AZ33,$D$6,1,0)</f>
        <v>0.4293620068244306</v>
      </c>
      <c r="BF33" s="59">
        <f t="shared" ca="1" si="22"/>
        <v>0.68596603061931538</v>
      </c>
      <c r="BG33" s="62">
        <f t="shared" ca="1" si="23"/>
        <v>0.68728645806735056</v>
      </c>
      <c r="BI33" s="96">
        <f t="shared" ca="1" si="24"/>
        <v>-0.80374450688543597</v>
      </c>
      <c r="BJ33" s="96">
        <f t="shared" ca="1" si="25"/>
        <v>-0.80194171405931225</v>
      </c>
      <c r="BK33" s="96">
        <f t="shared" ca="1" si="26"/>
        <v>-0.80554766030618685</v>
      </c>
      <c r="BL33" s="96"/>
      <c r="BM33" s="96">
        <f t="shared" ca="1" si="27"/>
        <v>0.29123387760900021</v>
      </c>
      <c r="BO33" s="58">
        <f t="shared" ca="1" si="28"/>
        <v>-2.5982399820931867E-3</v>
      </c>
      <c r="BP33" s="46">
        <f t="shared" ca="1" si="29"/>
        <v>-6.0598915266574871E-3</v>
      </c>
    </row>
    <row r="34" spans="3:68" x14ac:dyDescent="0.2">
      <c r="C34" s="56">
        <v>21</v>
      </c>
      <c r="D34" s="63">
        <f t="shared" ca="1" si="30"/>
        <v>3.8360000000000003</v>
      </c>
      <c r="E34" s="45">
        <f t="shared" ca="1" si="7"/>
        <v>-8.7101380295097508E-2</v>
      </c>
      <c r="F34" s="45">
        <f t="shared" ca="1" si="8"/>
        <v>-8.6918800571156529E-2</v>
      </c>
      <c r="G34" s="45">
        <f t="shared" ca="1" si="9"/>
        <v>-8.7283960019038487E-2</v>
      </c>
      <c r="H34" s="45">
        <f t="shared" ca="1" si="0"/>
        <v>0.53856964138361096</v>
      </c>
      <c r="I34" s="45">
        <f t="shared" ca="1" si="1"/>
        <v>0.53860261349467875</v>
      </c>
      <c r="J34" s="45">
        <f t="shared" ca="1" si="2"/>
        <v>0.53863565704847249</v>
      </c>
      <c r="L34" s="58">
        <f ca="1">_xll.EURO(UnderlyingPrice,$D34,IntRate,Yield,$I34,$D$6,L$12,0)</f>
        <v>0.41874606225745303</v>
      </c>
      <c r="M34" s="58">
        <f ca="1">_xll.EURO(UnderlyingPrice,$D34,IntRate,Yield,$I34,$D$6,M$12,0)</f>
        <v>5.3449228223126033E-2</v>
      </c>
      <c r="O34" s="58">
        <f ca="1">_xll.EURO(UnderlyingPrice,$D34*(1+$P$8),IntRate,Yield,$H34,Expiry-Today,O$12,0)</f>
        <v>0.41814564972362733</v>
      </c>
      <c r="P34" s="58">
        <f ca="1">_xll.EURO(UnderlyingPrice,$D34*(1+$P$8),IntRate,Yield,$H34,Expiry-Today,P$12,0)</f>
        <v>5.3614541730478305E-2</v>
      </c>
      <c r="R34" s="58">
        <f ca="1">_xll.EURO(UnderlyingPrice,$D34*(1-$P$8),IntRate,Yield,$J34,Expiry-Today,R$12,0)</f>
        <v>0.41934687641000634</v>
      </c>
      <c r="S34" s="58">
        <f ca="1">_xll.EURO(UnderlyingPrice,$D34*(1-$P$8),IntRate,Yield,$J34,Expiry-Today,S$12,0)</f>
        <v>5.3284316334501702E-2</v>
      </c>
      <c r="U34" s="59">
        <f t="shared" ca="1" si="10"/>
        <v>0.68233361555513328</v>
      </c>
      <c r="V34" s="59"/>
      <c r="W34" s="62">
        <f t="shared" ca="1" si="3"/>
        <v>0.68364705090685562</v>
      </c>
      <c r="X34" s="63"/>
      <c r="Z34" s="59">
        <f t="shared" ca="1" si="11"/>
        <v>0.93722366813333535</v>
      </c>
      <c r="AA34" s="59">
        <f t="shared" ca="1" si="12"/>
        <v>-8.4973767347681153E-2</v>
      </c>
      <c r="AB34" s="59">
        <f t="shared" ca="1" si="4"/>
        <v>-7.2205411372578436E-3</v>
      </c>
      <c r="AC34" s="59">
        <f t="shared" ca="1" si="13"/>
        <v>-0.29319955802472519</v>
      </c>
      <c r="AD34" s="60">
        <f t="shared" ca="1" si="5"/>
        <v>0.74587328084600557</v>
      </c>
      <c r="AE34" s="60">
        <f t="shared" ca="1" si="14"/>
        <v>0.69905009223713876</v>
      </c>
      <c r="AF34" s="60"/>
      <c r="AG34" s="96">
        <f t="shared" ca="1" si="15"/>
        <v>-0.76576701159651062</v>
      </c>
      <c r="AH34" s="96">
        <f t="shared" ca="1" si="16"/>
        <v>-0.76396483083177857</v>
      </c>
      <c r="AI34" s="96">
        <f t="shared" ca="1" si="17"/>
        <v>-0.7675695528334453</v>
      </c>
      <c r="AJ34" s="96"/>
      <c r="AK34" s="96">
        <f t="shared" ca="1" si="18"/>
        <v>0.29100386504880416</v>
      </c>
      <c r="AL34" s="96"/>
      <c r="AM34" s="94">
        <v>-1</v>
      </c>
      <c r="AN34" s="95">
        <f t="shared" ca="1" si="6"/>
        <v>0.24197072451914334</v>
      </c>
      <c r="AX34" s="106">
        <f t="shared" ca="1" si="19"/>
        <v>0.52817000000000003</v>
      </c>
      <c r="AY34" s="106">
        <f t="shared" ca="1" si="20"/>
        <v>0.52817383600000012</v>
      </c>
      <c r="AZ34" s="106">
        <f t="shared" ca="1" si="21"/>
        <v>0.52816616400000005</v>
      </c>
      <c r="BB34" s="109">
        <f ca="1">_xll.EURO(UnderlyingPrice,$D34,IntRate,Yield,AX34,$D$6,1,0)</f>
        <v>0.41624850512193223</v>
      </c>
      <c r="BC34" s="109">
        <f ca="1">_xll.EURO(UnderlyingPrice,$D34*(1+$P$8),IntRate,Yield,AY34,$D$6,1,0)</f>
        <v>0.41565306144693892</v>
      </c>
      <c r="BD34" s="109">
        <f ca="1">_xll.EURO(UnderlyingPrice,$D34*(1-$P$8),IntRate,Yield,AZ34,$D$6,1,0)</f>
        <v>0.41684436289795723</v>
      </c>
      <c r="BF34" s="59">
        <f t="shared" ca="1" si="22"/>
        <v>0.70354053417562867</v>
      </c>
      <c r="BG34" s="62">
        <f t="shared" ca="1" si="23"/>
        <v>0.7048947910785428</v>
      </c>
      <c r="BI34" s="96">
        <f t="shared" ca="1" si="24"/>
        <v>-0.76606476343188667</v>
      </c>
      <c r="BJ34" s="96">
        <f t="shared" ca="1" si="25"/>
        <v>-0.76426197060576295</v>
      </c>
      <c r="BK34" s="96">
        <f t="shared" ca="1" si="26"/>
        <v>-0.76786791685263767</v>
      </c>
      <c r="BL34" s="96"/>
      <c r="BM34" s="96">
        <f t="shared" ca="1" si="27"/>
        <v>0.29994639225926745</v>
      </c>
      <c r="BO34" s="58">
        <f t="shared" ca="1" si="28"/>
        <v>-2.4975571355208004E-3</v>
      </c>
      <c r="BP34" s="46">
        <f t="shared" ca="1" si="29"/>
        <v>-6.0001588108747382E-3</v>
      </c>
    </row>
    <row r="35" spans="3:68" x14ac:dyDescent="0.2">
      <c r="C35" s="56">
        <v>22</v>
      </c>
      <c r="D35" s="63">
        <f t="shared" ca="1" si="30"/>
        <v>3.8520000000000003</v>
      </c>
      <c r="E35" s="45">
        <f t="shared" ca="1" si="7"/>
        <v>-8.3293669681104188E-2</v>
      </c>
      <c r="F35" s="45">
        <f t="shared" ca="1" si="8"/>
        <v>-8.3110328415040402E-2</v>
      </c>
      <c r="G35" s="45">
        <f t="shared" ca="1" si="9"/>
        <v>-8.3477010947167973E-2</v>
      </c>
      <c r="H35" s="45">
        <f t="shared" ca="1" si="0"/>
        <v>0.53789807900118314</v>
      </c>
      <c r="I35" s="45">
        <f t="shared" ca="1" si="1"/>
        <v>0.53792970252299099</v>
      </c>
      <c r="J35" s="45">
        <f t="shared" ca="1" si="2"/>
        <v>0.53796139714853097</v>
      </c>
      <c r="L35" s="58">
        <f ca="1">_xll.EURO(UnderlyingPrice,$D35,IntRate,Yield,$I35,$D$6,L$12,0)</f>
        <v>0.40630840408712832</v>
      </c>
      <c r="M35" s="58">
        <f ca="1">_xll.EURO(UnderlyingPrice,$D35,IntRate,Yield,$I35,$D$6,M$12,0)</f>
        <v>5.6980830557035067E-2</v>
      </c>
      <c r="O35" s="58">
        <f ca="1">_xll.EURO(UnderlyingPrice,$D35*(1+$P$8),IntRate,Yield,$H35,Expiry-Today,O$12,0)</f>
        <v>0.40571402424756986</v>
      </c>
      <c r="P35" s="58">
        <f ca="1">_xll.EURO(UnderlyingPrice,$D35*(1+$P$8),IntRate,Yield,$H35,Expiry-Today,P$12,0)</f>
        <v>5.715537061075493E-2</v>
      </c>
      <c r="R35" s="58">
        <f ca="1">_xll.EURO(UnderlyingPrice,$D35*(1-$P$8),IntRate,Yield,$J35,Expiry-Today,R$12,0)</f>
        <v>0.40690320037842076</v>
      </c>
      <c r="S35" s="58">
        <f ca="1">_xll.EURO(UnderlyingPrice,$D35*(1-$P$8),IntRate,Yield,$J35,Expiry-Today,S$12,0)</f>
        <v>5.6806706955048081E-2</v>
      </c>
      <c r="U35" s="59">
        <f t="shared" ca="1" si="10"/>
        <v>0.70166873634347804</v>
      </c>
      <c r="V35" s="59"/>
      <c r="W35" s="62">
        <f t="shared" ca="1" si="3"/>
        <v>0.70301939019154047</v>
      </c>
      <c r="X35" s="63"/>
      <c r="Z35" s="59">
        <f t="shared" ca="1" si="11"/>
        <v>0.93333073493236607</v>
      </c>
      <c r="AA35" s="59">
        <f t="shared" ca="1" si="12"/>
        <v>-8.0811430432993839E-2</v>
      </c>
      <c r="AB35" s="59">
        <f t="shared" ca="1" si="4"/>
        <v>-6.5304872886266024E-3</v>
      </c>
      <c r="AC35" s="59">
        <f t="shared" ca="1" si="13"/>
        <v>-0.26517901502304414</v>
      </c>
      <c r="AD35" s="60">
        <f t="shared" ca="1" si="5"/>
        <v>0.7670686208773938</v>
      </c>
      <c r="AE35" s="60">
        <f t="shared" ca="1" si="14"/>
        <v>0.7159287196670544</v>
      </c>
      <c r="AF35" s="60"/>
      <c r="AG35" s="96">
        <f t="shared" ca="1" si="15"/>
        <v>-0.72825684345983888</v>
      </c>
      <c r="AH35" s="96">
        <f t="shared" ca="1" si="16"/>
        <v>-0.72645466269510683</v>
      </c>
      <c r="AI35" s="96">
        <f t="shared" ca="1" si="17"/>
        <v>-0.73005938469677356</v>
      </c>
      <c r="AJ35" s="96"/>
      <c r="AK35" s="96">
        <f t="shared" ca="1" si="18"/>
        <v>0.30049814546205705</v>
      </c>
      <c r="AL35" s="96"/>
      <c r="AM35" s="94">
        <v>-0.9</v>
      </c>
      <c r="AN35" s="95">
        <f t="shared" ca="1" si="6"/>
        <v>0.26608524989875482</v>
      </c>
      <c r="AX35" s="106">
        <f t="shared" ca="1" si="19"/>
        <v>0.52825000000000011</v>
      </c>
      <c r="AY35" s="106">
        <f t="shared" ca="1" si="20"/>
        <v>0.52825385200000008</v>
      </c>
      <c r="AZ35" s="106">
        <f t="shared" ca="1" si="21"/>
        <v>0.52824614800000003</v>
      </c>
      <c r="BB35" s="109">
        <f ca="1">_xll.EURO(UnderlyingPrice,$D35,IntRate,Yield,AX35,$D$6,1,0)</f>
        <v>0.40391695536554595</v>
      </c>
      <c r="BC35" s="109">
        <f ca="1">_xll.EURO(UnderlyingPrice,$D35*(1+$P$8),IntRate,Yield,AY35,$D$6,1,0)</f>
        <v>0.40332781101092818</v>
      </c>
      <c r="BD35" s="109">
        <f ca="1">_xll.EURO(UnderlyingPrice,$D35*(1-$P$8),IntRate,Yield,AZ35,$D$6,1,0)</f>
        <v>0.40450652731762604</v>
      </c>
      <c r="BF35" s="59">
        <f t="shared" ca="1" si="22"/>
        <v>0.72044788523854297</v>
      </c>
      <c r="BG35" s="62">
        <f t="shared" ca="1" si="23"/>
        <v>0.72183468738337953</v>
      </c>
      <c r="BI35" s="96">
        <f t="shared" ca="1" si="24"/>
        <v>-0.72854185599282895</v>
      </c>
      <c r="BJ35" s="96">
        <f t="shared" ca="1" si="25"/>
        <v>-0.726739063166705</v>
      </c>
      <c r="BK35" s="96">
        <f t="shared" ca="1" si="26"/>
        <v>-0.73034500941357994</v>
      </c>
      <c r="BL35" s="96"/>
      <c r="BM35" s="96">
        <f t="shared" ca="1" si="27"/>
        <v>0.30843579193233756</v>
      </c>
      <c r="BO35" s="58">
        <f t="shared" ca="1" si="28"/>
        <v>-2.3914487215823677E-3</v>
      </c>
      <c r="BP35" s="46">
        <f t="shared" ca="1" si="29"/>
        <v>-5.9206445528341336E-3</v>
      </c>
    </row>
    <row r="36" spans="3:68" x14ac:dyDescent="0.2">
      <c r="C36" s="56">
        <v>23</v>
      </c>
      <c r="D36" s="63">
        <f t="shared" ca="1" si="30"/>
        <v>3.8680000000000003</v>
      </c>
      <c r="E36" s="45">
        <f t="shared" ca="1" si="7"/>
        <v>-7.9485959067110867E-2</v>
      </c>
      <c r="F36" s="45">
        <f t="shared" ca="1" si="8"/>
        <v>-7.9301856258924275E-2</v>
      </c>
      <c r="G36" s="45">
        <f t="shared" ca="1" si="9"/>
        <v>-7.9670061875297349E-2</v>
      </c>
      <c r="H36" s="45">
        <f t="shared" ca="1" si="0"/>
        <v>0.53725717845007726</v>
      </c>
      <c r="I36" s="45">
        <f t="shared" ca="1" si="1"/>
        <v>0.53728746056526078</v>
      </c>
      <c r="J36" s="45">
        <f t="shared" ca="1" si="2"/>
        <v>0.53731781343208085</v>
      </c>
      <c r="L36" s="58">
        <f ca="1">_xll.EURO(UnderlyingPrice,$D36,IntRate,Yield,$I36,$D$6,L$12,0)</f>
        <v>0.39405036070409816</v>
      </c>
      <c r="M36" s="58">
        <f ca="1">_xll.EURO(UnderlyingPrice,$D36,IntRate,Yield,$I36,$D$6,M$12,0)</f>
        <v>6.0692047678236993E-2</v>
      </c>
      <c r="O36" s="58">
        <f ca="1">_xll.EURO(UnderlyingPrice,$D36*(1+$P$8),IntRate,Yield,$H36,Expiry-Today,O$12,0)</f>
        <v>0.39346232014434523</v>
      </c>
      <c r="P36" s="58">
        <f ca="1">_xll.EURO(UnderlyingPrice,$D36*(1+$P$8),IntRate,Yield,$H36,Expiry-Today,P$12,0)</f>
        <v>6.0876120863864069E-2</v>
      </c>
      <c r="R36" s="58">
        <f ca="1">_xll.EURO(UnderlyingPrice,$D36*(1-$P$8),IntRate,Yield,$J36,Expiry-Today,R$12,0)</f>
        <v>0.39463883240476472</v>
      </c>
      <c r="S36" s="58">
        <f ca="1">_xll.EURO(UnderlyingPrice,$D36*(1-$P$8),IntRate,Yield,$J36,Expiry-Today,S$12,0)</f>
        <v>6.0508405633523887E-2</v>
      </c>
      <c r="U36" s="59">
        <f t="shared" ca="1" si="10"/>
        <v>0.72042091988879409</v>
      </c>
      <c r="V36" s="59"/>
      <c r="W36" s="62">
        <f t="shared" ca="1" si="3"/>
        <v>0.7218076701275794</v>
      </c>
      <c r="X36" s="63"/>
      <c r="Z36" s="59">
        <f t="shared" ca="1" si="11"/>
        <v>0.9294700080040007</v>
      </c>
      <c r="AA36" s="59">
        <f t="shared" ca="1" si="12"/>
        <v>-7.6666346777825092E-2</v>
      </c>
      <c r="AB36" s="59">
        <f t="shared" ca="1" si="4"/>
        <v>-5.8777287282577315E-3</v>
      </c>
      <c r="AC36" s="59">
        <f t="shared" ca="1" si="13"/>
        <v>-0.23867289619360516</v>
      </c>
      <c r="AD36" s="60">
        <f t="shared" ca="1" si="5"/>
        <v>0.78767249090799329</v>
      </c>
      <c r="AE36" s="60">
        <f t="shared" ca="1" si="14"/>
        <v>0.73211795642878374</v>
      </c>
      <c r="AF36" s="60"/>
      <c r="AG36" s="96">
        <f t="shared" ca="1" si="15"/>
        <v>-0.69090215833156166</v>
      </c>
      <c r="AH36" s="96">
        <f t="shared" ca="1" si="16"/>
        <v>-0.6890999775668295</v>
      </c>
      <c r="AI36" s="96">
        <f t="shared" ca="1" si="17"/>
        <v>-0.69270469956849534</v>
      </c>
      <c r="AJ36" s="96"/>
      <c r="AK36" s="96">
        <f t="shared" ca="1" si="18"/>
        <v>0.30981052816425142</v>
      </c>
      <c r="AL36" s="96"/>
      <c r="AM36" s="94">
        <v>-0.8</v>
      </c>
      <c r="AN36" s="95">
        <f t="shared" ca="1" si="6"/>
        <v>0.28969155276148267</v>
      </c>
      <c r="AX36" s="106">
        <f t="shared" ca="1" si="19"/>
        <v>0.52833000000000008</v>
      </c>
      <c r="AY36" s="106">
        <f t="shared" ca="1" si="20"/>
        <v>0.52833386800000004</v>
      </c>
      <c r="AZ36" s="106">
        <f t="shared" ca="1" si="21"/>
        <v>0.52832613200000011</v>
      </c>
      <c r="BB36" s="109">
        <f ca="1">_xll.EURO(UnderlyingPrice,$D36,IntRate,Yield,AX36,$D$6,1,0)</f>
        <v>0.39176982490861523</v>
      </c>
      <c r="BC36" s="109">
        <f ca="1">_xll.EURO(UnderlyingPrice,$D36*(1+$P$8),IntRate,Yield,AY36,$D$6,1,0)</f>
        <v>0.3911872575251234</v>
      </c>
      <c r="BD36" s="109">
        <f ca="1">_xll.EURO(UnderlyingPrice,$D36*(1-$P$8),IntRate,Yield,AZ36,$D$6,1,0)</f>
        <v>0.39235283313571001</v>
      </c>
      <c r="BF36" s="59">
        <f t="shared" ca="1" si="22"/>
        <v>0.73663376386450463</v>
      </c>
      <c r="BG36" s="62">
        <f t="shared" ca="1" si="23"/>
        <v>0.73805172247694206</v>
      </c>
      <c r="BI36" s="96">
        <f t="shared" ca="1" si="24"/>
        <v>-0.69117448436771578</v>
      </c>
      <c r="BJ36" s="96">
        <f t="shared" ca="1" si="25"/>
        <v>-0.68937169154159172</v>
      </c>
      <c r="BK36" s="96">
        <f t="shared" ca="1" si="26"/>
        <v>-0.69297763778846577</v>
      </c>
      <c r="BL36" s="96"/>
      <c r="BM36" s="96">
        <f t="shared" ca="1" si="27"/>
        <v>0.3166751656395978</v>
      </c>
      <c r="BO36" s="58">
        <f t="shared" ca="1" si="28"/>
        <v>-2.2805357954829297E-3</v>
      </c>
      <c r="BP36" s="46">
        <f t="shared" ca="1" si="29"/>
        <v>-5.821111403908891E-3</v>
      </c>
    </row>
    <row r="37" spans="3:68" x14ac:dyDescent="0.2">
      <c r="C37" s="56">
        <v>24</v>
      </c>
      <c r="D37" s="63">
        <f t="shared" ca="1" si="30"/>
        <v>3.8840000000000003</v>
      </c>
      <c r="E37" s="45">
        <f t="shared" ca="1" si="7"/>
        <v>-7.5678248453117436E-2</v>
      </c>
      <c r="F37" s="45">
        <f t="shared" ca="1" si="8"/>
        <v>-7.5493384102808037E-2</v>
      </c>
      <c r="G37" s="45">
        <f t="shared" ca="1" si="9"/>
        <v>-7.5863112803426835E-2</v>
      </c>
      <c r="H37" s="45">
        <f t="shared" ca="1" si="0"/>
        <v>0.53664653567301335</v>
      </c>
      <c r="I37" s="45">
        <f t="shared" ca="1" si="1"/>
        <v>0.53667548380654517</v>
      </c>
      <c r="J37" s="45">
        <f t="shared" ca="1" si="2"/>
        <v>0.53670450232641986</v>
      </c>
      <c r="L37" s="58">
        <f ca="1">_xll.EURO(UnderlyingPrice,$D37,IntRate,Yield,$I37,$D$6,L$12,0)</f>
        <v>0.38197673108893948</v>
      </c>
      <c r="M37" s="58">
        <f ca="1">_xll.EURO(UnderlyingPrice,$D37,IntRate,Yield,$I37,$D$6,M$12,0)</f>
        <v>6.4587678567311291E-2</v>
      </c>
      <c r="O37" s="58">
        <f ca="1">_xll.EURO(UnderlyingPrice,$D37*(1+$P$8),IntRate,Yield,$H37,Expiry-Today,O$12,0)</f>
        <v>0.38139533158651862</v>
      </c>
      <c r="P37" s="58">
        <f ca="1">_xll.EURO(UnderlyingPrice,$D37*(1+$P$8),IntRate,Yield,$H37,Expiry-Today,P$12,0)</f>
        <v>6.4781586662371327E-2</v>
      </c>
      <c r="R37" s="58">
        <f ca="1">_xll.EURO(UnderlyingPrice,$D37*(1-$P$8),IntRate,Yield,$J37,Expiry-Today,R$12,0)</f>
        <v>0.38255857622538203</v>
      </c>
      <c r="S37" s="58">
        <f ca="1">_xll.EURO(UnderlyingPrice,$D37*(1-$P$8),IntRate,Yield,$J37,Expiry-Today,S$12,0)</f>
        <v>6.4394216106273383E-2</v>
      </c>
      <c r="U37" s="59">
        <f t="shared" ca="1" si="10"/>
        <v>0.73851599461771544</v>
      </c>
      <c r="V37" s="59"/>
      <c r="W37" s="62">
        <f t="shared" ca="1" si="3"/>
        <v>0.73993757636750823</v>
      </c>
      <c r="Z37" s="59">
        <f t="shared" ca="1" si="11"/>
        <v>0.92564108933045164</v>
      </c>
      <c r="AA37" s="59">
        <f t="shared" ca="1" si="12"/>
        <v>-7.2538373939794398E-2</v>
      </c>
      <c r="AB37" s="59">
        <f t="shared" ca="1" si="4"/>
        <v>-5.2618156938294431E-3</v>
      </c>
      <c r="AC37" s="59">
        <f t="shared" ca="1" si="13"/>
        <v>-0.21366293834650912</v>
      </c>
      <c r="AD37" s="60">
        <f t="shared" ca="1" si="5"/>
        <v>0.80762055707108393</v>
      </c>
      <c r="AE37" s="60">
        <f t="shared" ca="1" si="14"/>
        <v>0.74756677221294432</v>
      </c>
      <c r="AF37" s="60"/>
      <c r="AG37" s="96">
        <f t="shared" ca="1" si="15"/>
        <v>-0.65370167254873857</v>
      </c>
      <c r="AH37" s="96">
        <f t="shared" ca="1" si="16"/>
        <v>-0.6518994917840063</v>
      </c>
      <c r="AI37" s="96">
        <f t="shared" ca="1" si="17"/>
        <v>-0.65550421378567347</v>
      </c>
      <c r="AJ37" s="96"/>
      <c r="AK37" s="96">
        <f t="shared" ca="1" si="18"/>
        <v>0.31890587349395882</v>
      </c>
      <c r="AL37" s="96"/>
      <c r="AM37" s="94">
        <v>-0.7</v>
      </c>
      <c r="AN37" s="95">
        <f t="shared" ca="1" si="6"/>
        <v>0.31225393336676122</v>
      </c>
      <c r="AX37" s="106">
        <f t="shared" ca="1" si="19"/>
        <v>0.52841000000000005</v>
      </c>
      <c r="AY37" s="106">
        <f t="shared" ca="1" si="20"/>
        <v>0.52841388400000011</v>
      </c>
      <c r="AZ37" s="106">
        <f t="shared" ca="1" si="21"/>
        <v>0.52840611600000009</v>
      </c>
      <c r="BB37" s="109">
        <f ca="1">_xll.EURO(UnderlyingPrice,$D37,IntRate,Yield,AX37,$D$6,1,0)</f>
        <v>0.37981125624330803</v>
      </c>
      <c r="BC37" s="109">
        <f ca="1">_xll.EURO(UnderlyingPrice,$D37*(1+$P$8),IntRate,Yield,AY37,$D$6,1,0)</f>
        <v>0.37923553671417931</v>
      </c>
      <c r="BD37" s="109">
        <f ca="1">_xll.EURO(UnderlyingPrice,$D37*(1-$P$8),IntRate,Yield,AZ37,$D$6,1,0)</f>
        <v>0.38038742957119887</v>
      </c>
      <c r="BF37" s="59">
        <f t="shared" ca="1" si="22"/>
        <v>0.75204680939603263</v>
      </c>
      <c r="BG37" s="62">
        <f t="shared" ca="1" si="23"/>
        <v>0.75349443683676354</v>
      </c>
      <c r="BI37" s="96">
        <f t="shared" ca="1" si="24"/>
        <v>-0.65396136445764563</v>
      </c>
      <c r="BJ37" s="96">
        <f t="shared" ca="1" si="25"/>
        <v>-0.65215857163152158</v>
      </c>
      <c r="BK37" s="96">
        <f t="shared" ca="1" si="26"/>
        <v>-0.65576451787839685</v>
      </c>
      <c r="BL37" s="96"/>
      <c r="BM37" s="96">
        <f t="shared" ca="1" si="27"/>
        <v>0.32463849345619167</v>
      </c>
      <c r="BO37" s="58">
        <f t="shared" ca="1" si="28"/>
        <v>-2.1654748456314543E-3</v>
      </c>
      <c r="BP37" s="46">
        <f t="shared" ca="1" si="29"/>
        <v>-5.7014498913224567E-3</v>
      </c>
    </row>
    <row r="38" spans="3:68" x14ac:dyDescent="0.2">
      <c r="C38" s="56">
        <v>25</v>
      </c>
      <c r="D38" s="63">
        <f t="shared" ca="1" si="30"/>
        <v>3.9000000000000004</v>
      </c>
      <c r="E38" s="45">
        <f t="shared" ca="1" si="7"/>
        <v>-7.1870537839124116E-2</v>
      </c>
      <c r="F38" s="45">
        <f t="shared" ca="1" si="8"/>
        <v>-7.168491194669202E-2</v>
      </c>
      <c r="G38" s="45">
        <f t="shared" ca="1" si="9"/>
        <v>-7.2056163731556211E-2</v>
      </c>
      <c r="H38" s="45">
        <f t="shared" ca="1" si="0"/>
        <v>0.53606574661271145</v>
      </c>
      <c r="I38" s="45">
        <f t="shared" ca="1" si="1"/>
        <v>0.53609336843190181</v>
      </c>
      <c r="J38" s="45">
        <f t="shared" ca="1" si="2"/>
        <v>0.53612106025884632</v>
      </c>
      <c r="L38" s="58">
        <f ca="1">_xll.EURO(UnderlyingPrice,$D38,IntRate,Yield,$I38,$D$6,L$12,0)</f>
        <v>0.37009214604464935</v>
      </c>
      <c r="M38" s="58">
        <f ca="1">_xll.EURO(UnderlyingPrice,$D38,IntRate,Yield,$I38,$D$6,M$12,0)</f>
        <v>6.8672354027253912E-2</v>
      </c>
      <c r="O38" s="58">
        <f ca="1">_xll.EURO(UnderlyingPrice,$D38*(1+$P$8),IntRate,Yield,$H38,Expiry-Today,O$12,0)</f>
        <v>0.3695176835282461</v>
      </c>
      <c r="P38" s="58">
        <f ca="1">_xll.EURO(UnderlyingPrice,$D38*(1+$P$8),IntRate,Yield,$H38,Expiry-Today,P$12,0)</f>
        <v>6.887639296043202E-2</v>
      </c>
      <c r="R38" s="58">
        <f ca="1">_xll.EURO(UnderlyingPrice,$D38*(1-$P$8),IntRate,Yield,$J38,Expiry-Today,R$12,0)</f>
        <v>0.37066706843954833</v>
      </c>
      <c r="S38" s="58">
        <f ca="1">_xll.EURO(UnderlyingPrice,$D38*(1-$P$8),IntRate,Yield,$J38,Expiry-Today,S$12,0)</f>
        <v>6.8468774972571311E-2</v>
      </c>
      <c r="U38" s="59">
        <f t="shared" ca="1" si="10"/>
        <v>0.7558818141499275</v>
      </c>
      <c r="V38" s="59"/>
      <c r="W38" s="62">
        <f t="shared" ca="1" si="3"/>
        <v>0.75733682365524235</v>
      </c>
      <c r="Z38" s="59">
        <f t="shared" ca="1" si="11"/>
        <v>0.92184358742550632</v>
      </c>
      <c r="AA38" s="59">
        <f t="shared" ca="1" si="12"/>
        <v>-6.8427371233272152E-2</v>
      </c>
      <c r="AB38" s="59">
        <f t="shared" ca="1" si="4"/>
        <v>-4.6823051338960413E-3</v>
      </c>
      <c r="AC38" s="59">
        <f t="shared" ca="1" si="13"/>
        <v>-0.19013115079579623</v>
      </c>
      <c r="AD38" s="60">
        <f t="shared" ca="1" si="5"/>
        <v>0.82685068470661194</v>
      </c>
      <c r="AE38" s="60">
        <f t="shared" ca="1" si="14"/>
        <v>0.76222700145517941</v>
      </c>
      <c r="AF38" s="60"/>
      <c r="AG38" s="96">
        <f t="shared" ca="1" si="15"/>
        <v>-0.61665411827992556</v>
      </c>
      <c r="AH38" s="96">
        <f t="shared" ca="1" si="16"/>
        <v>-0.6148519375151944</v>
      </c>
      <c r="AI38" s="96">
        <f t="shared" ca="1" si="17"/>
        <v>-0.61845665951685935</v>
      </c>
      <c r="AJ38" s="96"/>
      <c r="AK38" s="96">
        <f t="shared" ca="1" si="18"/>
        <v>0.32774939214632687</v>
      </c>
      <c r="AL38" s="96"/>
      <c r="AM38" s="94">
        <v>-0.6</v>
      </c>
      <c r="AN38" s="95">
        <f t="shared" ca="1" si="6"/>
        <v>0.33322460289179962</v>
      </c>
      <c r="AX38" s="106">
        <f t="shared" ca="1" si="19"/>
        <v>0.52849000000000002</v>
      </c>
      <c r="AY38" s="106">
        <f t="shared" ca="1" si="20"/>
        <v>0.52849390000000007</v>
      </c>
      <c r="AZ38" s="106">
        <f t="shared" ca="1" si="21"/>
        <v>0.52848610000000007</v>
      </c>
      <c r="BB38" s="109">
        <f ca="1">_xll.EURO(UnderlyingPrice,$D38,IntRate,Yield,AX38,$D$6,1,0)</f>
        <v>0.36804519408423397</v>
      </c>
      <c r="BC38" s="109">
        <f ca="1">_xll.EURO(UnderlyingPrice,$D38*(1+$P$8),IntRate,Yield,AY38,$D$6,1,0)</f>
        <v>0.36747658575132558</v>
      </c>
      <c r="BD38" s="109">
        <f ca="1">_xll.EURO(UnderlyingPrice,$D38*(1-$P$8),IntRate,Yield,AZ38,$D$6,1,0)</f>
        <v>0.36861426884023674</v>
      </c>
      <c r="BF38" s="59">
        <f t="shared" ca="1" si="22"/>
        <v>0.76663887963447841</v>
      </c>
      <c r="BG38" s="62">
        <f t="shared" ca="1" si="23"/>
        <v>0.76811459559447481</v>
      </c>
      <c r="BI38" s="96">
        <f t="shared" ca="1" si="24"/>
        <v>-0.61690122800059044</v>
      </c>
      <c r="BJ38" s="96">
        <f t="shared" ca="1" si="25"/>
        <v>-0.61509843517446738</v>
      </c>
      <c r="BK38" s="96">
        <f t="shared" ca="1" si="26"/>
        <v>-0.61870438142134054</v>
      </c>
      <c r="BL38" s="96"/>
      <c r="BM38" s="96">
        <f t="shared" ca="1" si="27"/>
        <v>0.33230078517294381</v>
      </c>
      <c r="BO38" s="58">
        <f t="shared" ca="1" si="28"/>
        <v>-2.0469519604153774E-3</v>
      </c>
      <c r="BP38" s="46">
        <f t="shared" ca="1" si="29"/>
        <v>-5.5616864268764081E-3</v>
      </c>
    </row>
    <row r="39" spans="3:68" x14ac:dyDescent="0.2">
      <c r="C39" s="56">
        <v>26</v>
      </c>
      <c r="D39" s="63">
        <f t="shared" ca="1" si="30"/>
        <v>3.9160000000000004</v>
      </c>
      <c r="E39" s="45">
        <f t="shared" ca="1" si="7"/>
        <v>-6.8062827225130795E-2</v>
      </c>
      <c r="F39" s="45">
        <f t="shared" ca="1" si="8"/>
        <v>-6.7876439790575893E-2</v>
      </c>
      <c r="G39" s="45">
        <f t="shared" ca="1" si="9"/>
        <v>-6.8249214659685697E-2</v>
      </c>
      <c r="H39" s="45">
        <f t="shared" ca="1" si="0"/>
        <v>0.53551440721189125</v>
      </c>
      <c r="I39" s="45">
        <f t="shared" ca="1" si="1"/>
        <v>0.53554071062638775</v>
      </c>
      <c r="J39" s="45">
        <f t="shared" ca="1" si="2"/>
        <v>0.53556708365665751</v>
      </c>
      <c r="L39" s="58">
        <f ca="1">_xll.EURO(UnderlyingPrice,$D39,IntRate,Yield,$I39,$D$6,L$12,0)</f>
        <v>0.35840104974071041</v>
      </c>
      <c r="M39" s="58">
        <f ca="1">_xll.EURO(UnderlyingPrice,$D39,IntRate,Yield,$I39,$D$6,M$12,0)</f>
        <v>7.2950518227547834E-2</v>
      </c>
      <c r="O39" s="58">
        <f ca="1">_xll.EURO(UnderlyingPrice,$D39*(1+$P$8),IntRate,Yield,$H39,Expiry-Today,O$12,0)</f>
        <v>0.35783381325999741</v>
      </c>
      <c r="P39" s="58">
        <f ca="1">_xll.EURO(UnderlyingPrice,$D39*(1+$P$8),IntRate,Yield,$H39,Expiry-Today,P$12,0)</f>
        <v>7.3164977048516988E-2</v>
      </c>
      <c r="R39" s="58">
        <f ca="1">_xll.EURO(UnderlyingPrice,$D39*(1-$P$8),IntRate,Yield,$J39,Expiry-Today,R$12,0)</f>
        <v>0.35896876004327849</v>
      </c>
      <c r="S39" s="58">
        <f ca="1">_xll.EURO(UnderlyingPrice,$D39*(1-$P$8),IntRate,Yield,$J39,Expiry-Today,S$12,0)</f>
        <v>7.273653322843443E-2</v>
      </c>
      <c r="U39" s="59">
        <f t="shared" ca="1" si="10"/>
        <v>0.77244885034137079</v>
      </c>
      <c r="V39" s="59"/>
      <c r="W39" s="62">
        <f t="shared" ca="1" si="3"/>
        <v>0.77393575001083859</v>
      </c>
      <c r="Z39" s="59">
        <f t="shared" ca="1" si="11"/>
        <v>0.91807711720109153</v>
      </c>
      <c r="AA39" s="59">
        <f t="shared" ca="1" si="12"/>
        <v>-6.4333199700608967E-2</v>
      </c>
      <c r="AB39" s="59">
        <f t="shared" ca="1" si="4"/>
        <v>-4.1387605837184338E-3</v>
      </c>
      <c r="AC39" s="59">
        <f t="shared" ca="1" si="13"/>
        <v>-0.16805981031738085</v>
      </c>
      <c r="AD39" s="60">
        <f t="shared" ca="1" si="5"/>
        <v>0.8453032753155082</v>
      </c>
      <c r="AE39" s="60">
        <f t="shared" ca="1" si="14"/>
        <v>0.77605359416230235</v>
      </c>
      <c r="AF39" s="60"/>
      <c r="AG39" s="96">
        <f t="shared" ca="1" si="15"/>
        <v>-0.57975824326589931</v>
      </c>
      <c r="AH39" s="96">
        <f t="shared" ca="1" si="16"/>
        <v>-0.57795606250116793</v>
      </c>
      <c r="AI39" s="96">
        <f t="shared" ca="1" si="17"/>
        <v>-0.58156078450283322</v>
      </c>
      <c r="AJ39" s="96"/>
      <c r="AK39" s="96">
        <f t="shared" ca="1" si="18"/>
        <v>0.33630692138171298</v>
      </c>
      <c r="AL39" s="96"/>
      <c r="AM39" s="94">
        <v>-0.5</v>
      </c>
      <c r="AN39" s="95">
        <f t="shared" ca="1" si="6"/>
        <v>0.35206532676429947</v>
      </c>
      <c r="AX39" s="106">
        <f t="shared" ca="1" si="19"/>
        <v>0.5285700000000001</v>
      </c>
      <c r="AY39" s="106">
        <f t="shared" ca="1" si="20"/>
        <v>0.52857391600000003</v>
      </c>
      <c r="AZ39" s="106">
        <f t="shared" ca="1" si="21"/>
        <v>0.52856608400000005</v>
      </c>
      <c r="BB39" s="109">
        <f ca="1">_xll.EURO(UnderlyingPrice,$D39,IntRate,Yield,AX39,$D$6,1,0)</f>
        <v>0.35647537305182775</v>
      </c>
      <c r="BC39" s="109">
        <f ca="1">_xll.EURO(UnderlyingPrice,$D39*(1+$P$8),IntRate,Yield,AY39,$D$6,1,0)</f>
        <v>0.35591413097146019</v>
      </c>
      <c r="BD39" s="109">
        <f ca="1">_xll.EURO(UnderlyingPrice,$D39*(1-$P$8),IntRate,Yield,AZ39,$D$6,1,0)</f>
        <v>0.35703709381005311</v>
      </c>
      <c r="BF39" s="59">
        <f t="shared" ca="1" si="22"/>
        <v>0.78036535666363516</v>
      </c>
      <c r="BG39" s="62">
        <f t="shared" ca="1" si="23"/>
        <v>0.78186749494809826</v>
      </c>
      <c r="BI39" s="96">
        <f t="shared" ca="1" si="24"/>
        <v>-0.57999282231203109</v>
      </c>
      <c r="BJ39" s="96">
        <f t="shared" ca="1" si="25"/>
        <v>-0.57819002948590792</v>
      </c>
      <c r="BK39" s="96">
        <f t="shared" ca="1" si="26"/>
        <v>-0.5817959757327813</v>
      </c>
      <c r="BL39" s="96"/>
      <c r="BM39" s="96">
        <f t="shared" ca="1" si="27"/>
        <v>0.33963824201445608</v>
      </c>
      <c r="BO39" s="58">
        <f t="shared" ca="1" si="28"/>
        <v>-1.9256766888826604E-3</v>
      </c>
      <c r="BP39" s="46">
        <f t="shared" ca="1" si="29"/>
        <v>-5.4019908090612682E-3</v>
      </c>
    </row>
    <row r="40" spans="3:68" x14ac:dyDescent="0.2">
      <c r="C40" s="56">
        <v>27</v>
      </c>
      <c r="D40" s="63">
        <f t="shared" ca="1" si="30"/>
        <v>3.9320000000000004</v>
      </c>
      <c r="E40" s="45">
        <f t="shared" ca="1" si="7"/>
        <v>-6.4255116611137475E-2</v>
      </c>
      <c r="F40" s="45">
        <f t="shared" ca="1" si="8"/>
        <v>-6.4067967634459655E-2</v>
      </c>
      <c r="G40" s="45">
        <f t="shared" ca="1" si="9"/>
        <v>-6.4442265587815184E-2</v>
      </c>
      <c r="H40" s="45">
        <f t="shared" ca="1" si="0"/>
        <v>0.5349921134132728</v>
      </c>
      <c r="I40" s="45">
        <f t="shared" ca="1" si="1"/>
        <v>0.53501710657506085</v>
      </c>
      <c r="J40" s="45">
        <f t="shared" ca="1" si="2"/>
        <v>0.53504216894715162</v>
      </c>
      <c r="L40" s="58">
        <f ca="1">_xll.EURO(UnderlyingPrice,$D40,IntRate,Yield,$I40,$D$6,L$12,0)</f>
        <v>0.34690768192763688</v>
      </c>
      <c r="M40" s="58">
        <f ca="1">_xll.EURO(UnderlyingPrice,$D40,IntRate,Yield,$I40,$D$6,M$12,0)</f>
        <v>7.7426410918707056E-2</v>
      </c>
      <c r="O40" s="58">
        <f ca="1">_xll.EURO(UnderlyingPrice,$D40*(1+$P$8),IntRate,Yield,$H40,Expiry-Today,O$12,0)</f>
        <v>0.34634795264172391</v>
      </c>
      <c r="P40" s="58">
        <f ca="1">_xll.EURO(UnderlyingPrice,$D40*(1+$P$8),IntRate,Yield,$H40,Expiry-Today,P$12,0)</f>
        <v>7.7651570786577251E-2</v>
      </c>
      <c r="R40" s="58">
        <f ca="1">_xll.EURO(UnderlyingPrice,$D40*(1-$P$8),IntRate,Yield,$J40,Expiry-Today,R$12,0)</f>
        <v>0.34746789862566629</v>
      </c>
      <c r="S40" s="58">
        <f ca="1">_xll.EURO(UnderlyingPrice,$D40*(1-$P$8),IntRate,Yield,$J40,Expiry-Today,S$12,0)</f>
        <v>7.7201738462953973E-2</v>
      </c>
      <c r="U40" s="59">
        <f t="shared" ca="1" si="10"/>
        <v>0.78815078299158581</v>
      </c>
      <c r="V40" s="59"/>
      <c r="W40" s="62">
        <f t="shared" ca="1" si="3"/>
        <v>0.78966790757297789</v>
      </c>
      <c r="Z40" s="59">
        <f t="shared" ca="1" si="11"/>
        <v>0.91434129983709933</v>
      </c>
      <c r="AA40" s="59">
        <f t="shared" ca="1" si="12"/>
        <v>-6.0255722083952815E-2</v>
      </c>
      <c r="AB40" s="59">
        <f t="shared" ca="1" si="4"/>
        <v>-3.6307520438585588E-3</v>
      </c>
      <c r="AC40" s="59">
        <f t="shared" ca="1" si="13"/>
        <v>-0.14743145621921866</v>
      </c>
      <c r="AD40" s="60">
        <f t="shared" ca="1" si="5"/>
        <v>0.8629215842022101</v>
      </c>
      <c r="AE40" s="60">
        <f t="shared" ca="1" si="14"/>
        <v>0.78900484295693774</v>
      </c>
      <c r="AF40" s="60"/>
      <c r="AG40" s="96">
        <f t="shared" ca="1" si="15"/>
        <v>-0.54301281056567841</v>
      </c>
      <c r="AH40" s="96">
        <f t="shared" ca="1" si="16"/>
        <v>-0.54121062980094592</v>
      </c>
      <c r="AI40" s="96">
        <f t="shared" ca="1" si="17"/>
        <v>-0.54481535180261242</v>
      </c>
      <c r="AJ40" s="96"/>
      <c r="AK40" s="96">
        <f t="shared" ca="1" si="18"/>
        <v>0.3445452061092627</v>
      </c>
      <c r="AL40" s="96"/>
      <c r="AM40" s="94">
        <v>-0.4</v>
      </c>
      <c r="AN40" s="95">
        <f t="shared" ca="1" si="6"/>
        <v>0.36827014030332328</v>
      </c>
      <c r="AX40" s="106">
        <f t="shared" ca="1" si="19"/>
        <v>0.52865000000000006</v>
      </c>
      <c r="AY40" s="106">
        <f t="shared" ca="1" si="20"/>
        <v>0.5286539320000001</v>
      </c>
      <c r="AZ40" s="106">
        <f t="shared" ca="1" si="21"/>
        <v>0.52864606800000002</v>
      </c>
      <c r="BB40" s="109">
        <f ca="1">_xll.EURO(UnderlyingPrice,$D40,IntRate,Yield,AX40,$D$6,1,0)</f>
        <v>0.34510530625496205</v>
      </c>
      <c r="BC40" s="109">
        <f ca="1">_xll.EURO(UnderlyingPrice,$D40*(1+$P$8),IntRate,Yield,AY40,$D$6,1,0)</f>
        <v>0.34455167648784668</v>
      </c>
      <c r="BD40" s="109">
        <f ca="1">_xll.EURO(UnderlyingPrice,$D40*(1-$P$8),IntRate,Yield,AZ40,$D$6,1,0)</f>
        <v>0.34565942654771797</v>
      </c>
      <c r="BF40" s="59">
        <f t="shared" ca="1" si="22"/>
        <v>0.79318538590477139</v>
      </c>
      <c r="BG40" s="62">
        <f t="shared" ca="1" si="23"/>
        <v>0.79471220167724255</v>
      </c>
      <c r="BI40" s="96">
        <f t="shared" ca="1" si="24"/>
        <v>-0.54323491003089308</v>
      </c>
      <c r="BJ40" s="96">
        <f t="shared" ca="1" si="25"/>
        <v>-0.5414321172047688</v>
      </c>
      <c r="BK40" s="96">
        <f t="shared" ca="1" si="26"/>
        <v>-0.54503806345164352</v>
      </c>
      <c r="BL40" s="96"/>
      <c r="BM40" s="96">
        <f t="shared" ca="1" si="27"/>
        <v>0.34662839244519528</v>
      </c>
      <c r="BO40" s="58">
        <f t="shared" ca="1" si="28"/>
        <v>-1.8023756726748275E-3</v>
      </c>
      <c r="BP40" s="46">
        <f t="shared" ca="1" si="29"/>
        <v>-5.2226831636811794E-3</v>
      </c>
    </row>
    <row r="41" spans="3:68" x14ac:dyDescent="0.2">
      <c r="C41" s="56">
        <v>28</v>
      </c>
      <c r="D41" s="63">
        <f t="shared" ca="1" si="30"/>
        <v>3.9480000000000004</v>
      </c>
      <c r="E41" s="45">
        <f t="shared" ca="1" si="7"/>
        <v>-6.0447405997144155E-2</v>
      </c>
      <c r="F41" s="45">
        <f t="shared" ca="1" si="8"/>
        <v>-6.0259495478343528E-2</v>
      </c>
      <c r="G41" s="45">
        <f t="shared" ca="1" si="9"/>
        <v>-6.0635316515944671E-2</v>
      </c>
      <c r="H41" s="45">
        <f t="shared" ca="1" si="0"/>
        <v>0.53449846115957611</v>
      </c>
      <c r="I41" s="45">
        <f t="shared" ca="1" si="1"/>
        <v>0.53452215246297807</v>
      </c>
      <c r="J41" s="45">
        <f t="shared" ca="1" si="2"/>
        <v>0.53454591255762651</v>
      </c>
      <c r="L41" s="58">
        <f ca="1">_xll.EURO(UnderlyingPrice,$D41,IntRate,Yield,$I41,$D$6,L$12,0)</f>
        <v>0.33561606096709617</v>
      </c>
      <c r="M41" s="58">
        <f ca="1">_xll.EURO(UnderlyingPrice,$D41,IntRate,Yield,$I41,$D$6,M$12,0)</f>
        <v>8.2104050462399325E-2</v>
      </c>
      <c r="O41" s="58">
        <f ca="1">_xll.EURO(UnderlyingPrice,$D41*(1+$P$8),IntRate,Yield,$H41,Expiry-Today,O$12,0)</f>
        <v>0.3350641111595225</v>
      </c>
      <c r="P41" s="58">
        <f ca="1">_xll.EURO(UnderlyingPrice,$D41*(1+$P$8),IntRate,Yield,$H41,Expiry-Today,P$12,0)</f>
        <v>8.2340183660709831E-2</v>
      </c>
      <c r="R41" s="58">
        <f ca="1">_xll.EURO(UnderlyingPrice,$D41*(1-$P$8),IntRate,Yield,$J41,Expiry-Today,R$12,0)</f>
        <v>0.33616851137284431</v>
      </c>
      <c r="S41" s="58">
        <f ca="1">_xll.EURO(UnderlyingPrice,$D41*(1-$P$8),IntRate,Yield,$J41,Expiry-Today,S$12,0)</f>
        <v>8.1868417862264398E-2</v>
      </c>
      <c r="U41" s="59">
        <f t="shared" ca="1" si="10"/>
        <v>0.80292500336952477</v>
      </c>
      <c r="V41" s="59"/>
      <c r="W41" s="62">
        <f t="shared" ca="1" si="3"/>
        <v>0.80447056709402243</v>
      </c>
      <c r="Z41" s="59">
        <f t="shared" ca="1" si="11"/>
        <v>0.9106357626543754</v>
      </c>
      <c r="AA41" s="59">
        <f t="shared" ca="1" si="12"/>
        <v>-5.6194802797637798E-2</v>
      </c>
      <c r="AB41" s="59">
        <f t="shared" ca="1" si="4"/>
        <v>-3.157855861465401E-3</v>
      </c>
      <c r="AC41" s="59">
        <f t="shared" ca="1" si="13"/>
        <v>-0.12822888552076958</v>
      </c>
      <c r="AD41" s="60">
        <f t="shared" ca="1" si="5"/>
        <v>0.87965201649113445</v>
      </c>
      <c r="AE41" s="60">
        <f t="shared" ca="1" si="14"/>
        <v>0.8010425849078634</v>
      </c>
      <c r="AF41" s="60"/>
      <c r="AG41" s="96">
        <f t="shared" ca="1" si="15"/>
        <v>-0.50641659830769681</v>
      </c>
      <c r="AH41" s="96">
        <f t="shared" ca="1" si="16"/>
        <v>-0.50461441754296421</v>
      </c>
      <c r="AI41" s="96">
        <f t="shared" ca="1" si="17"/>
        <v>-0.50821913954463094</v>
      </c>
      <c r="AJ41" s="96"/>
      <c r="AK41" s="96">
        <f t="shared" ca="1" si="18"/>
        <v>0.3524321484340463</v>
      </c>
      <c r="AL41" s="96"/>
      <c r="AM41" s="94">
        <v>-0.3</v>
      </c>
      <c r="AN41" s="95">
        <f t="shared" ca="1" si="6"/>
        <v>0.38138781546052408</v>
      </c>
      <c r="AX41" s="106">
        <f t="shared" ca="1" si="19"/>
        <v>0.52873000000000003</v>
      </c>
      <c r="AY41" s="106">
        <f t="shared" ca="1" si="20"/>
        <v>0.52873394800000006</v>
      </c>
      <c r="AZ41" s="106">
        <f t="shared" ca="1" si="21"/>
        <v>0.528726052</v>
      </c>
      <c r="BB41" s="109">
        <f ca="1">_xll.EURO(UnderlyingPrice,$D41,IntRate,Yield,AX41,$D$6,1,0)</f>
        <v>0.33393827483787142</v>
      </c>
      <c r="BC41" s="109">
        <f ca="1">_xll.EURO(UnderlyingPrice,$D41*(1+$P$8),IntRate,Yield,AY41,$D$6,1,0)</f>
        <v>0.33339249377730029</v>
      </c>
      <c r="BD41" s="109">
        <f ca="1">_xll.EURO(UnderlyingPrice,$D41*(1-$P$8),IntRate,Yield,AZ41,$D$6,1,0)</f>
        <v>0.33448455782904407</v>
      </c>
      <c r="BF41" s="59">
        <f t="shared" ca="1" si="22"/>
        <v>0.80506212462616844</v>
      </c>
      <c r="BG41" s="62">
        <f t="shared" ca="1" si="23"/>
        <v>0.80661180213100081</v>
      </c>
      <c r="BI41" s="96">
        <f t="shared" ca="1" si="24"/>
        <v>-0.50662626887063522</v>
      </c>
      <c r="BJ41" s="96">
        <f t="shared" ca="1" si="25"/>
        <v>-0.50482347604451083</v>
      </c>
      <c r="BK41" s="96">
        <f t="shared" ca="1" si="26"/>
        <v>-0.50842942229138566</v>
      </c>
      <c r="BL41" s="96"/>
      <c r="BM41" s="96">
        <f t="shared" ca="1" si="27"/>
        <v>0.35325023467258992</v>
      </c>
      <c r="BO41" s="58">
        <f t="shared" ca="1" si="28"/>
        <v>-1.6777861292247565E-3</v>
      </c>
      <c r="BP41" s="46">
        <f t="shared" ca="1" si="29"/>
        <v>-5.0242402732640617E-3</v>
      </c>
    </row>
    <row r="42" spans="3:68" x14ac:dyDescent="0.2">
      <c r="C42" s="56">
        <v>29</v>
      </c>
      <c r="D42" s="63">
        <f t="shared" ca="1" si="30"/>
        <v>3.9640000000000004</v>
      </c>
      <c r="E42" s="45">
        <f t="shared" ca="1" si="7"/>
        <v>-5.6639695383150723E-2</v>
      </c>
      <c r="F42" s="45">
        <f t="shared" ca="1" si="8"/>
        <v>-5.6451023322227512E-2</v>
      </c>
      <c r="G42" s="45">
        <f t="shared" ca="1" si="9"/>
        <v>-5.6828367444074046E-2</v>
      </c>
      <c r="H42" s="45">
        <f t="shared" ca="1" si="0"/>
        <v>0.534033046393521</v>
      </c>
      <c r="I42" s="45">
        <f t="shared" ca="1" si="1"/>
        <v>0.53405544447519659</v>
      </c>
      <c r="J42" s="45">
        <f t="shared" ca="1" si="2"/>
        <v>0.53407791091537993</v>
      </c>
      <c r="L42" s="58">
        <f ca="1">_xll.EURO(UnderlyingPrice,$D42,IntRate,Yield,$I42,$D$6,L$12,0)</f>
        <v>0.32452996781769672</v>
      </c>
      <c r="M42" s="58">
        <f ca="1">_xll.EURO(UnderlyingPrice,$D42,IntRate,Yield,$I42,$D$6,M$12,0)</f>
        <v>8.6987217817233065E-2</v>
      </c>
      <c r="O42" s="58">
        <f ca="1">_xll.EURO(UnderlyingPrice,$D42*(1+$P$8),IntRate,Yield,$H42,Expiry-Today,O$12,0)</f>
        <v>0.32398605994584129</v>
      </c>
      <c r="P42" s="58">
        <f ca="1">_xll.EURO(UnderlyingPrice,$D42*(1+$P$8),IntRate,Yield,$H42,Expiry-Today,P$12,0)</f>
        <v>8.7234586803362157E-2</v>
      </c>
      <c r="R42" s="58">
        <f ca="1">_xll.EURO(UnderlyingPrice,$D42*(1-$P$8),IntRate,Yield,$J42,Expiry-Today,R$12,0)</f>
        <v>0.32507438901978292</v>
      </c>
      <c r="S42" s="58">
        <f ca="1">_xll.EURO(UnderlyingPrice,$D42*(1-$P$8),IntRate,Yield,$J42,Expiry-Today,S$12,0)</f>
        <v>8.6740362161334739E-2</v>
      </c>
      <c r="U42" s="59">
        <f t="shared" ca="1" si="10"/>
        <v>0.81671316884589262</v>
      </c>
      <c r="V42" s="59"/>
      <c r="W42" s="62">
        <f t="shared" ca="1" si="3"/>
        <v>0.81828527363997738</v>
      </c>
      <c r="Z42" s="59">
        <f t="shared" ca="1" si="11"/>
        <v>0.90696013899078576</v>
      </c>
      <c r="AA42" s="59">
        <f t="shared" ca="1" si="12"/>
        <v>-5.2150307901131288E-2</v>
      </c>
      <c r="AB42" s="59">
        <f t="shared" ca="1" si="4"/>
        <v>-2.7196546141827964E-3</v>
      </c>
      <c r="AC42" s="59">
        <f t="shared" ca="1" si="13"/>
        <v>-0.11043514823892145</v>
      </c>
      <c r="AD42" s="60">
        <f t="shared" ca="1" si="5"/>
        <v>0.8954443994527711</v>
      </c>
      <c r="AE42" s="60">
        <f t="shared" ca="1" si="14"/>
        <v>0.81213237698620599</v>
      </c>
      <c r="AF42" s="60"/>
      <c r="AG42" s="96">
        <f t="shared" ca="1" si="15"/>
        <v>-0.46996839944600838</v>
      </c>
      <c r="AH42" s="96">
        <f t="shared" ca="1" si="16"/>
        <v>-0.46816621868127783</v>
      </c>
      <c r="AI42" s="96">
        <f t="shared" ca="1" si="17"/>
        <v>-0.47177094068294262</v>
      </c>
      <c r="AJ42" s="96"/>
      <c r="AK42" s="96">
        <f t="shared" ca="1" si="18"/>
        <v>0.35993708510235484</v>
      </c>
      <c r="AL42" s="96"/>
      <c r="AM42" s="94">
        <v>-0.2</v>
      </c>
      <c r="AN42" s="95">
        <f t="shared" ca="1" si="6"/>
        <v>0.39104269397545582</v>
      </c>
      <c r="AX42" s="106">
        <f t="shared" ca="1" si="19"/>
        <v>0.52881</v>
      </c>
      <c r="AY42" s="106">
        <f t="shared" ca="1" si="20"/>
        <v>0.52881396400000003</v>
      </c>
      <c r="AZ42" s="106">
        <f t="shared" ca="1" si="21"/>
        <v>0.52880603600000009</v>
      </c>
      <c r="BB42" s="109">
        <f ca="1">_xll.EURO(UnderlyingPrice,$D42,IntRate,Yield,AX42,$D$6,1,0)</f>
        <v>0.32297731855003242</v>
      </c>
      <c r="BC42" s="109">
        <f ca="1">_xll.EURO(UnderlyingPrice,$D42*(1+$P$8),IntRate,Yield,AY42,$D$6,1,0)</f>
        <v>0.32243961229224949</v>
      </c>
      <c r="BD42" s="109">
        <f ca="1">_xll.EURO(UnderlyingPrice,$D42*(1-$P$8),IntRate,Yield,AZ42,$D$6,1,0)</f>
        <v>0.32351553766648333</v>
      </c>
      <c r="BF42" s="59">
        <f t="shared" ca="1" si="22"/>
        <v>0.81596290806544047</v>
      </c>
      <c r="BG42" s="62">
        <f t="shared" ca="1" si="23"/>
        <v>0.81753356867004134</v>
      </c>
      <c r="BI42" s="96">
        <f t="shared" ca="1" si="24"/>
        <v>-0.47016569137537112</v>
      </c>
      <c r="BJ42" s="96">
        <f t="shared" ca="1" si="25"/>
        <v>-0.46836289854924879</v>
      </c>
      <c r="BK42" s="96">
        <f t="shared" ca="1" si="26"/>
        <v>-0.47196884479612167</v>
      </c>
      <c r="BL42" s="96"/>
      <c r="BM42" s="96">
        <f t="shared" ca="1" si="27"/>
        <v>0.35948434550497466</v>
      </c>
      <c r="BO42" s="58">
        <f t="shared" ca="1" si="28"/>
        <v>-1.5526492676642967E-3</v>
      </c>
      <c r="BP42" s="46">
        <f t="shared" ca="1" si="29"/>
        <v>-4.8073012514771246E-3</v>
      </c>
    </row>
    <row r="43" spans="3:68" x14ac:dyDescent="0.2">
      <c r="C43" s="56">
        <v>30</v>
      </c>
      <c r="D43" s="63">
        <f t="shared" ca="1" si="30"/>
        <v>3.9800000000000004</v>
      </c>
      <c r="E43" s="45">
        <f t="shared" ca="1" si="7"/>
        <v>-5.2831984769157403E-2</v>
      </c>
      <c r="F43" s="45">
        <f t="shared" ca="1" si="8"/>
        <v>-5.2642551166111273E-2</v>
      </c>
      <c r="G43" s="45">
        <f t="shared" ca="1" si="9"/>
        <v>-5.3021418372203533E-2</v>
      </c>
      <c r="H43" s="45">
        <f t="shared" ca="1" si="0"/>
        <v>0.5335954650578274</v>
      </c>
      <c r="I43" s="45">
        <f t="shared" ca="1" si="1"/>
        <v>0.53361657879677427</v>
      </c>
      <c r="J43" s="45">
        <f t="shared" ca="1" si="2"/>
        <v>0.53363776044770983</v>
      </c>
      <c r="L43" s="58">
        <f ca="1">_xll.EURO(UnderlyingPrice,$D43,IntRate,Yield,$I43,$D$6,L$12,0)</f>
        <v>0.31365293110987746</v>
      </c>
      <c r="M43" s="58">
        <f ca="1">_xll.EURO(UnderlyingPrice,$D43,IntRate,Yield,$I43,$D$6,M$12,0)</f>
        <v>9.2079441613646562E-2</v>
      </c>
      <c r="O43" s="58">
        <f ca="1">_xll.EURO(UnderlyingPrice,$D43*(1+$P$8),IntRate,Yield,$H43,Expiry-Today,O$12,0)</f>
        <v>0.31311731689645494</v>
      </c>
      <c r="P43" s="58">
        <f ca="1">_xll.EURO(UnderlyingPrice,$D43*(1+$P$8),IntRate,Yield,$H43,Expiry-Today,P$12,0)</f>
        <v>9.233829811030958E-2</v>
      </c>
      <c r="R43" s="58">
        <f ca="1">_xll.EURO(UnderlyingPrice,$D43*(1-$P$8),IntRate,Yield,$J43,Expiry-Today,R$12,0)</f>
        <v>0.31418907088349979</v>
      </c>
      <c r="S43" s="58">
        <f ca="1">_xll.EURO(UnderlyingPrice,$D43*(1-$P$8),IntRate,Yield,$J43,Expiry-Today,S$12,0)</f>
        <v>9.1821110677183571E-2</v>
      </c>
      <c r="U43" s="59">
        <f t="shared" ca="1" si="10"/>
        <v>0.82946169257788793</v>
      </c>
      <c r="V43" s="59"/>
      <c r="W43" s="62">
        <f t="shared" ca="1" si="3"/>
        <v>0.83105833721783418</v>
      </c>
      <c r="Z43" s="59">
        <f t="shared" ca="1" si="11"/>
        <v>0.90331406808026993</v>
      </c>
      <c r="AA43" s="59">
        <f t="shared" ca="1" si="12"/>
        <v>-4.8122105072526525E-2</v>
      </c>
      <c r="AB43" s="59">
        <f t="shared" ca="1" si="4"/>
        <v>-2.3157369966112832E-3</v>
      </c>
      <c r="AC43" s="59">
        <f t="shared" ca="1" si="13"/>
        <v>-9.403354277762449E-2</v>
      </c>
      <c r="AD43" s="60">
        <f t="shared" ca="1" si="5"/>
        <v>0.9102522293405797</v>
      </c>
      <c r="AE43" s="60">
        <f t="shared" ca="1" si="14"/>
        <v>0.82224364426477392</v>
      </c>
      <c r="AF43" s="60"/>
      <c r="AG43" s="96">
        <f t="shared" ca="1" si="15"/>
        <v>-0.43366702152140757</v>
      </c>
      <c r="AH43" s="96">
        <f t="shared" ca="1" si="16"/>
        <v>-0.43186484075667586</v>
      </c>
      <c r="AI43" s="96">
        <f t="shared" ca="1" si="17"/>
        <v>-0.43546956275834187</v>
      </c>
      <c r="AJ43" s="96"/>
      <c r="AK43" s="96">
        <f t="shared" ca="1" si="18"/>
        <v>0.3670310421273309</v>
      </c>
      <c r="AL43" s="96"/>
      <c r="AM43" s="94">
        <v>-0.1</v>
      </c>
      <c r="AN43" s="95">
        <f t="shared" ca="1" si="6"/>
        <v>0.39695254747701175</v>
      </c>
      <c r="AX43" s="106">
        <f t="shared" ca="1" si="19"/>
        <v>0.52889000000000008</v>
      </c>
      <c r="AY43" s="106">
        <f t="shared" ca="1" si="20"/>
        <v>0.5288939800000001</v>
      </c>
      <c r="AZ43" s="106">
        <f t="shared" ca="1" si="21"/>
        <v>0.52888602000000007</v>
      </c>
      <c r="BB43" s="109">
        <f ca="1">_xll.EURO(UnderlyingPrice,$D43,IntRate,Yield,AX43,$D$6,1,0)</f>
        <v>0.31222522739091518</v>
      </c>
      <c r="BC43" s="109">
        <f ca="1">_xll.EURO(UnderlyingPrice,$D43*(1+$P$8),IntRate,Yield,AY43,$D$6,1,0)</f>
        <v>0.31169581115135392</v>
      </c>
      <c r="BD43" s="109">
        <f ca="1">_xll.EURO(UnderlyingPrice,$D43*(1-$P$8),IntRate,Yield,AZ43,$D$6,1,0)</f>
        <v>0.31275516690824823</v>
      </c>
      <c r="BF43" s="59">
        <f t="shared" ca="1" si="22"/>
        <v>0.82585946658555454</v>
      </c>
      <c r="BG43" s="62">
        <f t="shared" ca="1" si="23"/>
        <v>0.82744917724063571</v>
      </c>
      <c r="BI43" s="96">
        <f t="shared" ca="1" si="24"/>
        <v>-0.43385198468090913</v>
      </c>
      <c r="BJ43" s="96">
        <f t="shared" ca="1" si="25"/>
        <v>-0.43204919185478563</v>
      </c>
      <c r="BK43" s="96">
        <f t="shared" ca="1" si="26"/>
        <v>-0.43565513810165973</v>
      </c>
      <c r="BL43" s="96"/>
      <c r="BM43" s="96">
        <f t="shared" ca="1" si="27"/>
        <v>0.36531301355615686</v>
      </c>
      <c r="BO43" s="58">
        <f t="shared" ca="1" si="28"/>
        <v>-1.427703718962281E-3</v>
      </c>
      <c r="BP43" s="46">
        <f t="shared" ca="1" si="29"/>
        <v>-4.572672525192059E-3</v>
      </c>
    </row>
    <row r="44" spans="3:68" x14ac:dyDescent="0.2">
      <c r="C44" s="56">
        <v>31</v>
      </c>
      <c r="D44" s="63">
        <f t="shared" ca="1" si="30"/>
        <v>3.9960000000000004</v>
      </c>
      <c r="E44" s="45">
        <f t="shared" ca="1" si="7"/>
        <v>-4.9024274155164083E-2</v>
      </c>
      <c r="F44" s="45">
        <f t="shared" ca="1" si="8"/>
        <v>-4.8834079009995146E-2</v>
      </c>
      <c r="G44" s="45">
        <f t="shared" ca="1" si="9"/>
        <v>-4.9214469300333019E-2</v>
      </c>
      <c r="H44" s="45">
        <f t="shared" ca="1" si="0"/>
        <v>0.533185313095215</v>
      </c>
      <c r="I44" s="45">
        <f t="shared" ca="1" si="1"/>
        <v>0.53320515161276805</v>
      </c>
      <c r="J44" s="45">
        <f t="shared" ca="1" si="2"/>
        <v>0.53322505758191407</v>
      </c>
      <c r="L44" s="58">
        <f ca="1">_xll.EURO(UnderlyingPrice,$D44,IntRate,Yield,$I44,$D$6,L$12,0)</f>
        <v>0.30298821343525306</v>
      </c>
      <c r="M44" s="58">
        <f ca="1">_xll.EURO(UnderlyingPrice,$D44,IntRate,Yield,$I44,$D$6,M$12,0)</f>
        <v>9.7383984443255134E-2</v>
      </c>
      <c r="O44" s="58">
        <f ca="1">_xll.EURO(UnderlyingPrice,$D44*(1+$P$8),IntRate,Yield,$H44,Expiry-Today,O$12,0)</f>
        <v>0.30246113300930411</v>
      </c>
      <c r="P44" s="58">
        <f ca="1">_xll.EURO(UnderlyingPrice,$D44*(1+$P$8),IntRate,Yield,$H44,Expiry-Today,P$12,0)</f>
        <v>9.7654568579492507E-2</v>
      </c>
      <c r="R44" s="58">
        <f ca="1">_xll.EURO(UnderlyingPrice,$D44*(1-$P$8),IntRate,Yield,$J44,Expiry-Today,R$12,0)</f>
        <v>0.30351583110329594</v>
      </c>
      <c r="S44" s="58">
        <f ca="1">_xll.EURO(UnderlyingPrice,$D44*(1-$P$8),IntRate,Yield,$J44,Expiry-Today,S$12,0)</f>
        <v>9.7113937549111684E-2</v>
      </c>
      <c r="U44" s="59">
        <f t="shared" ca="1" si="10"/>
        <v>0.84112217498269692</v>
      </c>
      <c r="V44" s="59"/>
      <c r="W44" s="62">
        <f t="shared" ca="1" si="3"/>
        <v>0.84274126507961544</v>
      </c>
      <c r="Z44" s="59">
        <f t="shared" ca="1" si="11"/>
        <v>0.89969719493480349</v>
      </c>
      <c r="AA44" s="59">
        <f t="shared" ca="1" si="12"/>
        <v>-4.4110063582565799E-2</v>
      </c>
      <c r="AB44" s="59">
        <f t="shared" ca="1" si="4"/>
        <v>-1.9456977092579975E-3</v>
      </c>
      <c r="AC44" s="59">
        <f t="shared" ca="1" si="13"/>
        <v>-7.9007611418555862E-2</v>
      </c>
      <c r="AD44" s="60">
        <f t="shared" ca="1" si="5"/>
        <v>0.92403289121722598</v>
      </c>
      <c r="AE44" s="60">
        <f t="shared" ca="1" si="14"/>
        <v>0.83134980025563465</v>
      </c>
      <c r="AF44" s="60"/>
      <c r="AG44" s="96">
        <f t="shared" ca="1" si="15"/>
        <v>-0.39751128642733119</v>
      </c>
      <c r="AH44" s="96">
        <f t="shared" ca="1" si="16"/>
        <v>-0.39570910566259937</v>
      </c>
      <c r="AI44" s="96">
        <f t="shared" ca="1" si="17"/>
        <v>-0.39931382766426554</v>
      </c>
      <c r="AJ44" s="96"/>
      <c r="AK44" s="96">
        <f t="shared" ca="1" si="18"/>
        <v>0.37368696878167879</v>
      </c>
      <c r="AL44" s="96"/>
      <c r="AM44" s="94">
        <v>0</v>
      </c>
      <c r="AN44" s="95">
        <f t="shared" ca="1" si="6"/>
        <v>0.39894228040143265</v>
      </c>
      <c r="AX44" s="106">
        <f t="shared" ca="1" si="19"/>
        <v>0.52897000000000005</v>
      </c>
      <c r="AY44" s="106">
        <f t="shared" ca="1" si="20"/>
        <v>0.52897399600000006</v>
      </c>
      <c r="AZ44" s="106">
        <f t="shared" ca="1" si="21"/>
        <v>0.52896600400000005</v>
      </c>
      <c r="BB44" s="109">
        <f ca="1">_xll.EURO(UnderlyingPrice,$D44,IntRate,Yield,AX44,$D$6,1,0)</f>
        <v>0.30168453437465192</v>
      </c>
      <c r="BC44" s="109">
        <f ca="1">_xll.EURO(UnderlyingPrice,$D44*(1+$P$8),IntRate,Yield,AY44,$D$6,1,0)</f>
        <v>0.30116361195341401</v>
      </c>
      <c r="BD44" s="109">
        <f ca="1">_xll.EURO(UnderlyingPrice,$D44*(1-$P$8),IntRate,Yield,AZ44,$D$6,1,0)</f>
        <v>0.30220598995392578</v>
      </c>
      <c r="BF44" s="59">
        <f t="shared" ca="1" si="22"/>
        <v>0.83472805253709825</v>
      </c>
      <c r="BG44" s="62">
        <f t="shared" ca="1" si="23"/>
        <v>0.83633483448112522</v>
      </c>
      <c r="BI44" s="96">
        <f t="shared" ca="1" si="24"/>
        <v>-0.39768397028057439</v>
      </c>
      <c r="BJ44" s="96">
        <f t="shared" ca="1" si="25"/>
        <v>-0.39588117745445078</v>
      </c>
      <c r="BK44" s="96">
        <f t="shared" ca="1" si="26"/>
        <v>-0.39948712370132505</v>
      </c>
      <c r="BL44" s="96"/>
      <c r="BM44" s="96">
        <f t="shared" ca="1" si="27"/>
        <v>0.37072033466760701</v>
      </c>
      <c r="BO44" s="58">
        <f t="shared" ca="1" si="28"/>
        <v>-1.3036790606011373E-3</v>
      </c>
      <c r="BP44" s="46">
        <f t="shared" ca="1" si="29"/>
        <v>-4.321332093816058E-3</v>
      </c>
    </row>
    <row r="45" spans="3:68" x14ac:dyDescent="0.2">
      <c r="C45" s="56">
        <v>32</v>
      </c>
      <c r="D45" s="63">
        <f t="shared" ca="1" si="30"/>
        <v>4.0120000000000005</v>
      </c>
      <c r="E45" s="45">
        <f t="shared" ca="1" si="7"/>
        <v>-4.5216563541170762E-2</v>
      </c>
      <c r="F45" s="45">
        <f t="shared" ca="1" si="8"/>
        <v>-4.502560685387913E-2</v>
      </c>
      <c r="G45" s="45">
        <f t="shared" ca="1" si="9"/>
        <v>-4.5407520228462395E-2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0.53280218644840427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0.53282075910823568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0.5328393987452904</v>
      </c>
      <c r="L45" s="58">
        <f ca="1">_xll.EURO(UnderlyingPrice,$D45,IntRate,Yield,$I45,$D$6,L$12,0)</f>
        <v>0.29253879896613455</v>
      </c>
      <c r="M45" s="58">
        <f ca="1">_xll.EURO(UnderlyingPrice,$D45,IntRate,Yield,$I45,$D$6,M$12,0)</f>
        <v>0.1029038304783696</v>
      </c>
      <c r="O45" s="58">
        <f ca="1">_xll.EURO(UnderlyingPrice,$D45*(1+$P$8),IntRate,Yield,$H45,Expiry-Today,O$12,0)</f>
        <v>0.29202048006058456</v>
      </c>
      <c r="P45" s="58">
        <f ca="1">_xll.EURO(UnderlyingPrice,$D45*(1+$P$8),IntRate,Yield,$H45,Expiry-Today,P$12,0)</f>
        <v>0.10318636998710673</v>
      </c>
      <c r="R45" s="58">
        <f ca="1">_xll.EURO(UnderlyingPrice,$D45*(1-$P$8),IntRate,Yield,$J45,Expiry-Today,R$12,0)</f>
        <v>0.2930576662041009</v>
      </c>
      <c r="S45" s="58">
        <f ca="1">_xll.EURO(UnderlyingPrice,$D45*(1-$P$8),IntRate,Yield,$J45,Expiry-Today,S$12,0)</f>
        <v>0.1026218393020486</v>
      </c>
      <c r="U45" s="59">
        <f t="shared" ca="1" si="10"/>
        <v>0.85165182474964018</v>
      </c>
      <c r="V45" s="59"/>
      <c r="W45" s="62">
        <f t="shared" ref="W45:W65" ca="1" si="34">U45/$D$9</f>
        <v>0.85329118354493416</v>
      </c>
      <c r="Z45" s="59">
        <f t="shared" ca="1" si="11"/>
        <v>0.89610917022918102</v>
      </c>
      <c r="AA45" s="59">
        <f t="shared" ca="1" si="12"/>
        <v>-4.0114054269183803E-2</v>
      </c>
      <c r="AB45" s="59">
        <f t="shared" ca="1" si="4"/>
        <v>-1.6091373499110234E-3</v>
      </c>
      <c r="AC45" s="59">
        <f t="shared" ca="1" si="13"/>
        <v>-6.5341135910232523E-2</v>
      </c>
      <c r="AD45" s="60">
        <f t="shared" ca="1" si="5"/>
        <v>0.93674785053414356</v>
      </c>
      <c r="AE45" s="60">
        <f t="shared" ca="1" si="14"/>
        <v>0.83942833905612024</v>
      </c>
      <c r="AF45" s="60"/>
      <c r="AG45" s="96">
        <f t="shared" ca="1" si="15"/>
        <v>-0.3615000301804483</v>
      </c>
      <c r="AH45" s="96">
        <f t="shared" ca="1" si="16"/>
        <v>-0.35969784941571747</v>
      </c>
      <c r="AI45" s="96">
        <f t="shared" ca="1" si="17"/>
        <v>-0.36330257141738165</v>
      </c>
      <c r="AJ45" s="96"/>
      <c r="AK45" s="96">
        <f t="shared" ca="1" si="18"/>
        <v>0.37987997152643793</v>
      </c>
      <c r="AL45" s="96"/>
      <c r="AM45" s="94">
        <v>0.1</v>
      </c>
      <c r="AN45" s="95">
        <f t="shared" ca="1" si="6"/>
        <v>0.39695254747701175</v>
      </c>
      <c r="AX45" s="106">
        <f t="shared" ca="1" si="19"/>
        <v>0.52905000000000002</v>
      </c>
      <c r="AY45" s="106">
        <f t="shared" ca="1" si="20"/>
        <v>0.52905401200000002</v>
      </c>
      <c r="AZ45" s="106">
        <f t="shared" ca="1" si="21"/>
        <v>0.52904598800000002</v>
      </c>
      <c r="BB45" s="109">
        <f ca="1">_xll.EURO(UnderlyingPrice,$D45,IntRate,Yield,AX45,$D$6,1,0)</f>
        <v>0.29135750945255934</v>
      </c>
      <c r="BC45" s="109">
        <f ca="1">_xll.EURO(UnderlyingPrice,$D45*(1+$P$8),IntRate,Yield,AY45,$D$6,1,0)</f>
        <v>0.29084527275222127</v>
      </c>
      <c r="BD45" s="109">
        <f ca="1">_xll.EURO(UnderlyingPrice,$D45*(1-$P$8),IntRate,Yield,AZ45,$D$6,1,0)</f>
        <v>0.2918702886248572</v>
      </c>
      <c r="BF45" s="59">
        <f t="shared" ca="1" si="22"/>
        <v>0.84254955689518218</v>
      </c>
      <c r="BG45" s="62">
        <f t="shared" ca="1" si="23"/>
        <v>0.84417139458333978</v>
      </c>
      <c r="BI45" s="96">
        <f t="shared" ca="1" si="24"/>
        <v>-0.36166048379572086</v>
      </c>
      <c r="BJ45" s="96">
        <f t="shared" ca="1" si="25"/>
        <v>-0.35985769096959824</v>
      </c>
      <c r="BK45" s="96">
        <f t="shared" ca="1" si="26"/>
        <v>-0.36346363721647057</v>
      </c>
      <c r="BL45" s="96"/>
      <c r="BM45" s="96">
        <f t="shared" ca="1" si="27"/>
        <v>0.37569230412194488</v>
      </c>
      <c r="BO45" s="58">
        <f t="shared" ca="1" si="28"/>
        <v>-1.1812895135752122E-3</v>
      </c>
      <c r="BP45" s="46">
        <f t="shared" ca="1" si="29"/>
        <v>-4.0544330427411106E-3</v>
      </c>
    </row>
    <row r="46" spans="3:68" x14ac:dyDescent="0.2">
      <c r="C46" s="56">
        <v>33</v>
      </c>
      <c r="D46" s="63">
        <f t="shared" ca="1" si="30"/>
        <v>4.0280000000000005</v>
      </c>
      <c r="E46" s="45">
        <f t="shared" ca="1" si="7"/>
        <v>-4.1408852927177442E-2</v>
      </c>
      <c r="F46" s="45">
        <f t="shared" ca="1" si="8"/>
        <v>-4.1217134697762892E-2</v>
      </c>
      <c r="G46" s="45">
        <f t="shared" ca="1" si="9"/>
        <v>-4.1600571156591881E-2</v>
      </c>
      <c r="H46" s="45">
        <f t="shared" ca="1" si="31"/>
        <v>0.53244568106011469</v>
      </c>
      <c r="I46" s="45">
        <f t="shared" ca="1" si="32"/>
        <v>0.53246299746823389</v>
      </c>
      <c r="J46" s="45">
        <f t="shared" ca="1" si="33"/>
        <v>0.53248038036513667</v>
      </c>
      <c r="L46" s="58">
        <f ca="1">_xll.EURO(UnderlyingPrice,$D46,IntRate,Yield,$I46,$D$6,L$12,0)</f>
        <v>0.28230738251022203</v>
      </c>
      <c r="M46" s="58">
        <f ca="1">_xll.EURO(UnderlyingPrice,$D46,IntRate,Yield,$I46,$D$6,M$12,0)</f>
        <v>0.1086416745266896</v>
      </c>
      <c r="O46" s="58">
        <f ca="1">_xll.EURO(UnderlyingPrice,$D46*(1+$P$8),IntRate,Yield,$H46,Expiry-Today,O$12,0)</f>
        <v>0.28179803972265249</v>
      </c>
      <c r="P46" s="58">
        <f ca="1">_xll.EURO(UnderlyingPrice,$D46*(1+$P$8),IntRate,Yield,$H46,Expiry-Today,P$12,0)</f>
        <v>0.10893638400550798</v>
      </c>
      <c r="R46" s="58">
        <f ca="1">_xll.EURO(UnderlyingPrice,$D46*(1-$P$8),IntRate,Yield,$J46,Expiry-Today,R$12,0)</f>
        <v>0.28281728408833429</v>
      </c>
      <c r="S46" s="58">
        <f ca="1">_xll.EURO(UnderlyingPrice,$D46*(1-$P$8),IntRate,Yield,$J46,Expiry-Today,S$12,0)</f>
        <v>0.10834752383841395</v>
      </c>
      <c r="U46" s="59">
        <f t="shared" ref="U46:U77" ca="1" si="35">(O46+R46-2*L46)/($P$8*D46)^2</f>
        <v>0.86101383957750732</v>
      </c>
      <c r="V46" s="59"/>
      <c r="W46" s="62">
        <f t="shared" ca="1" si="34"/>
        <v>0.86267121947121705</v>
      </c>
      <c r="Z46" s="59">
        <f t="shared" ca="1" si="11"/>
        <v>0.89254965018854882</v>
      </c>
      <c r="AA46" s="59">
        <f t="shared" ca="1" si="12"/>
        <v>-3.6133949512557058E-2</v>
      </c>
      <c r="AB46" s="59">
        <f t="shared" ca="1" si="4"/>
        <v>-1.3056623073760224E-3</v>
      </c>
      <c r="AC46" s="59">
        <f t="shared" ca="1" si="13"/>
        <v>-5.3018133153047403E-2</v>
      </c>
      <c r="AD46" s="60">
        <f t="shared" ca="1" si="5"/>
        <v>0.94836281551830282</v>
      </c>
      <c r="AE46" s="60">
        <f t="shared" ca="1" si="14"/>
        <v>0.84646089924268841</v>
      </c>
      <c r="AF46" s="60"/>
      <c r="AG46" s="96">
        <f t="shared" ca="1" si="15"/>
        <v>-0.32563210269581039</v>
      </c>
      <c r="AH46" s="96">
        <f t="shared" ca="1" si="16"/>
        <v>-0.32382992193107846</v>
      </c>
      <c r="AI46" s="96">
        <f t="shared" ca="1" si="17"/>
        <v>-0.3274346439327438</v>
      </c>
      <c r="AJ46" s="96"/>
      <c r="AK46" s="96">
        <f t="shared" ca="1" si="18"/>
        <v>0.38558753439790672</v>
      </c>
      <c r="AL46" s="96"/>
      <c r="AM46" s="94">
        <v>0.2</v>
      </c>
      <c r="AN46" s="95">
        <f t="shared" ca="1" si="6"/>
        <v>0.39104269397545582</v>
      </c>
      <c r="AX46" s="106">
        <f t="shared" ca="1" si="19"/>
        <v>0.5291300000000001</v>
      </c>
      <c r="AY46" s="106">
        <f t="shared" ca="1" si="20"/>
        <v>0.52913402800000009</v>
      </c>
      <c r="AZ46" s="106">
        <f t="shared" ca="1" si="21"/>
        <v>0.529125972</v>
      </c>
      <c r="BB46" s="109">
        <f ca="1">_xll.EURO(UnderlyingPrice,$D46,IntRate,Yield,AX46,$D$6,1,0)</f>
        <v>0.28124615462436697</v>
      </c>
      <c r="BC46" s="109">
        <f ca="1">_xll.EURO(UnderlyingPrice,$D46*(1+$P$8),IntRate,Yield,AY46,$D$6,1,0)</f>
        <v>0.28074278322289947</v>
      </c>
      <c r="BD46" s="109">
        <f ca="1">_xll.EURO(UnderlyingPrice,$D46*(1-$P$8),IntRate,Yield,AZ46,$D$6,1,0)</f>
        <v>0.28175007722043599</v>
      </c>
      <c r="BF46" s="59">
        <f t="shared" ca="1" si="22"/>
        <v>0.84930961410159411</v>
      </c>
      <c r="BG46" s="62">
        <f t="shared" ca="1" si="23"/>
        <v>0.85094446433656479</v>
      </c>
      <c r="BI46" s="96">
        <f t="shared" ca="1" si="24"/>
        <v>-0.32578037475080518</v>
      </c>
      <c r="BJ46" s="96">
        <f t="shared" ca="1" si="25"/>
        <v>-0.32397758192468146</v>
      </c>
      <c r="BK46" s="96">
        <f t="shared" ca="1" si="26"/>
        <v>-0.32758352817155489</v>
      </c>
      <c r="BL46" s="96"/>
      <c r="BM46" s="96">
        <f t="shared" ca="1" si="27"/>
        <v>0.3802169048215418</v>
      </c>
      <c r="BO46" s="58">
        <f t="shared" ca="1" si="28"/>
        <v>-1.0612278858550539E-3</v>
      </c>
      <c r="BP46" s="46">
        <f t="shared" ca="1" si="29"/>
        <v>-3.7733062955916052E-3</v>
      </c>
    </row>
    <row r="47" spans="3:68" x14ac:dyDescent="0.2">
      <c r="C47" s="56">
        <v>34</v>
      </c>
      <c r="D47" s="63">
        <f t="shared" ca="1" si="30"/>
        <v>4.0440000000000005</v>
      </c>
      <c r="E47" s="45">
        <f t="shared" ca="1" si="7"/>
        <v>-3.7601142313184122E-2</v>
      </c>
      <c r="F47" s="45">
        <f t="shared" ca="1" si="8"/>
        <v>-3.7408662541646764E-2</v>
      </c>
      <c r="G47" s="45">
        <f t="shared" ca="1" si="9"/>
        <v>-3.7793622084721368E-2</v>
      </c>
      <c r="H47" s="45">
        <f t="shared" ca="1" si="31"/>
        <v>0.53211539287306653</v>
      </c>
      <c r="I47" s="45">
        <f t="shared" ca="1" si="32"/>
        <v>0.53213146287782065</v>
      </c>
      <c r="J47" s="45">
        <f t="shared" ca="1" si="33"/>
        <v>0.53214759886875107</v>
      </c>
      <c r="L47" s="58">
        <f ca="1">_xll.EURO(UnderlyingPrice,$D47,IntRate,Yield,$I47,$D$6,L$12,0)</f>
        <v>0.2722963600934829</v>
      </c>
      <c r="M47" s="58">
        <f ca="1">_xll.EURO(UnderlyingPrice,$D47,IntRate,Yield,$I47,$D$6,M$12,0)</f>
        <v>0.11459991261418323</v>
      </c>
      <c r="O47" s="58">
        <f ca="1">_xll.EURO(UnderlyingPrice,$D47*(1+$P$8),IntRate,Yield,$H47,Expiry-Today,O$12,0)</f>
        <v>0.27179619421626899</v>
      </c>
      <c r="P47" s="58">
        <f ca="1">_xll.EURO(UnderlyingPrice,$D47*(1+$P$8),IntRate,Yield,$H47,Expiry-Today,P$12,0)</f>
        <v>0.11490699285545736</v>
      </c>
      <c r="R47" s="58">
        <f ca="1">_xll.EURO(UnderlyingPrice,$D47*(1-$P$8),IntRate,Yield,$J47,Expiry-Today,R$12,0)</f>
        <v>0.27279709454974599</v>
      </c>
      <c r="S47" s="58">
        <f ca="1">_xll.EURO(UnderlyingPrice,$D47*(1-$P$8),IntRate,Yield,$J47,Expiry-Today,S$12,0)</f>
        <v>0.11429340095195761</v>
      </c>
      <c r="U47" s="59">
        <f t="shared" ca="1" si="35"/>
        <v>0.86917768477274437</v>
      </c>
      <c r="V47" s="59"/>
      <c r="W47" s="62">
        <f t="shared" ca="1" si="34"/>
        <v>0.87085077938816935</v>
      </c>
      <c r="Z47" s="59">
        <f t="shared" ca="1" si="11"/>
        <v>0.88901829647860398</v>
      </c>
      <c r="AA47" s="59">
        <f t="shared" ca="1" si="12"/>
        <v>-3.2169623210647952E-2</v>
      </c>
      <c r="AB47" s="59">
        <f t="shared" ca="1" si="4"/>
        <v>-1.0348846575150593E-3</v>
      </c>
      <c r="AC47" s="59">
        <f t="shared" ca="1" si="13"/>
        <v>-4.2022850977789419E-2</v>
      </c>
      <c r="AD47" s="60">
        <f t="shared" ca="1" si="5"/>
        <v>0.95884786971076896</v>
      </c>
      <c r="AE47" s="60">
        <f t="shared" ca="1" si="14"/>
        <v>0.85243329971240622</v>
      </c>
      <c r="AF47" s="60"/>
      <c r="AG47" s="96">
        <f t="shared" ca="1" si="15"/>
        <v>-0.28990636756645904</v>
      </c>
      <c r="AH47" s="96">
        <f t="shared" ca="1" si="16"/>
        <v>-0.28810418680172706</v>
      </c>
      <c r="AI47" s="96">
        <f t="shared" ca="1" si="17"/>
        <v>-0.29170890880339256</v>
      </c>
      <c r="AJ47" s="96"/>
      <c r="AK47" s="96">
        <f t="shared" ca="1" si="18"/>
        <v>0.39078969753768544</v>
      </c>
      <c r="AL47" s="96"/>
      <c r="AM47" s="94">
        <v>0.3</v>
      </c>
      <c r="AN47" s="95">
        <f t="shared" ca="1" si="6"/>
        <v>0.38138781546052408</v>
      </c>
      <c r="AX47" s="106">
        <f t="shared" ca="1" si="19"/>
        <v>0.52921000000000007</v>
      </c>
      <c r="AY47" s="106">
        <f t="shared" ca="1" si="20"/>
        <v>0.52921404400000005</v>
      </c>
      <c r="AZ47" s="106">
        <f t="shared" ca="1" si="21"/>
        <v>0.52920595600000009</v>
      </c>
      <c r="BB47" s="109">
        <f ca="1">_xll.EURO(UnderlyingPrice,$D47,IntRate,Yield,AX47,$D$6,1,0)</f>
        <v>0.2713522002618709</v>
      </c>
      <c r="BC47" s="109">
        <f ca="1">_xll.EURO(UnderlyingPrice,$D47*(1+$P$8),IntRate,Yield,AY47,$D$6,1,0)</f>
        <v>0.27085786104311893</v>
      </c>
      <c r="BD47" s="109">
        <f ca="1">_xll.EURO(UnderlyingPrice,$D47*(1-$P$8),IntRate,Yield,AZ47,$D$6,1,0)</f>
        <v>0.27184709878436131</v>
      </c>
      <c r="BF47" s="59">
        <f t="shared" ca="1" si="22"/>
        <v>0.85499866581717698</v>
      </c>
      <c r="BG47" s="62">
        <f t="shared" ca="1" si="23"/>
        <v>0.85664446700263686</v>
      </c>
      <c r="BI47" s="96">
        <f t="shared" ca="1" si="24"/>
        <v>-0.29004250635291928</v>
      </c>
      <c r="BJ47" s="96">
        <f t="shared" ca="1" si="25"/>
        <v>-0.2882397135267955</v>
      </c>
      <c r="BK47" s="96">
        <f t="shared" ca="1" si="26"/>
        <v>-0.29184565977366916</v>
      </c>
      <c r="BL47" s="96"/>
      <c r="BM47" s="96">
        <f t="shared" ca="1" si="27"/>
        <v>0.38428417811964583</v>
      </c>
      <c r="BO47" s="58">
        <f t="shared" ca="1" si="28"/>
        <v>-9.4415983161200145E-4</v>
      </c>
      <c r="BP47" s="46">
        <f t="shared" ca="1" si="29"/>
        <v>-3.4794625976897605E-3</v>
      </c>
    </row>
    <row r="48" spans="3:68" x14ac:dyDescent="0.2">
      <c r="C48" s="56">
        <v>35</v>
      </c>
      <c r="D48" s="63">
        <f t="shared" ca="1" si="30"/>
        <v>4.0600000000000005</v>
      </c>
      <c r="E48" s="45">
        <f t="shared" ca="1" si="7"/>
        <v>-3.379343169919069E-2</v>
      </c>
      <c r="F48" s="45">
        <f t="shared" ca="1" si="8"/>
        <v>-3.3600190385530637E-2</v>
      </c>
      <c r="G48" s="45">
        <f t="shared" ca="1" si="9"/>
        <v>-3.3986673012850854E-2</v>
      </c>
      <c r="H48" s="45">
        <f t="shared" ca="1" si="31"/>
        <v>0.53181091782997925</v>
      </c>
      <c r="I48" s="45">
        <f t="shared" ca="1" si="32"/>
        <v>0.53182575152205314</v>
      </c>
      <c r="J48" s="45">
        <f t="shared" ca="1" si="33"/>
        <v>0.53184065068343112</v>
      </c>
      <c r="L48" s="58">
        <f ca="1">_xll.EURO(UnderlyingPrice,$D48,IntRate,Yield,$I48,$D$6,L$12,0)</f>
        <v>0.26250782115136717</v>
      </c>
      <c r="M48" s="58">
        <f ca="1">_xll.EURO(UnderlyingPrice,$D48,IntRate,Yield,$I48,$D$6,M$12,0)</f>
        <v>0.12078063417630069</v>
      </c>
      <c r="O48" s="58">
        <f ca="1">_xll.EURO(UnderlyingPrice,$D48*(1+$P$8),IntRate,Yield,$H48,Expiry-Today,O$12,0)</f>
        <v>0.26201701857678206</v>
      </c>
      <c r="P48" s="58">
        <f ca="1">_xll.EURO(UnderlyingPrice,$D48*(1+$P$8),IntRate,Yield,$H48,Expiry-Today,P$12,0)</f>
        <v>0.12110027157230574</v>
      </c>
      <c r="R48" s="58">
        <f ca="1">_xll.EURO(UnderlyingPrice,$D48*(1-$P$8),IntRate,Yield,$J48,Expiry-Today,R$12,0)</f>
        <v>0.26299920139001776</v>
      </c>
      <c r="S48" s="58">
        <f ca="1">_xll.EURO(UnderlyingPrice,$D48*(1-$P$8),IntRate,Yield,$J48,Expiry-Today,S$12,0)</f>
        <v>0.12046157444436179</v>
      </c>
      <c r="U48" s="59">
        <f t="shared" ca="1" si="35"/>
        <v>0.87611939362591318</v>
      </c>
      <c r="V48" s="59"/>
      <c r="W48" s="62">
        <f t="shared" ca="1" si="34"/>
        <v>0.87780585045243442</v>
      </c>
      <c r="Z48" s="59">
        <f t="shared" ca="1" si="11"/>
        <v>0.88551477609839258</v>
      </c>
      <c r="AA48" s="59">
        <f t="shared" ca="1" si="12"/>
        <v>-2.8220950755231566E-2</v>
      </c>
      <c r="AB48" s="59">
        <f t="shared" ca="1" si="4"/>
        <v>-7.964220615292051E-4</v>
      </c>
      <c r="AC48" s="59">
        <f t="shared" ca="1" si="13"/>
        <v>-3.233976401527492E-2</v>
      </c>
      <c r="AD48" s="60">
        <f t="shared" ca="1" si="5"/>
        <v>0.96817757428971907</v>
      </c>
      <c r="AE48" s="60">
        <f t="shared" ca="1" si="14"/>
        <v>0.85733554792064537</v>
      </c>
      <c r="AF48" s="60"/>
      <c r="AG48" s="96">
        <f t="shared" ca="1" si="15"/>
        <v>-0.25432170184738428</v>
      </c>
      <c r="AH48" s="96">
        <f t="shared" ca="1" si="16"/>
        <v>-0.25251952108265324</v>
      </c>
      <c r="AI48" s="96">
        <f t="shared" ca="1" si="17"/>
        <v>-0.25612424308431891</v>
      </c>
      <c r="AJ48" s="96"/>
      <c r="AK48" s="96">
        <f t="shared" ca="1" si="18"/>
        <v>0.3954692485234732</v>
      </c>
      <c r="AL48" s="96"/>
      <c r="AM48" s="94">
        <v>0.4</v>
      </c>
      <c r="AN48" s="95">
        <f t="shared" ca="1" si="6"/>
        <v>0.36827014030332328</v>
      </c>
      <c r="AX48" s="106">
        <f t="shared" ca="1" si="19"/>
        <v>0.52929000000000004</v>
      </c>
      <c r="AY48" s="106">
        <f t="shared" ca="1" si="20"/>
        <v>0.52929406000000001</v>
      </c>
      <c r="AZ48" s="106">
        <f t="shared" ca="1" si="21"/>
        <v>0.52928594000000007</v>
      </c>
      <c r="BB48" s="109">
        <f ca="1">_xll.EURO(UnderlyingPrice,$D48,IntRate,Yield,AX48,$D$6,1,0)</f>
        <v>0.26167710266168642</v>
      </c>
      <c r="BC48" s="109">
        <f ca="1">_xll.EURO(UnderlyingPrice,$D48*(1+$P$8),IntRate,Yield,AY48,$D$6,1,0)</f>
        <v>0.26119194950553748</v>
      </c>
      <c r="BD48" s="109">
        <f ca="1">_xll.EURO(UnderlyingPrice,$D48*(1-$P$8),IntRate,Yield,AZ48,$D$6,1,0)</f>
        <v>0.2621628225978383</v>
      </c>
      <c r="BF48" s="59">
        <f t="shared" ca="1" si="22"/>
        <v>0.85961198241093506</v>
      </c>
      <c r="BG48" s="62">
        <f t="shared" ca="1" si="23"/>
        <v>0.86126666384641459</v>
      </c>
      <c r="BI48" s="96">
        <f t="shared" ca="1" si="24"/>
        <v>-0.25444575527567587</v>
      </c>
      <c r="BJ48" s="96">
        <f t="shared" ca="1" si="25"/>
        <v>-0.25264296244955303</v>
      </c>
      <c r="BK48" s="96">
        <f t="shared" ca="1" si="26"/>
        <v>-0.2562489086964268</v>
      </c>
      <c r="BL48" s="96"/>
      <c r="BM48" s="96">
        <f t="shared" ca="1" si="27"/>
        <v>0.3878862762580555</v>
      </c>
      <c r="BO48" s="58">
        <f t="shared" ca="1" si="28"/>
        <v>-8.3071848968074846E-4</v>
      </c>
      <c r="BP48" s="46">
        <f t="shared" ca="1" si="29"/>
        <v>-3.1745937310944496E-3</v>
      </c>
    </row>
    <row r="49" spans="3:68" x14ac:dyDescent="0.2">
      <c r="C49" s="56">
        <v>36</v>
      </c>
      <c r="D49" s="63">
        <f t="shared" ca="1" si="30"/>
        <v>4.0760000000000005</v>
      </c>
      <c r="E49" s="45">
        <f t="shared" ca="1" si="7"/>
        <v>-2.998572108519737E-2</v>
      </c>
      <c r="F49" s="45">
        <f t="shared" ca="1" si="8"/>
        <v>-2.979171822941451E-2</v>
      </c>
      <c r="G49" s="45">
        <f t="shared" ca="1" si="9"/>
        <v>-3.0179723940980341E-2</v>
      </c>
      <c r="H49" s="45">
        <f t="shared" ca="1" si="31"/>
        <v>0.5315318518735731</v>
      </c>
      <c r="I49" s="45">
        <f t="shared" ca="1" si="32"/>
        <v>0.53154545958598853</v>
      </c>
      <c r="J49" s="45">
        <f t="shared" ca="1" si="33"/>
        <v>0.53155913223647477</v>
      </c>
      <c r="L49" s="58">
        <f ca="1">_xll.EURO(UnderlyingPrice,$D49,IntRate,Yield,$I49,$D$6,L$12,0)</f>
        <v>0.2529435423948807</v>
      </c>
      <c r="M49" s="58">
        <f ca="1">_xll.EURO(UnderlyingPrice,$D49,IntRate,Yield,$I49,$D$6,M$12,0)</f>
        <v>0.12718561592404765</v>
      </c>
      <c r="O49" s="58">
        <f ca="1">_xll.EURO(UnderlyingPrice,$D49*(1+$P$8),IntRate,Yield,$H49,Expiry-Today,O$12,0)</f>
        <v>0.25246227460015991</v>
      </c>
      <c r="P49" s="58">
        <f ca="1">_xll.EURO(UnderlyingPrice,$D49*(1+$P$8),IntRate,Yield,$H49,Expiry-Today,P$12,0)</f>
        <v>0.12751798195201736</v>
      </c>
      <c r="R49" s="58">
        <f ca="1">_xll.EURO(UnderlyingPrice,$D49*(1-$P$8),IntRate,Yield,$J49,Expiry-Today,R$12,0)</f>
        <v>0.25342539620515137</v>
      </c>
      <c r="S49" s="58">
        <f ca="1">_xll.EURO(UnderlyingPrice,$D49*(1-$P$8),IntRate,Yield,$J49,Expiry-Today,S$12,0)</f>
        <v>0.12685383591162713</v>
      </c>
      <c r="U49" s="59">
        <f t="shared" ca="1" si="35"/>
        <v>0.88182173315659262</v>
      </c>
      <c r="V49" s="59"/>
      <c r="W49" s="62">
        <f t="shared" ca="1" si="34"/>
        <v>0.88351916651153972</v>
      </c>
      <c r="Z49" s="59">
        <f t="shared" ca="1" si="11"/>
        <v>0.88203876127563163</v>
      </c>
      <c r="AA49" s="59">
        <f t="shared" ca="1" si="12"/>
        <v>-2.4287809008394473E-2</v>
      </c>
      <c r="AB49" s="59">
        <f t="shared" ca="1" si="4"/>
        <v>-5.8989766642824769E-4</v>
      </c>
      <c r="AC49" s="59">
        <f t="shared" ca="1" si="13"/>
        <v>-2.3953569654789536E-2</v>
      </c>
      <c r="AD49" s="60">
        <f t="shared" ca="1" si="5"/>
        <v>0.97633104009278082</v>
      </c>
      <c r="AE49" s="60">
        <f t="shared" ca="1" si="14"/>
        <v>0.86116182119838547</v>
      </c>
      <c r="AF49" s="60"/>
      <c r="AG49" s="96">
        <f t="shared" ca="1" si="15"/>
        <v>-0.21887699584373657</v>
      </c>
      <c r="AH49" s="96">
        <f t="shared" ca="1" si="16"/>
        <v>-0.21707481507900545</v>
      </c>
      <c r="AI49" s="96">
        <f t="shared" ca="1" si="17"/>
        <v>-0.22067953708067131</v>
      </c>
      <c r="AJ49" s="96"/>
      <c r="AK49" s="96">
        <f t="shared" ca="1" si="18"/>
        <v>0.39961185589754622</v>
      </c>
      <c r="AL49" s="96"/>
      <c r="AM49" s="94">
        <v>0.5</v>
      </c>
      <c r="AN49" s="95">
        <f t="shared" ca="1" si="6"/>
        <v>0.35206532676429947</v>
      </c>
      <c r="AX49" s="106">
        <f t="shared" ca="1" si="19"/>
        <v>0.52937000000000001</v>
      </c>
      <c r="AY49" s="106">
        <f t="shared" ca="1" si="20"/>
        <v>0.52937407600000008</v>
      </c>
      <c r="AZ49" s="106">
        <f t="shared" ca="1" si="21"/>
        <v>0.52936592400000004</v>
      </c>
      <c r="BB49" s="109">
        <f ca="1">_xll.EURO(UnderlyingPrice,$D49,IntRate,Yield,AX49,$D$6,1,0)</f>
        <v>0.25222204283680449</v>
      </c>
      <c r="BC49" s="109">
        <f ca="1">_xll.EURO(UnderlyingPrice,$D49*(1+$P$8),IntRate,Yield,AY49,$D$6,1,0)</f>
        <v>0.25174621637084904</v>
      </c>
      <c r="BD49" s="109">
        <f ca="1">_xll.EURO(UnderlyingPrice,$D49*(1-$P$8),IntRate,Yield,AZ49,$D$6,1,0)</f>
        <v>0.25269844290978893</v>
      </c>
      <c r="BF49" s="59">
        <f t="shared" ca="1" si="22"/>
        <v>0.86314969725477309</v>
      </c>
      <c r="BG49" s="62">
        <f t="shared" ca="1" si="23"/>
        <v>0.86481118849653249</v>
      </c>
      <c r="BI49" s="96">
        <f t="shared" ca="1" si="24"/>
        <v>-0.21898901144734764</v>
      </c>
      <c r="BJ49" s="96">
        <f t="shared" ca="1" si="25"/>
        <v>-0.21718621862122472</v>
      </c>
      <c r="BK49" s="96">
        <f t="shared" ca="1" si="26"/>
        <v>-0.22079216486809872</v>
      </c>
      <c r="BL49" s="96"/>
      <c r="BM49" s="96">
        <f t="shared" ca="1" si="27"/>
        <v>0.39101752083716462</v>
      </c>
      <c r="BO49" s="58">
        <f t="shared" ca="1" si="28"/>
        <v>-7.2149955807621069E-4</v>
      </c>
      <c r="BP49" s="46">
        <f t="shared" ca="1" si="29"/>
        <v>-2.8605729695998193E-3</v>
      </c>
    </row>
    <row r="50" spans="3:68" x14ac:dyDescent="0.2">
      <c r="C50" s="56">
        <v>37</v>
      </c>
      <c r="D50" s="63">
        <f t="shared" ca="1" si="30"/>
        <v>4.0920000000000005</v>
      </c>
      <c r="E50" s="45">
        <f t="shared" ca="1" si="7"/>
        <v>-2.617801047120405E-2</v>
      </c>
      <c r="F50" s="45">
        <f t="shared" ca="1" si="8"/>
        <v>-2.5983246073298272E-2</v>
      </c>
      <c r="G50" s="45">
        <f t="shared" ca="1" si="9"/>
        <v>-2.6372774869109827E-2</v>
      </c>
      <c r="H50" s="45">
        <f t="shared" ca="1" si="31"/>
        <v>0.53127779094656802</v>
      </c>
      <c r="I50" s="45">
        <f t="shared" ca="1" si="32"/>
        <v>0.53129018325468425</v>
      </c>
      <c r="J50" s="45">
        <f t="shared" ca="1" si="33"/>
        <v>0.53130263995518001</v>
      </c>
      <c r="L50" s="58">
        <f ca="1">_xll.EURO(UnderlyingPrice,$D50,IntRate,Yield,$I50,$D$6,L$12,0)</f>
        <v>0.24360498340376679</v>
      </c>
      <c r="M50" s="58">
        <f ca="1">_xll.EURO(UnderlyingPrice,$D50,IntRate,Yield,$I50,$D$6,M$12,0)</f>
        <v>0.13381631743716604</v>
      </c>
      <c r="O50" s="58">
        <f ca="1">_xll.EURO(UnderlyingPrice,$D50*(1+$P$8),IntRate,Yield,$H50,Expiry-Today,O$12,0)</f>
        <v>0.2431334065204549</v>
      </c>
      <c r="P50" s="58">
        <f ca="1">_xll.EURO(UnderlyingPrice,$D50*(1+$P$8),IntRate,Yield,$H50,Expiry-Today,P$12,0)</f>
        <v>0.13416156822864633</v>
      </c>
      <c r="R50" s="58">
        <f ca="1">_xll.EURO(UnderlyingPrice,$D50*(1-$P$8),IntRate,Yield,$J50,Expiry-Today,R$12,0)</f>
        <v>0.24407715389465423</v>
      </c>
      <c r="S50" s="58">
        <f ca="1">_xll.EURO(UnderlyingPrice,$D50*(1-$P$8),IntRate,Yield,$J50,Expiry-Today,S$12,0)</f>
        <v>0.13347166025326218</v>
      </c>
      <c r="U50" s="59">
        <f t="shared" ca="1" si="35"/>
        <v>0.88627437632314254</v>
      </c>
      <c r="V50" s="59"/>
      <c r="W50" s="62">
        <f t="shared" ca="1" si="34"/>
        <v>0.88798038064515072</v>
      </c>
      <c r="Z50" s="59">
        <f t="shared" ca="1" si="11"/>
        <v>0.87858992936448532</v>
      </c>
      <c r="AA50" s="59">
        <f t="shared" ca="1" si="12"/>
        <v>-2.0370076279492822E-2</v>
      </c>
      <c r="AB50" s="59">
        <f t="shared" ca="1" si="4"/>
        <v>-4.1494000763235615E-4</v>
      </c>
      <c r="AC50" s="59">
        <f t="shared" ca="1" si="13"/>
        <v>-1.6849184089100838E-2</v>
      </c>
      <c r="AD50" s="60">
        <f t="shared" ca="1" si="5"/>
        <v>0.98329196952683207</v>
      </c>
      <c r="AE50" s="60">
        <f t="shared" ca="1" si="14"/>
        <v>0.86391042205124502</v>
      </c>
      <c r="AF50" s="60"/>
      <c r="AG50" s="96">
        <f t="shared" ca="1" si="15"/>
        <v>-0.18357115290317724</v>
      </c>
      <c r="AH50" s="96">
        <f t="shared" ca="1" si="16"/>
        <v>-0.18176897213844498</v>
      </c>
      <c r="AI50" s="96">
        <f t="shared" ca="1" si="17"/>
        <v>-0.18537369414011207</v>
      </c>
      <c r="AJ50" s="96"/>
      <c r="AK50" s="96">
        <f t="shared" ca="1" si="18"/>
        <v>0.40320620740456625</v>
      </c>
      <c r="AL50" s="96"/>
      <c r="AM50" s="94">
        <v>0.6</v>
      </c>
      <c r="AN50" s="95">
        <f t="shared" ca="1" si="6"/>
        <v>0.33322460289179962</v>
      </c>
      <c r="AX50" s="106">
        <f t="shared" ca="1" si="19"/>
        <v>0.52945000000000009</v>
      </c>
      <c r="AY50" s="106">
        <f t="shared" ca="1" si="20"/>
        <v>0.52945409200000004</v>
      </c>
      <c r="AZ50" s="106">
        <f t="shared" ca="1" si="21"/>
        <v>0.52944590800000002</v>
      </c>
      <c r="BB50" s="109">
        <f ca="1">_xll.EURO(UnderlyingPrice,$D50,IntRate,Yield,AX50,$D$6,1,0)</f>
        <v>0.24298792654996904</v>
      </c>
      <c r="BC50" s="109">
        <f ca="1">_xll.EURO(UnderlyingPrice,$D50*(1+$P$8),IntRate,Yield,AY50,$D$6,1,0)</f>
        <v>0.24252155396411457</v>
      </c>
      <c r="BD50" s="109">
        <f ca="1">_xll.EURO(UnderlyingPrice,$D50*(1-$P$8),IntRate,Yield,AZ50,$D$6,1,0)</f>
        <v>0.24345487890739381</v>
      </c>
      <c r="BF50" s="59">
        <f t="shared" ca="1" si="22"/>
        <v>0.86561679476302733</v>
      </c>
      <c r="BG50" s="62">
        <f t="shared" ca="1" si="23"/>
        <v>0.86728303496190917</v>
      </c>
      <c r="BI50" s="96">
        <f t="shared" ca="1" si="24"/>
        <v>-0.18367117784314813</v>
      </c>
      <c r="BJ50" s="96">
        <f t="shared" ca="1" si="25"/>
        <v>-0.1818683850170241</v>
      </c>
      <c r="BK50" s="96">
        <f t="shared" ca="1" si="26"/>
        <v>-0.18547433126389928</v>
      </c>
      <c r="BL50" s="96"/>
      <c r="BM50" s="96">
        <f t="shared" ca="1" si="27"/>
        <v>0.3936744406148075</v>
      </c>
      <c r="BO50" s="58">
        <f t="shared" ca="1" si="28"/>
        <v>-6.1705685379775943E-4</v>
      </c>
      <c r="BP50" s="46">
        <f t="shared" ca="1" si="29"/>
        <v>-2.5394547892109583E-3</v>
      </c>
    </row>
    <row r="51" spans="3:68" x14ac:dyDescent="0.2">
      <c r="C51" s="56">
        <v>38</v>
      </c>
      <c r="D51" s="63">
        <f t="shared" ca="1" si="30"/>
        <v>4.1080000000000005</v>
      </c>
      <c r="E51" s="45">
        <f t="shared" ca="1" si="7"/>
        <v>-2.2370299857210729E-2</v>
      </c>
      <c r="F51" s="45">
        <f t="shared" ca="1" si="8"/>
        <v>-2.2174773917182145E-2</v>
      </c>
      <c r="G51" s="45">
        <f t="shared" ca="1" si="9"/>
        <v>-2.2565825797239314E-2</v>
      </c>
      <c r="H51" s="45">
        <f t="shared" ca="1" si="31"/>
        <v>0.5310483309916838</v>
      </c>
      <c r="I51" s="45">
        <f t="shared" ca="1" si="32"/>
        <v>0.53105951871319768</v>
      </c>
      <c r="J51" s="45">
        <f t="shared" ca="1" si="33"/>
        <v>0.53107077026684446</v>
      </c>
      <c r="L51" s="58">
        <f ca="1">_xll.EURO(UnderlyingPrice,$D51,IntRate,Yield,$I51,$D$6,L$12,0)</f>
        <v>0.23449328398451064</v>
      </c>
      <c r="M51" s="58">
        <f ca="1">_xll.EURO(UnderlyingPrice,$D51,IntRate,Yield,$I51,$D$6,M$12,0)</f>
        <v>0.14067387852214241</v>
      </c>
      <c r="O51" s="58">
        <f ca="1">_xll.EURO(UnderlyingPrice,$D51*(1+$P$8),IntRate,Yield,$H51,Expiry-Today,O$12,0)</f>
        <v>0.23403153845574165</v>
      </c>
      <c r="P51" s="58">
        <f ca="1">_xll.EURO(UnderlyingPrice,$D51*(1+$P$8),IntRate,Yield,$H51,Expiry-Today,P$12,0)</f>
        <v>0.14103215452026641</v>
      </c>
      <c r="R51" s="58">
        <f ca="1">_xll.EURO(UnderlyingPrice,$D51*(1-$P$8),IntRate,Yield,$J51,Expiry-Today,R$12,0)</f>
        <v>0.2349556299318456</v>
      </c>
      <c r="S51" s="58">
        <f ca="1">_xll.EURO(UnderlyingPrice,$D51*(1-$P$8),IntRate,Yield,$J51,Expiry-Today,S$12,0)</f>
        <v>0.14031620294258573</v>
      </c>
      <c r="U51" s="59">
        <f t="shared" ca="1" si="35"/>
        <v>0.88947398747824569</v>
      </c>
      <c r="V51" s="59"/>
      <c r="W51" s="62">
        <f t="shared" ca="1" si="34"/>
        <v>0.89118615078510688</v>
      </c>
      <c r="Z51" s="59">
        <f t="shared" ca="1" si="11"/>
        <v>0.87516796274573383</v>
      </c>
      <c r="AA51" s="59">
        <f t="shared" ca="1" si="12"/>
        <v>-1.646763230256109E-2</v>
      </c>
      <c r="AB51" s="59">
        <f t="shared" ca="1" si="4"/>
        <v>-2.7118291365235345E-4</v>
      </c>
      <c r="AC51" s="59">
        <f t="shared" ca="1" si="13"/>
        <v>-1.1011738443875574E-2</v>
      </c>
      <c r="AD51" s="60">
        <f t="shared" ca="1" si="5"/>
        <v>0.98904866881493825</v>
      </c>
      <c r="AE51" s="60">
        <f t="shared" ca="1" si="14"/>
        <v>0.86558370854314948</v>
      </c>
      <c r="AF51" s="60"/>
      <c r="AG51" s="96">
        <f t="shared" ca="1" si="15"/>
        <v>-0.14840308921229081</v>
      </c>
      <c r="AH51" s="96">
        <f t="shared" ca="1" si="16"/>
        <v>-0.14660090844755852</v>
      </c>
      <c r="AI51" s="96">
        <f t="shared" ca="1" si="17"/>
        <v>-0.15020563044922572</v>
      </c>
      <c r="AJ51" s="96"/>
      <c r="AK51" s="96">
        <f t="shared" ca="1" si="18"/>
        <v>0.40624411044535425</v>
      </c>
      <c r="AL51" s="96"/>
      <c r="AM51" s="94">
        <v>0.7</v>
      </c>
      <c r="AN51" s="95">
        <f t="shared" ca="1" si="6"/>
        <v>0.31225393336676122</v>
      </c>
      <c r="AX51" s="106">
        <f t="shared" ca="1" si="19"/>
        <v>0.52953000000000006</v>
      </c>
      <c r="AY51" s="106">
        <f t="shared" ca="1" si="20"/>
        <v>0.529534108</v>
      </c>
      <c r="AZ51" s="106">
        <f t="shared" ca="1" si="21"/>
        <v>0.529525892</v>
      </c>
      <c r="BB51" s="109">
        <f ca="1">_xll.EURO(UnderlyingPrice,$D51,IntRate,Yield,AX51,$D$6,1,0)</f>
        <v>0.23397538558532416</v>
      </c>
      <c r="BC51" s="109">
        <f ca="1">_xll.EURO(UnderlyingPrice,$D51*(1+$P$8),IntRate,Yield,AY51,$D$6,1,0)</f>
        <v>0.23351858051048824</v>
      </c>
      <c r="BD51" s="109">
        <f ca="1">_xll.EURO(UnderlyingPrice,$D51*(1-$P$8),IntRate,Yield,AZ51,$D$6,1,0)</f>
        <v>0.23443277592373324</v>
      </c>
      <c r="BF51" s="59">
        <f t="shared" ca="1" si="22"/>
        <v>0.86702302967262201</v>
      </c>
      <c r="BG51" s="62">
        <f t="shared" ca="1" si="23"/>
        <v>0.86869197675652465</v>
      </c>
      <c r="BI51" s="96">
        <f t="shared" ca="1" si="24"/>
        <v>-0.14849117028157427</v>
      </c>
      <c r="BJ51" s="96">
        <f t="shared" ca="1" si="25"/>
        <v>-0.14668837745545016</v>
      </c>
      <c r="BK51" s="96">
        <f t="shared" ca="1" si="26"/>
        <v>-0.15029432370232548</v>
      </c>
      <c r="BL51" s="96"/>
      <c r="BM51" s="96">
        <f t="shared" ca="1" si="27"/>
        <v>0.39585577778460851</v>
      </c>
      <c r="BO51" s="58">
        <f t="shared" ca="1" si="28"/>
        <v>-5.1789839918647829E-4</v>
      </c>
      <c r="BP51" s="46">
        <f t="shared" ca="1" si="29"/>
        <v>-2.2134738570507261E-3</v>
      </c>
    </row>
    <row r="52" spans="3:68" x14ac:dyDescent="0.2">
      <c r="C52" s="56">
        <v>39</v>
      </c>
      <c r="D52" s="63">
        <f t="shared" ca="1" si="30"/>
        <v>4.1240000000000006</v>
      </c>
      <c r="E52" s="45">
        <f t="shared" ca="1" si="7"/>
        <v>-1.8562589243217409E-2</v>
      </c>
      <c r="F52" s="45">
        <f t="shared" ca="1" si="8"/>
        <v>-1.8366301761066017E-2</v>
      </c>
      <c r="G52" s="45">
        <f t="shared" ca="1" si="9"/>
        <v>-1.87588767253688E-2</v>
      </c>
      <c r="H52" s="45">
        <f t="shared" ca="1" si="31"/>
        <v>0.53084306795164027</v>
      </c>
      <c r="I52" s="45">
        <f t="shared" ca="1" si="32"/>
        <v>0.53085306214658612</v>
      </c>
      <c r="J52" s="45">
        <f t="shared" ca="1" si="33"/>
        <v>0.53086311959876609</v>
      </c>
      <c r="L52" s="58">
        <f ca="1">_xll.EURO(UnderlyingPrice,$D52,IntRate,Yield,$I52,$D$6,L$12,0)</f>
        <v>0.22560926331603115</v>
      </c>
      <c r="M52" s="58">
        <f ca="1">_xll.EURO(UnderlyingPrice,$D52,IntRate,Yield,$I52,$D$6,M$12,0)</f>
        <v>0.14775911835789701</v>
      </c>
      <c r="O52" s="58">
        <f ca="1">_xll.EURO(UnderlyingPrice,$D52*(1+$P$8),IntRate,Yield,$H52,Expiry-Today,O$12,0)</f>
        <v>0.22515747364464245</v>
      </c>
      <c r="P52" s="58">
        <f ca="1">_xll.EURO(UnderlyingPrice,$D52*(1+$P$8),IntRate,Yield,$H52,Expiry-Today,P$12,0)</f>
        <v>0.14813054406550119</v>
      </c>
      <c r="R52" s="58">
        <f ca="1">_xll.EURO(UnderlyingPrice,$D52*(1-$P$8),IntRate,Yield,$J52,Expiry-Today,R$12,0)</f>
        <v>0.22606165941890843</v>
      </c>
      <c r="S52" s="58">
        <f ca="1">_xll.EURO(UnderlyingPrice,$D52*(1-$P$8),IntRate,Yield,$J52,Expiry-Today,S$12,0)</f>
        <v>0.14738829908178031</v>
      </c>
      <c r="U52" s="59">
        <f t="shared" ca="1" si="35"/>
        <v>0.89142423937295456</v>
      </c>
      <c r="V52" s="59"/>
      <c r="W52" s="62">
        <f t="shared" ca="1" si="34"/>
        <v>0.89314015675220038</v>
      </c>
      <c r="Z52" s="59">
        <f t="shared" ca="1" si="11"/>
        <v>0.87177254872926147</v>
      </c>
      <c r="AA52" s="59">
        <f t="shared" ca="1" si="12"/>
        <v>-1.2580358214159412E-2</v>
      </c>
      <c r="AB52" s="59">
        <f t="shared" ca="1" si="4"/>
        <v>-1.5826541279656818E-4</v>
      </c>
      <c r="AC52" s="59">
        <f t="shared" ca="1" si="13"/>
        <v>-6.4265749893888365E-3</v>
      </c>
      <c r="AD52" s="60">
        <f t="shared" ca="1" si="5"/>
        <v>0.99359403127745494</v>
      </c>
      <c r="AE52" s="60">
        <f t="shared" ca="1" si="14"/>
        <v>0.86618800104892846</v>
      </c>
      <c r="AF52" s="60"/>
      <c r="AG52" s="96">
        <f t="shared" ca="1" si="15"/>
        <v>-0.11337173359694944</v>
      </c>
      <c r="AH52" s="96">
        <f t="shared" ca="1" si="16"/>
        <v>-0.11156955283221706</v>
      </c>
      <c r="AI52" s="96">
        <f t="shared" ca="1" si="17"/>
        <v>-0.11517427483388443</v>
      </c>
      <c r="AJ52" s="62"/>
      <c r="AK52" s="96">
        <f t="shared" ca="1" si="18"/>
        <v>0.40872056205636476</v>
      </c>
      <c r="AL52" s="96"/>
      <c r="AM52" s="94">
        <v>0.8</v>
      </c>
      <c r="AN52" s="95">
        <f t="shared" ca="1" si="6"/>
        <v>0.28969155276148267</v>
      </c>
      <c r="AX52" s="106">
        <f t="shared" ca="1" si="19"/>
        <v>0.52961000000000003</v>
      </c>
      <c r="AY52" s="106">
        <f t="shared" ca="1" si="20"/>
        <v>0.52961412400000007</v>
      </c>
      <c r="AZ52" s="106">
        <f t="shared" ca="1" si="21"/>
        <v>0.52960587600000009</v>
      </c>
      <c r="BB52" s="109">
        <f ca="1">_xll.EURO(UnderlyingPrice,$D52,IntRate,Yield,AX52,$D$6,1,0)</f>
        <v>0.22518478024854582</v>
      </c>
      <c r="BC52" s="109">
        <f ca="1">_xll.EURO(UnderlyingPrice,$D52*(1+$P$8),IntRate,Yield,AY52,$D$6,1,0)</f>
        <v>0.22473764270026964</v>
      </c>
      <c r="BD52" s="109">
        <f ca="1">_xll.EURO(UnderlyingPrice,$D52*(1-$P$8),IntRate,Yield,AZ52,$D$6,1,0)</f>
        <v>0.2256325078731245</v>
      </c>
      <c r="BF52" s="59">
        <f t="shared" ca="1" si="22"/>
        <v>0.86738292621810631</v>
      </c>
      <c r="BG52" s="62">
        <f t="shared" ca="1" si="23"/>
        <v>0.86905256607286918</v>
      </c>
      <c r="BI52" s="96">
        <f t="shared" ca="1" si="24"/>
        <v>-0.11344791722470314</v>
      </c>
      <c r="BJ52" s="96">
        <f t="shared" ca="1" si="25"/>
        <v>-0.11164512439857897</v>
      </c>
      <c r="BK52" s="96">
        <f t="shared" ca="1" si="26"/>
        <v>-0.11525107064545444</v>
      </c>
      <c r="BL52" s="62"/>
      <c r="BM52" s="96">
        <f t="shared" ca="1" si="27"/>
        <v>0.39756253001164504</v>
      </c>
      <c r="BO52" s="58">
        <f t="shared" ca="1" si="28"/>
        <v>-4.2448306748532616E-4</v>
      </c>
      <c r="BP52" s="46">
        <f t="shared" ca="1" si="29"/>
        <v>-1.8850433276032532E-3</v>
      </c>
    </row>
    <row r="53" spans="3:68" x14ac:dyDescent="0.2">
      <c r="C53" s="56">
        <v>40</v>
      </c>
      <c r="D53" s="63">
        <f t="shared" ca="1" si="30"/>
        <v>4.1400000000000006</v>
      </c>
      <c r="E53" s="45">
        <f t="shared" ca="1" si="7"/>
        <v>-1.4754878629224089E-2</v>
      </c>
      <c r="F53" s="45">
        <f t="shared" ca="1" si="8"/>
        <v>-1.4557829604949779E-2</v>
      </c>
      <c r="G53" s="45">
        <f t="shared" ca="1" si="9"/>
        <v>-1.4951927653498287E-2</v>
      </c>
      <c r="H53" s="45">
        <f t="shared" ca="1" si="31"/>
        <v>0.53066159776915767</v>
      </c>
      <c r="I53" s="45">
        <f t="shared" ca="1" si="32"/>
        <v>0.53067040973990709</v>
      </c>
      <c r="J53" s="45">
        <f t="shared" ca="1" si="33"/>
        <v>0.53067928437824285</v>
      </c>
      <c r="L53" s="58">
        <f ca="1">_xll.EURO(UnderlyingPrice,$D53,IntRate,Yield,$I53,$D$6,L$12,0)</f>
        <v>0.21695342089116876</v>
      </c>
      <c r="M53" s="58">
        <f ca="1">_xll.EURO(UnderlyingPrice,$D53,IntRate,Yield,$I53,$D$6,M$12,0)</f>
        <v>0.15507253643726648</v>
      </c>
      <c r="O53" s="58">
        <f ca="1">_xll.EURO(UnderlyingPrice,$D53*(1+$P$8),IntRate,Yield,$H53,Expiry-Today,O$12,0)</f>
        <v>0.21651169548084548</v>
      </c>
      <c r="P53" s="58">
        <f ca="1">_xll.EURO(UnderlyingPrice,$D53*(1+$P$8),IntRate,Yield,$H53,Expiry-Today,P$12,0)</f>
        <v>0.15545722025803821</v>
      </c>
      <c r="R53" s="58">
        <f ca="1">_xll.EURO(UnderlyingPrice,$D53*(1-$P$8),IntRate,Yield,$J53,Expiry-Today,R$12,0)</f>
        <v>0.21739575793553501</v>
      </c>
      <c r="S53" s="58">
        <f ca="1">_xll.EURO(UnderlyingPrice,$D53*(1-$P$8),IntRate,Yield,$J53,Expiry-Today,S$12,0)</f>
        <v>0.15468846425053884</v>
      </c>
      <c r="U53" s="59">
        <f t="shared" ca="1" si="35"/>
        <v>0.89213581846788936</v>
      </c>
      <c r="V53" s="59"/>
      <c r="W53" s="62">
        <f t="shared" ca="1" si="34"/>
        <v>0.89385310557759767</v>
      </c>
      <c r="Z53" s="59">
        <f t="shared" ca="1" si="11"/>
        <v>0.8684033794588103</v>
      </c>
      <c r="AA53" s="59">
        <f t="shared" ca="1" si="12"/>
        <v>-8.7081365316499081E-3</v>
      </c>
      <c r="AB53" s="59">
        <f t="shared" ca="1" si="4"/>
        <v>-7.5831641853855696E-5</v>
      </c>
      <c r="AC53" s="59">
        <f t="shared" ca="1" si="13"/>
        <v>-3.0792434324781802E-3</v>
      </c>
      <c r="AD53" s="60">
        <f t="shared" ca="1" si="5"/>
        <v>0.996925492575226</v>
      </c>
      <c r="AE53" s="60">
        <f t="shared" ca="1" si="14"/>
        <v>0.8657334668209653</v>
      </c>
      <c r="AF53" s="60"/>
      <c r="AG53" s="96">
        <f t="shared" ca="1" si="15"/>
        <v>-7.8476027326543227E-2</v>
      </c>
      <c r="AH53" s="96">
        <f t="shared" ca="1" si="16"/>
        <v>-7.6673846561809728E-2</v>
      </c>
      <c r="AI53" s="96">
        <f t="shared" ca="1" si="17"/>
        <v>-8.0278568563478259E-2</v>
      </c>
      <c r="AJ53" s="62"/>
      <c r="AK53" s="96">
        <f t="shared" ca="1" si="18"/>
        <v>0.41063381368975105</v>
      </c>
      <c r="AL53" s="96"/>
      <c r="AM53" s="94">
        <v>0.9</v>
      </c>
      <c r="AN53" s="95">
        <f t="shared" ca="1" si="6"/>
        <v>0.26608524989875482</v>
      </c>
      <c r="AX53" s="106">
        <f t="shared" ca="1" si="19"/>
        <v>0.52968999999999999</v>
      </c>
      <c r="AY53" s="106">
        <f t="shared" ca="1" si="20"/>
        <v>0.52969414000000004</v>
      </c>
      <c r="AZ53" s="106">
        <f t="shared" ca="1" si="21"/>
        <v>0.52968586000000006</v>
      </c>
      <c r="BB53" s="109">
        <f ca="1">_xll.EURO(UnderlyingPrice,$D53,IntRate,Yield,AX53,$D$6,1,0)</f>
        <v>0.21661620307982155</v>
      </c>
      <c r="BC53" s="109">
        <f ca="1">_xll.EURO(UnderlyingPrice,$D53*(1+$P$8),IntRate,Yield,AY53,$D$6,1,0)</f>
        <v>0.21617881946727424</v>
      </c>
      <c r="BD53" s="109">
        <f ca="1">_xll.EURO(UnderlyingPrice,$D53*(1-$P$8),IntRate,Yield,AZ53,$D$6,1,0)</f>
        <v>0.21705418089873962</v>
      </c>
      <c r="BF53" s="59">
        <f t="shared" ca="1" si="22"/>
        <v>0.86671563334942248</v>
      </c>
      <c r="BG53" s="62">
        <f t="shared" ca="1" si="23"/>
        <v>0.86838398872101796</v>
      </c>
      <c r="BI53" s="96">
        <f t="shared" ca="1" si="24"/>
        <v>-7.8540359582356029E-2</v>
      </c>
      <c r="BJ53" s="96">
        <f t="shared" ca="1" si="25"/>
        <v>-7.6737566756230738E-2</v>
      </c>
      <c r="BK53" s="96">
        <f t="shared" ca="1" si="26"/>
        <v>-8.0343513003107395E-2</v>
      </c>
      <c r="BL53" s="62"/>
      <c r="BM53" s="96">
        <f t="shared" ca="1" si="27"/>
        <v>0.39879792622188664</v>
      </c>
      <c r="BO53" s="58">
        <f t="shared" ca="1" si="28"/>
        <v>-3.372178113472124E-4</v>
      </c>
      <c r="BP53" s="46">
        <f t="shared" ca="1" si="29"/>
        <v>-1.5567524799746861E-3</v>
      </c>
    </row>
    <row r="54" spans="3:68" x14ac:dyDescent="0.2">
      <c r="C54" s="56">
        <v>41</v>
      </c>
      <c r="D54" s="63">
        <f t="shared" ca="1" si="30"/>
        <v>4.1560000000000006</v>
      </c>
      <c r="E54" s="45">
        <f t="shared" ca="1" si="7"/>
        <v>-1.0947168015230657E-2</v>
      </c>
      <c r="F54" s="45">
        <f t="shared" ca="1" si="8"/>
        <v>-1.0749357448833874E-2</v>
      </c>
      <c r="G54" s="45">
        <f t="shared" ca="1" si="9"/>
        <v>-1.1144978581627552E-2</v>
      </c>
      <c r="H54" s="45">
        <f t="shared" ca="1" si="31"/>
        <v>0.53050351638695592</v>
      </c>
      <c r="I54" s="45">
        <f t="shared" ca="1" si="32"/>
        <v>0.53051115767821788</v>
      </c>
      <c r="J54" s="45">
        <f t="shared" ca="1" si="33"/>
        <v>0.53051886103257251</v>
      </c>
      <c r="L54" s="58">
        <f ca="1">_xll.EURO(UnderlyingPrice,$D54,IntRate,Yield,$I54,$D$6,L$12,0)</f>
        <v>0.2085259392475356</v>
      </c>
      <c r="M54" s="58">
        <f ca="1">_xll.EURO(UnderlyingPrice,$D54,IntRate,Yield,$I54,$D$6,M$12,0)</f>
        <v>0.16261431529786696</v>
      </c>
      <c r="O54" s="58">
        <f ca="1">_xll.EURO(UnderlyingPrice,$D54*(1+$P$8),IntRate,Yield,$H54,Expiry-Today,O$12,0)</f>
        <v>0.20809437033837819</v>
      </c>
      <c r="P54" s="58">
        <f ca="1">_xll.EURO(UnderlyingPrice,$D54*(1+$P$8),IntRate,Yield,$H54,Expiry-Today,P$12,0)</f>
        <v>0.16301234947190402</v>
      </c>
      <c r="R54" s="58">
        <f ca="1">_xll.EURO(UnderlyingPrice,$D54*(1-$P$8),IntRate,Yield,$J54,Expiry-Today,R$12,0)</f>
        <v>0.20895812417545212</v>
      </c>
      <c r="S54" s="58">
        <f ca="1">_xll.EURO(UnderlyingPrice,$D54*(1-$P$8),IntRate,Yield,$J54,Expiry-Today,S$12,0)</f>
        <v>0.16221689714258813</v>
      </c>
      <c r="U54" s="59">
        <f t="shared" ca="1" si="35"/>
        <v>0.8916262963999364</v>
      </c>
      <c r="V54" s="59"/>
      <c r="W54" s="62">
        <f t="shared" ca="1" si="34"/>
        <v>0.89334260272212196</v>
      </c>
      <c r="Z54" s="59">
        <f t="shared" ca="1" si="11"/>
        <v>0.86506015181893026</v>
      </c>
      <c r="AA54" s="59">
        <f t="shared" ca="1" si="12"/>
        <v>-4.850851131891867E-3</v>
      </c>
      <c r="AB54" s="59">
        <f t="shared" ca="1" si="4"/>
        <v>-2.3530756703776607E-5</v>
      </c>
      <c r="AC54" s="59">
        <f t="shared" ca="1" si="13"/>
        <v>-9.5549728675249461E-4</v>
      </c>
      <c r="AD54" s="60">
        <f t="shared" ca="1" si="5"/>
        <v>0.9990449590554239</v>
      </c>
      <c r="AE54" s="60">
        <f t="shared" ca="1" si="14"/>
        <v>0.86423398395442197</v>
      </c>
      <c r="AF54" s="60"/>
      <c r="AG54" s="96">
        <f t="shared" ca="1" si="15"/>
        <v>-4.3714923921985602E-2</v>
      </c>
      <c r="AH54" s="96">
        <f t="shared" ca="1" si="16"/>
        <v>-4.1912743157255086E-2</v>
      </c>
      <c r="AI54" s="96">
        <f t="shared" ca="1" si="17"/>
        <v>-4.5517465158919697E-2</v>
      </c>
      <c r="AJ54" s="62"/>
      <c r="AK54" s="96">
        <f t="shared" ca="1" si="18"/>
        <v>0.41198537420623854</v>
      </c>
      <c r="AL54" s="96"/>
      <c r="AM54" s="94">
        <v>1</v>
      </c>
      <c r="AN54" s="95">
        <f t="shared" ca="1" si="6"/>
        <v>0.24197072451914334</v>
      </c>
      <c r="AX54" s="106">
        <f t="shared" ca="1" si="19"/>
        <v>0.52977000000000007</v>
      </c>
      <c r="AY54" s="106">
        <f t="shared" ca="1" si="20"/>
        <v>0.529774156</v>
      </c>
      <c r="AZ54" s="106">
        <f t="shared" ca="1" si="21"/>
        <v>0.52976584400000004</v>
      </c>
      <c r="BB54" s="109">
        <f ca="1">_xll.EURO(UnderlyingPrice,$D54,IntRate,Yield,AX54,$D$6,1,0)</f>
        <v>0.20826948375840182</v>
      </c>
      <c r="BC54" s="109">
        <f ca="1">_xll.EURO(UnderlyingPrice,$D54*(1+$P$8),IntRate,Yield,AY54,$D$6,1,0)</f>
        <v>0.20784192695900439</v>
      </c>
      <c r="BD54" s="109">
        <f ca="1">_xll.EURO(UnderlyingPrice,$D54*(1-$P$8),IntRate,Yield,AZ54,$D$6,1,0)</f>
        <v>0.20869763821163589</v>
      </c>
      <c r="BF54" s="59">
        <f t="shared" ca="1" si="22"/>
        <v>0.86504488542048408</v>
      </c>
      <c r="BG54" s="62">
        <f t="shared" ca="1" si="23"/>
        <v>0.86671002474153824</v>
      </c>
      <c r="BI54" s="96">
        <f t="shared" ca="1" si="24"/>
        <v>-4.376745052003838E-2</v>
      </c>
      <c r="BJ54" s="96">
        <f t="shared" ca="1" si="25"/>
        <v>-4.1964657693916066E-2</v>
      </c>
      <c r="BK54" s="96">
        <f t="shared" ca="1" si="26"/>
        <v>-4.5570603940788788E-2</v>
      </c>
      <c r="BL54" s="62"/>
      <c r="BM54" s="96">
        <f t="shared" ca="1" si="27"/>
        <v>0.39956744956469936</v>
      </c>
      <c r="BO54" s="58">
        <f t="shared" ca="1" si="28"/>
        <v>-2.564554891337778E-4</v>
      </c>
      <c r="BP54" s="46">
        <f t="shared" ca="1" si="29"/>
        <v>-1.231363733686847E-3</v>
      </c>
    </row>
    <row r="55" spans="3:68" x14ac:dyDescent="0.2">
      <c r="C55" s="56">
        <v>42</v>
      </c>
      <c r="D55" s="63">
        <f t="shared" ca="1" si="30"/>
        <v>4.1720000000000006</v>
      </c>
      <c r="E55" s="45">
        <f t="shared" ca="1" si="7"/>
        <v>-7.1394574012373369E-3</v>
      </c>
      <c r="F55" s="45">
        <f t="shared" ca="1" si="8"/>
        <v>-6.9408852927177467E-3</v>
      </c>
      <c r="G55" s="45">
        <f t="shared" ca="1" si="9"/>
        <v>-7.338029509757038E-3</v>
      </c>
      <c r="H55" s="45">
        <f t="shared" ca="1" si="31"/>
        <v>0.53036841974775462</v>
      </c>
      <c r="I55" s="45">
        <f t="shared" ca="1" si="32"/>
        <v>0.53037490214657568</v>
      </c>
      <c r="J55" s="45">
        <f t="shared" ca="1" si="33"/>
        <v>0.53038144598905312</v>
      </c>
      <c r="L55" s="58">
        <f ca="1">_xll.EURO(UnderlyingPrice,$D55,IntRate,Yield,$I55,$D$6,L$12,0)</f>
        <v>0.20032668846702073</v>
      </c>
      <c r="M55" s="58">
        <f ca="1">_xll.EURO(UnderlyingPrice,$D55,IntRate,Yield,$I55,$D$6,M$12,0)</f>
        <v>0.1703843250215844</v>
      </c>
      <c r="O55" s="58">
        <f ca="1">_xll.EURO(UnderlyingPrice,$D55*(1+$P$8),IntRate,Yield,$H55,Expiry-Today,O$12,0)</f>
        <v>0.1999053521662546</v>
      </c>
      <c r="P55" s="58">
        <f ca="1">_xll.EURO(UnderlyingPrice,$D55*(1+$P$8),IntRate,Yield,$H55,Expiry-Today,P$12,0)</f>
        <v>0.1707957856561142</v>
      </c>
      <c r="R55" s="58">
        <f ca="1">_xll.EURO(UnderlyingPrice,$D55*(1-$P$8),IntRate,Yield,$J55,Expiry-Today,R$12,0)</f>
        <v>0.200748644350909</v>
      </c>
      <c r="S55" s="58">
        <f ca="1">_xll.EURO(UnderlyingPrice,$D55*(1-$P$8),IntRate,Yield,$J55,Expiry-Today,S$12,0)</f>
        <v>0.1699734839701772</v>
      </c>
      <c r="U55" s="59">
        <f t="shared" ca="1" si="35"/>
        <v>0.88992004252940471</v>
      </c>
      <c r="V55" s="59"/>
      <c r="W55" s="62">
        <f t="shared" ca="1" si="34"/>
        <v>0.89163306445506996</v>
      </c>
      <c r="Z55" s="59">
        <f t="shared" ca="1" si="11"/>
        <v>0.8617425673440734</v>
      </c>
      <c r="AA55" s="59">
        <f t="shared" ca="1" si="12"/>
        <v>-1.0083872303468305E-3</v>
      </c>
      <c r="AB55" s="59">
        <f t="shared" ca="1" si="4"/>
        <v>-1.0168448063265518E-6</v>
      </c>
      <c r="AC55" s="59">
        <f t="shared" ca="1" si="13"/>
        <v>-4.1290319122523111E-5</v>
      </c>
      <c r="AD55" s="60">
        <f t="shared" ca="1" si="5"/>
        <v>0.99995871053331098</v>
      </c>
      <c r="AE55" s="60">
        <f t="shared" ca="1" si="14"/>
        <v>0.86170698645304455</v>
      </c>
      <c r="AF55" s="60"/>
      <c r="AG55" s="96">
        <f t="shared" ca="1" si="15"/>
        <v>-9.0873889674122684E-3</v>
      </c>
      <c r="AH55" s="96">
        <f t="shared" ca="1" si="16"/>
        <v>-7.2852082026816688E-3</v>
      </c>
      <c r="AI55" s="96">
        <f t="shared" ca="1" si="17"/>
        <v>-1.088993020434645E-2</v>
      </c>
      <c r="AJ55" s="62"/>
      <c r="AK55" s="96">
        <f t="shared" ca="1" si="18"/>
        <v>0.41278003054755191</v>
      </c>
      <c r="AL55" s="96"/>
      <c r="AM55" s="94">
        <v>1.1000000000000001</v>
      </c>
      <c r="AN55" s="95">
        <f t="shared" ca="1" si="6"/>
        <v>0.2178521770325505</v>
      </c>
      <c r="AX55" s="106">
        <f t="shared" ca="1" si="19"/>
        <v>0.52985000000000004</v>
      </c>
      <c r="AY55" s="106">
        <f t="shared" ca="1" si="20"/>
        <v>0.52985417200000007</v>
      </c>
      <c r="AZ55" s="106">
        <f t="shared" ca="1" si="21"/>
        <v>0.52984582800000002</v>
      </c>
      <c r="BB55" s="109">
        <f ca="1">_xll.EURO(UnderlyingPrice,$D55,IntRate,Yield,AX55,$D$6,1,0)</f>
        <v>0.20014419517239368</v>
      </c>
      <c r="BC55" s="109">
        <f ca="1">_xll.EURO(UnderlyingPrice,$D55*(1+$P$8),IntRate,Yield,AY55,$D$6,1,0)</f>
        <v>0.19972652467193042</v>
      </c>
      <c r="BD55" s="109">
        <f ca="1">_xll.EURO(UnderlyingPrice,$D55*(1-$P$8),IntRate,Yield,AZ55,$D$6,1,0)</f>
        <v>0.200562466095068</v>
      </c>
      <c r="BF55" s="59">
        <f t="shared" ca="1" si="22"/>
        <v>0.86239882996910322</v>
      </c>
      <c r="BG55" s="62">
        <f t="shared" ca="1" si="23"/>
        <v>0.86405887585390673</v>
      </c>
      <c r="BI55" s="96">
        <f t="shared" ca="1" si="24"/>
        <v>-9.1281552705748149E-3</v>
      </c>
      <c r="BJ55" s="96">
        <f t="shared" ca="1" si="25"/>
        <v>-7.3253624444524195E-3</v>
      </c>
      <c r="BK55" s="96">
        <f t="shared" ca="1" si="26"/>
        <v>-1.0931308691325312E-2</v>
      </c>
      <c r="BL55" s="62"/>
      <c r="BM55" s="96">
        <f t="shared" ca="1" si="27"/>
        <v>0.39987879832525619</v>
      </c>
      <c r="BO55" s="58">
        <f t="shared" ca="1" si="28"/>
        <v>-1.8249329462705077E-4</v>
      </c>
      <c r="BP55" s="46">
        <f t="shared" ca="1" si="29"/>
        <v>-9.1180908079727542E-4</v>
      </c>
    </row>
    <row r="56" spans="3:68" x14ac:dyDescent="0.2">
      <c r="C56" s="56">
        <v>43</v>
      </c>
      <c r="D56" s="63">
        <f t="shared" ca="1" si="30"/>
        <v>4.1880000000000006</v>
      </c>
      <c r="E56" s="45">
        <f t="shared" ca="1" si="7"/>
        <v>-3.3317467872440165E-3</v>
      </c>
      <c r="F56" s="45">
        <f t="shared" ca="1" si="8"/>
        <v>-3.1324131366015084E-3</v>
      </c>
      <c r="G56" s="45">
        <f t="shared" ca="1" si="9"/>
        <v>-3.5310804378865246E-3</v>
      </c>
      <c r="H56" s="45">
        <f t="shared" ca="1" si="31"/>
        <v>0.53025590379427368</v>
      </c>
      <c r="I56" s="45">
        <f t="shared" ca="1" si="32"/>
        <v>0.53026123933003788</v>
      </c>
      <c r="J56" s="45">
        <f t="shared" ca="1" si="33"/>
        <v>0.53026663567498222</v>
      </c>
      <c r="L56" s="58">
        <f ca="1">_xll.EURO(UnderlyingPrice,$D56,IntRate,Yield,$I56,$D$6,L$12,0)</f>
        <v>0.19235507674446062</v>
      </c>
      <c r="M56" s="58">
        <f ca="1">_xll.EURO(UnderlyingPrice,$D56,IntRate,Yield,$I56,$D$6,M$12,0)</f>
        <v>0.17838197380325793</v>
      </c>
      <c r="O56" s="58">
        <f ca="1">_xll.EURO(UnderlyingPrice,$D56*(1+$P$8),IntRate,Yield,$H56,Expiry-Today,O$12,0)</f>
        <v>0.19194400940247469</v>
      </c>
      <c r="P56" s="58">
        <f ca="1">_xll.EURO(UnderlyingPrice,$D56*(1+$P$8),IntRate,Yield,$H56,Expiry-Today,P$12,0)</f>
        <v>0.17880689724866716</v>
      </c>
      <c r="R56" s="58">
        <f ca="1">_xll.EURO(UnderlyingPrice,$D56*(1-$P$8),IntRate,Yield,$J56,Expiry-Today,R$12,0)</f>
        <v>0.19276676475557286</v>
      </c>
      <c r="S56" s="58">
        <f ca="1">_xll.EURO(UnderlyingPrice,$D56*(1-$P$8),IntRate,Yield,$J56,Expiry-Today,S$12,0)</f>
        <v>0.17795767102697369</v>
      </c>
      <c r="U56" s="59">
        <f t="shared" ca="1" si="35"/>
        <v>0.88468121486847184</v>
      </c>
      <c r="V56" s="59"/>
      <c r="W56" s="62">
        <f t="shared" ca="1" si="34"/>
        <v>0.88638415248743641</v>
      </c>
      <c r="Z56" s="59">
        <f t="shared" ca="1" si="11"/>
        <v>0.8584503321297694</v>
      </c>
      <c r="AA56" s="59">
        <f t="shared" ca="1" si="12"/>
        <v>2.8193686394175606E-3</v>
      </c>
      <c r="AB56" s="59">
        <f t="shared" ca="1" si="4"/>
        <v>-7.9488395249312262E-6</v>
      </c>
      <c r="AC56" s="59">
        <f t="shared" ca="1" si="13"/>
        <v>-3.227730707735288E-4</v>
      </c>
      <c r="AD56" s="60">
        <f t="shared" ca="1" si="5"/>
        <v>0.99967727901484993</v>
      </c>
      <c r="AE56" s="60">
        <f t="shared" ca="1" si="14"/>
        <v>0.85817329219288208</v>
      </c>
      <c r="AF56" s="60"/>
      <c r="AG56" s="96">
        <f t="shared" ca="1" si="15"/>
        <v>2.5407600074526082E-2</v>
      </c>
      <c r="AH56" s="96">
        <f t="shared" ca="1" si="16"/>
        <v>2.7209780839257767E-2</v>
      </c>
      <c r="AI56" s="96">
        <f t="shared" ca="1" si="17"/>
        <v>2.3605058837591831E-2</v>
      </c>
      <c r="AJ56" s="62"/>
      <c r="AK56" s="96">
        <f t="shared" ca="1" si="18"/>
        <v>0.41192378540168012</v>
      </c>
      <c r="AL56" s="96"/>
      <c r="AM56" s="94">
        <v>1.2</v>
      </c>
      <c r="AN56" s="95">
        <f t="shared" ca="1" si="6"/>
        <v>0.19418605498321292</v>
      </c>
      <c r="AX56" s="106">
        <f t="shared" ca="1" si="19"/>
        <v>0.52993000000000001</v>
      </c>
      <c r="AY56" s="106">
        <f t="shared" ca="1" si="20"/>
        <v>0.52993418800000003</v>
      </c>
      <c r="AZ56" s="106">
        <f t="shared" ca="1" si="21"/>
        <v>0.529925812</v>
      </c>
      <c r="BB56" s="109">
        <f ca="1">_xll.EURO(UnderlyingPrice,$D56,IntRate,Yield,AX56,$D$6,1,0)</f>
        <v>0.19223950563596492</v>
      </c>
      <c r="BC56" s="109">
        <f ca="1">_xll.EURO(UnderlyingPrice,$D56*(1+$P$8),IntRate,Yield,AY56,$D$6,1,0)</f>
        <v>0.19183174399767955</v>
      </c>
      <c r="BD56" s="109">
        <f ca="1">_xll.EURO(UnderlyingPrice,$D56*(1-$P$8),IntRate,Yield,AZ56,$D$6,1,0)</f>
        <v>0.19264786812850243</v>
      </c>
      <c r="BF56" s="59">
        <f t="shared" ca="1" si="22"/>
        <v>0.85643774951153318</v>
      </c>
      <c r="BG56" s="62">
        <f t="shared" ca="1" si="23"/>
        <v>0.85808632081318714</v>
      </c>
      <c r="BI56" s="96">
        <f t="shared" ca="1" si="24"/>
        <v>2.5378549050660792E-2</v>
      </c>
      <c r="BJ56" s="96">
        <f t="shared" ca="1" si="25"/>
        <v>2.7181341876784275E-2</v>
      </c>
      <c r="BK56" s="96">
        <f t="shared" ca="1" si="26"/>
        <v>2.3575395629910224E-2</v>
      </c>
      <c r="BL56" s="62"/>
      <c r="BM56" s="96">
        <f t="shared" ca="1" si="27"/>
        <v>0.39863772397394237</v>
      </c>
      <c r="BO56" s="58">
        <f t="shared" ca="1" si="28"/>
        <v>-1.1557110849569341E-4</v>
      </c>
      <c r="BP56" s="46">
        <f t="shared" ca="1" si="29"/>
        <v>-6.0118292602429535E-4</v>
      </c>
    </row>
    <row r="57" spans="3:68" x14ac:dyDescent="0.2">
      <c r="C57" s="56">
        <v>44</v>
      </c>
      <c r="D57" s="63">
        <f t="shared" ca="1" si="30"/>
        <v>4.2040000000000006</v>
      </c>
      <c r="E57" s="45">
        <f t="shared" ca="1" si="7"/>
        <v>4.7596382674930382E-4</v>
      </c>
      <c r="F57" s="45">
        <f t="shared" ca="1" si="8"/>
        <v>6.7605901951450775E-4</v>
      </c>
      <c r="G57" s="45">
        <f t="shared" ca="1" si="9"/>
        <v>2.7586863398409989E-4</v>
      </c>
      <c r="H57" s="45">
        <f t="shared" ca="1" si="31"/>
        <v>0.53016556446923335</v>
      </c>
      <c r="I57" s="45">
        <f t="shared" ca="1" si="32"/>
        <v>0.53016976541366201</v>
      </c>
      <c r="J57" s="45">
        <f t="shared" ca="1" si="33"/>
        <v>0.53017402651765788</v>
      </c>
      <c r="L57" s="58">
        <f ca="1">_xll.EURO(UnderlyingPrice,$D57,IntRate,Yield,$I57,$D$6,L$12,0)</f>
        <v>0.18460992898701112</v>
      </c>
      <c r="M57" s="58">
        <f ca="1">_xll.EURO(UnderlyingPrice,$D57,IntRate,Yield,$I57,$D$6,M$12,0)</f>
        <v>0.1866060865500403</v>
      </c>
      <c r="O57" s="58">
        <f ca="1">_xll.EURO(UnderlyingPrice,$D57*(1+$P$8),IntRate,Yield,$H57,Expiry-Today,O$12,0)</f>
        <v>0.1842091646938504</v>
      </c>
      <c r="P57" s="58">
        <f ca="1">_xll.EURO(UnderlyingPrice,$D57*(1+$P$8),IntRate,Yield,$H57,Expiry-Today,P$12,0)</f>
        <v>0.18704450689637753</v>
      </c>
      <c r="R57" s="58">
        <f ca="1">_xll.EURO(UnderlyingPrice,$D57*(1-$P$8),IntRate,Yield,$J57,Expiry-Today,R$12,0)</f>
        <v>0.18501131563965023</v>
      </c>
      <c r="S57" s="58">
        <f ca="1">_xll.EURO(UnderlyingPrice,$D57*(1-$P$8),IntRate,Yield,$J57,Expiry-Today,S$12,0)</f>
        <v>0.18616828856318168</v>
      </c>
      <c r="U57" s="59">
        <f t="shared" ca="1" si="35"/>
        <v>0.88035108151774333</v>
      </c>
      <c r="V57" s="59"/>
      <c r="W57" s="62">
        <f t="shared" ca="1" si="34"/>
        <v>0.88204568399083372</v>
      </c>
      <c r="Z57" s="59">
        <f t="shared" ca="1" si="11"/>
        <v>0.85518315674583123</v>
      </c>
      <c r="AA57" s="59">
        <f t="shared" ca="1" si="12"/>
        <v>6.6325286458318155E-3</v>
      </c>
      <c r="AB57" s="59">
        <f t="shared" ca="1" si="4"/>
        <v>-4.3990436237779614E-5</v>
      </c>
      <c r="AC57" s="59">
        <f t="shared" ca="1" si="13"/>
        <v>-1.7862894507557814E-3</v>
      </c>
      <c r="AD57" s="60">
        <f t="shared" ca="1" si="5"/>
        <v>0.99821530501471156</v>
      </c>
      <c r="AE57" s="60">
        <f t="shared" ca="1" si="14"/>
        <v>0.85365691565448376</v>
      </c>
      <c r="AF57" s="60"/>
      <c r="AG57" s="96">
        <f t="shared" ca="1" si="15"/>
        <v>5.9771054043839339E-2</v>
      </c>
      <c r="AH57" s="96">
        <f t="shared" ca="1" si="16"/>
        <v>6.1573234808570097E-2</v>
      </c>
      <c r="AI57" s="96">
        <f t="shared" ca="1" si="17"/>
        <v>5.7968512806906007E-2</v>
      </c>
      <c r="AJ57" s="62"/>
      <c r="AK57" s="96">
        <f t="shared" ca="1" si="18"/>
        <v>0.41147362307391722</v>
      </c>
      <c r="AL57" s="96"/>
      <c r="AM57" s="94">
        <v>1.3</v>
      </c>
      <c r="AN57" s="95">
        <f t="shared" ca="1" si="6"/>
        <v>0.17136859204780733</v>
      </c>
      <c r="AX57" s="106">
        <f t="shared" ca="1" si="19"/>
        <v>0.53004000000000007</v>
      </c>
      <c r="AY57" s="106">
        <f t="shared" ca="1" si="20"/>
        <v>0.53005681599999999</v>
      </c>
      <c r="AZ57" s="106">
        <f t="shared" ca="1" si="21"/>
        <v>0.53002318400000004</v>
      </c>
      <c r="BB57" s="109">
        <f ca="1">_xll.EURO(UnderlyingPrice,$D57,IntRate,Yield,AX57,$D$6,1,0)</f>
        <v>0.18456454672806943</v>
      </c>
      <c r="BC57" s="109">
        <f ca="1">_xll.EURO(UnderlyingPrice,$D57*(1+$P$8),IntRate,Yield,AY57,$D$6,1,0)</f>
        <v>0.18417112914673783</v>
      </c>
      <c r="BD57" s="109">
        <f ca="1">_xll.EURO(UnderlyingPrice,$D57*(1-$P$8),IntRate,Yield,AZ57,$D$6,1,0)</f>
        <v>0.18495856713516279</v>
      </c>
      <c r="BF57" s="59">
        <f t="shared" ca="1" si="22"/>
        <v>0.85271989862313302</v>
      </c>
      <c r="BG57" s="62">
        <f t="shared" ca="1" si="23"/>
        <v>0.8543613133716319</v>
      </c>
      <c r="BI57" s="96">
        <f t="shared" ca="1" si="24"/>
        <v>5.975367362698248E-2</v>
      </c>
      <c r="BJ57" s="96">
        <f t="shared" ca="1" si="25"/>
        <v>6.1556466453105044E-2</v>
      </c>
      <c r="BK57" s="96">
        <f t="shared" ca="1" si="26"/>
        <v>5.7950520206232842E-2</v>
      </c>
      <c r="BL57" s="62"/>
      <c r="BM57" s="96">
        <f t="shared" ca="1" si="27"/>
        <v>0.3984235721239397</v>
      </c>
      <c r="BO57" s="58">
        <f t="shared" ca="1" si="28"/>
        <v>-4.5382258941684128E-5</v>
      </c>
      <c r="BP57" s="46">
        <f t="shared" ca="1" si="29"/>
        <v>-2.4588827998775232E-4</v>
      </c>
    </row>
    <row r="58" spans="3:68" x14ac:dyDescent="0.2">
      <c r="C58" s="56">
        <v>45</v>
      </c>
      <c r="D58" s="63">
        <f t="shared" ca="1" si="30"/>
        <v>4.2200000000000006</v>
      </c>
      <c r="E58" s="45">
        <f t="shared" ca="1" si="7"/>
        <v>4.2836744407426242E-3</v>
      </c>
      <c r="F58" s="45">
        <f t="shared" ca="1" si="8"/>
        <v>4.484531175630746E-3</v>
      </c>
      <c r="G58" s="45">
        <f t="shared" ca="1" si="9"/>
        <v>4.0828177058545023E-3</v>
      </c>
      <c r="H58" s="45">
        <f t="shared" ca="1" si="31"/>
        <v>0.53009699771535346</v>
      </c>
      <c r="I58" s="45">
        <f t="shared" ca="1" si="32"/>
        <v>0.53010007658250535</v>
      </c>
      <c r="J58" s="45">
        <f t="shared" ca="1" si="33"/>
        <v>0.53010321494437806</v>
      </c>
      <c r="L58" s="58">
        <f ca="1">_xll.EURO(UnderlyingPrice,$D58,IntRate,Yield,$I58,$D$6,L$12,0)</f>
        <v>0.1770901223244743</v>
      </c>
      <c r="M58" s="58">
        <f ca="1">_xll.EURO(UnderlyingPrice,$D58,IntRate,Yield,$I58,$D$6,M$12,0)</f>
        <v>0.19505554039173667</v>
      </c>
      <c r="O58" s="58">
        <f ca="1">_xll.EURO(UnderlyingPrice,$D58*(1+$P$8),IntRate,Yield,$H58,Expiry-Today,O$12,0)</f>
        <v>0.17669968331298791</v>
      </c>
      <c r="P58" s="58">
        <f ca="1">_xll.EURO(UnderlyingPrice,$D58*(1+$P$8),IntRate,Yield,$H58,Expiry-Today,P$12,0)</f>
        <v>0.19550747987184858</v>
      </c>
      <c r="R58" s="58">
        <f ca="1">_xll.EURO(UnderlyingPrice,$D58*(1-$P$8),IntRate,Yield,$J58,Expiry-Today,R$12,0)</f>
        <v>0.17748118439347116</v>
      </c>
      <c r="S58" s="58">
        <f ca="1">_xll.EURO(UnderlyingPrice,$D58*(1-$P$8),IntRate,Yield,$J58,Expiry-Today,S$12,0)</f>
        <v>0.19460422396913524</v>
      </c>
      <c r="U58" s="59">
        <f t="shared" ca="1" si="35"/>
        <v>0.87466800845914938</v>
      </c>
      <c r="V58" s="59"/>
      <c r="W58" s="62">
        <f t="shared" ca="1" si="34"/>
        <v>0.87635167149016713</v>
      </c>
      <c r="Z58" s="59">
        <f t="shared" ca="1" si="11"/>
        <v>0.8519407561515342</v>
      </c>
      <c r="AA58" s="59">
        <f t="shared" ca="1" si="12"/>
        <v>1.0431203679047544E-2</v>
      </c>
      <c r="AB58" s="59">
        <f t="shared" ca="1" si="4"/>
        <v>-1.0881001019377502E-4</v>
      </c>
      <c r="AC58" s="59">
        <f t="shared" ca="1" si="13"/>
        <v>-4.4183734004175418E-3</v>
      </c>
      <c r="AD58" s="60">
        <f t="shared" ca="1" si="5"/>
        <v>0.99559137325126923</v>
      </c>
      <c r="AE58" s="60">
        <f t="shared" ca="1" si="14"/>
        <v>0.84818486734563059</v>
      </c>
      <c r="AF58" s="60"/>
      <c r="AG58" s="96">
        <f t="shared" ca="1" si="15"/>
        <v>9.4003972260937374E-2</v>
      </c>
      <c r="AH58" s="96">
        <f t="shared" ca="1" si="16"/>
        <v>9.5806153025669194E-2</v>
      </c>
      <c r="AI58" s="96">
        <f t="shared" ca="1" si="17"/>
        <v>9.2201431024002967E-2</v>
      </c>
      <c r="AJ58" s="62"/>
      <c r="AK58" s="96">
        <f t="shared" ca="1" si="18"/>
        <v>0.41037328836776515</v>
      </c>
      <c r="AL58" s="96"/>
      <c r="AM58" s="94">
        <v>1.4</v>
      </c>
      <c r="AN58" s="95">
        <f t="shared" ca="1" si="6"/>
        <v>0.14972746563574485</v>
      </c>
      <c r="AX58" s="106">
        <f t="shared" ca="1" si="19"/>
        <v>0.53036000000000005</v>
      </c>
      <c r="AY58" s="106">
        <f t="shared" ca="1" si="20"/>
        <v>0.53037688000000005</v>
      </c>
      <c r="AZ58" s="106">
        <f t="shared" ca="1" si="21"/>
        <v>0.53034312000000006</v>
      </c>
      <c r="BB58" s="109">
        <f ca="1">_xll.EURO(UnderlyingPrice,$D58,IntRate,Yield,AX58,$D$6,1,0)</f>
        <v>0.17718113044090322</v>
      </c>
      <c r="BC58" s="109">
        <f ca="1">_xll.EURO(UnderlyingPrice,$D58*(1+$P$8),IntRate,Yield,AY58,$D$6,1,0)</f>
        <v>0.17679768257668815</v>
      </c>
      <c r="BD58" s="109">
        <f ca="1">_xll.EURO(UnderlyingPrice,$D58*(1-$P$8),IntRate,Yield,AZ58,$D$6,1,0)</f>
        <v>0.17756518066851279</v>
      </c>
      <c r="BF58" s="59">
        <f t="shared" ca="1" si="22"/>
        <v>0.84561694831845324</v>
      </c>
      <c r="BG58" s="62">
        <f t="shared" ca="1" si="23"/>
        <v>0.8472446904794978</v>
      </c>
      <c r="BI58" s="96">
        <f t="shared" ca="1" si="24"/>
        <v>9.3998218118191978E-2</v>
      </c>
      <c r="BJ58" s="96">
        <f t="shared" ca="1" si="25"/>
        <v>9.5801010944315618E-2</v>
      </c>
      <c r="BK58" s="96">
        <f t="shared" ca="1" si="26"/>
        <v>9.2195064697441265E-2</v>
      </c>
      <c r="BL58" s="62"/>
      <c r="BM58" s="96">
        <f t="shared" ca="1" si="27"/>
        <v>0.39660852925055406</v>
      </c>
      <c r="BO58" s="58">
        <f t="shared" ca="1" si="28"/>
        <v>9.100811642892559E-5</v>
      </c>
      <c r="BP58" s="46">
        <f t="shared" ca="1" si="29"/>
        <v>5.1364451847924245E-4</v>
      </c>
    </row>
    <row r="59" spans="3:68" x14ac:dyDescent="0.2">
      <c r="C59" s="56">
        <v>46</v>
      </c>
      <c r="D59" s="63">
        <f t="shared" ca="1" si="30"/>
        <v>4.2360000000000007</v>
      </c>
      <c r="E59" s="45">
        <f t="shared" ca="1" si="7"/>
        <v>8.0913850547359445E-3</v>
      </c>
      <c r="F59" s="45">
        <f t="shared" ca="1" si="8"/>
        <v>8.2930033317469842E-3</v>
      </c>
      <c r="G59" s="45">
        <f t="shared" ca="1" si="9"/>
        <v>7.8897667777251268E-3</v>
      </c>
      <c r="H59" s="45">
        <f t="shared" ca="1" si="31"/>
        <v>0.5300497994753538</v>
      </c>
      <c r="I59" s="45">
        <f t="shared" ca="1" si="32"/>
        <v>0.5300517690216251</v>
      </c>
      <c r="J59" s="45">
        <f t="shared" ca="1" si="33"/>
        <v>0.53005379738244029</v>
      </c>
      <c r="L59" s="58">
        <f ca="1">_xll.EURO(UnderlyingPrice,$D59,IntRate,Yield,$I59,$D$6,L$12,0)</f>
        <v>0.16979427104192157</v>
      </c>
      <c r="M59" s="58">
        <f ca="1">_xll.EURO(UnderlyingPrice,$D59,IntRate,Yield,$I59,$D$6,M$12,0)</f>
        <v>0.20372894961341714</v>
      </c>
      <c r="O59" s="58">
        <f ca="1">_xll.EURO(UnderlyingPrice,$D59*(1+$P$8),IntRate,Yield,$H59,Expiry-Today,O$12,0)</f>
        <v>0.16941417695847871</v>
      </c>
      <c r="P59" s="58">
        <f ca="1">_xll.EURO(UnderlyingPrice,$D59*(1+$P$8),IntRate,Yield,$H59,Expiry-Today,P$12,0)</f>
        <v>0.2041944278736727</v>
      </c>
      <c r="R59" s="58">
        <f ca="1">_xll.EURO(UnderlyingPrice,$D59*(1-$P$8),IntRate,Yield,$J59,Expiry-Today,R$12,0)</f>
        <v>0.17017498952772581</v>
      </c>
      <c r="S59" s="58">
        <f ca="1">_xll.EURO(UnderlyingPrice,$D59*(1-$P$8),IntRate,Yield,$J59,Expiry-Today,S$12,0)</f>
        <v>0.20326409575552162</v>
      </c>
      <c r="U59" s="59">
        <f t="shared" ca="1" si="35"/>
        <v>0.86994669516674239</v>
      </c>
      <c r="V59" s="59"/>
      <c r="W59" s="62">
        <f t="shared" ca="1" si="34"/>
        <v>0.87162127006309487</v>
      </c>
      <c r="Z59" s="59">
        <f t="shared" ca="1" si="11"/>
        <v>0.84872284961271827</v>
      </c>
      <c r="AA59" s="59">
        <f t="shared" ca="1" si="12"/>
        <v>1.4215503370287114E-2</v>
      </c>
      <c r="AB59" s="59">
        <f t="shared" ca="1" si="4"/>
        <v>-2.020805360706443E-4</v>
      </c>
      <c r="AC59" s="59">
        <f t="shared" ca="1" si="13"/>
        <v>-8.2057456269564143E-3</v>
      </c>
      <c r="AD59" s="60">
        <f t="shared" ca="1" si="5"/>
        <v>0.9918278296043237</v>
      </c>
      <c r="AE59" s="60">
        <f t="shared" ca="1" si="14"/>
        <v>0.84178694186697922</v>
      </c>
      <c r="AF59" s="60"/>
      <c r="AG59" s="96">
        <f t="shared" ca="1" si="15"/>
        <v>0.12810734270100535</v>
      </c>
      <c r="AH59" s="96">
        <f t="shared" ca="1" si="16"/>
        <v>0.12990952346573825</v>
      </c>
      <c r="AI59" s="96">
        <f t="shared" ca="1" si="17"/>
        <v>0.12630480146407186</v>
      </c>
      <c r="AJ59" s="62"/>
      <c r="AK59" s="96">
        <f t="shared" ca="1" si="18"/>
        <v>0.40970568030271881</v>
      </c>
      <c r="AL59" s="96"/>
      <c r="AM59" s="94">
        <v>1.5</v>
      </c>
      <c r="AN59" s="95">
        <f t="shared" ca="1" si="6"/>
        <v>0.12951759566589172</v>
      </c>
      <c r="AX59" s="106">
        <f t="shared" ca="1" si="19"/>
        <v>0.53068000000000004</v>
      </c>
      <c r="AY59" s="106">
        <f t="shared" ca="1" si="20"/>
        <v>0.530696944</v>
      </c>
      <c r="AZ59" s="106">
        <f t="shared" ca="1" si="21"/>
        <v>0.53066305600000008</v>
      </c>
      <c r="BB59" s="109">
        <f ca="1">_xll.EURO(UnderlyingPrice,$D59,IntRate,Yield,AX59,$D$6,1,0)</f>
        <v>0.1700142362042163</v>
      </c>
      <c r="BC59" s="109">
        <f ca="1">_xll.EURO(UnderlyingPrice,$D59*(1+$P$8),IntRate,Yield,AY59,$D$6,1,0)</f>
        <v>0.16964075702882808</v>
      </c>
      <c r="BD59" s="109">
        <f ca="1">_xll.EURO(UnderlyingPrice,$D59*(1-$P$8),IntRate,Yield,AZ59,$D$6,1,0)</f>
        <v>0.1703883180678909</v>
      </c>
      <c r="BF59" s="59">
        <f t="shared" ca="1" si="22"/>
        <v>0.83969362609094245</v>
      </c>
      <c r="BG59" s="62">
        <f t="shared" ca="1" si="23"/>
        <v>0.84130996635028388</v>
      </c>
      <c r="BI59" s="96">
        <f t="shared" ca="1" si="24"/>
        <v>0.1281131708350132</v>
      </c>
      <c r="BJ59" s="96">
        <f t="shared" ca="1" si="25"/>
        <v>0.12991596366113789</v>
      </c>
      <c r="BK59" s="96">
        <f t="shared" ca="1" si="26"/>
        <v>0.1263100174142634</v>
      </c>
      <c r="BL59" s="62"/>
      <c r="BM59" s="96">
        <f t="shared" ca="1" si="27"/>
        <v>0.39532358759355007</v>
      </c>
      <c r="BO59" s="58">
        <f t="shared" ca="1" si="28"/>
        <v>2.1996516229472185E-4</v>
      </c>
      <c r="BP59" s="46">
        <f t="shared" ca="1" si="29"/>
        <v>1.2938043731261771E-3</v>
      </c>
    </row>
    <row r="60" spans="3:68" x14ac:dyDescent="0.2">
      <c r="C60" s="56">
        <v>47</v>
      </c>
      <c r="D60" s="63">
        <f t="shared" ca="1" si="30"/>
        <v>4.2520000000000007</v>
      </c>
      <c r="E60" s="45">
        <f t="shared" ca="1" si="7"/>
        <v>1.1899095668729265E-2</v>
      </c>
      <c r="F60" s="45">
        <f t="shared" ca="1" si="8"/>
        <v>1.2101475487863E-2</v>
      </c>
      <c r="G60" s="45">
        <f t="shared" ca="1" si="9"/>
        <v>1.1696715849595529E-2</v>
      </c>
      <c r="H60" s="45">
        <f t="shared" ca="1" si="31"/>
        <v>0.53002356569195441</v>
      </c>
      <c r="I60" s="45">
        <f t="shared" ca="1" si="32"/>
        <v>0.53002443891607876</v>
      </c>
      <c r="J60" s="45">
        <f t="shared" ca="1" si="33"/>
        <v>0.53002537025914276</v>
      </c>
      <c r="L60" s="58">
        <f ca="1">_xll.EURO(UnderlyingPrice,$D60,IntRate,Yield,$I60,$D$6,L$12,0)</f>
        <v>0.16272103784645187</v>
      </c>
      <c r="M60" s="58">
        <f ca="1">_xll.EURO(UnderlyingPrice,$D60,IntRate,Yield,$I60,$D$6,M$12,0)</f>
        <v>0.21262497692218041</v>
      </c>
      <c r="O60" s="58">
        <f ca="1">_xll.EURO(UnderlyingPrice,$D60*(1+$P$8),IntRate,Yield,$H60,Expiry-Today,O$12,0)</f>
        <v>0.16235128958956557</v>
      </c>
      <c r="P60" s="58">
        <f ca="1">_xll.EURO(UnderlyingPrice,$D60*(1+$P$8),IntRate,Yield,$H60,Expiry-Today,P$12,0)</f>
        <v>0.21310399486109466</v>
      </c>
      <c r="R60" s="58">
        <f ca="1">_xll.EURO(UnderlyingPrice,$D60*(1-$P$8),IntRate,Yield,$J60,Expiry-Today,R$12,0)</f>
        <v>0.16309140941053735</v>
      </c>
      <c r="S60" s="58">
        <f ca="1">_xll.EURO(UnderlyingPrice,$D60*(1-$P$8),IntRate,Yield,$J60,Expiry-Today,S$12,0)</f>
        <v>0.21214658229046535</v>
      </c>
      <c r="U60" s="59">
        <f t="shared" ca="1" si="35"/>
        <v>0.86189753765908839</v>
      </c>
      <c r="V60" s="59"/>
      <c r="W60" s="62">
        <f t="shared" ca="1" si="34"/>
        <v>0.8635566185979674</v>
      </c>
      <c r="Z60" s="59">
        <f t="shared" ca="1" si="11"/>
        <v>0.84552916062076067</v>
      </c>
      <c r="AA60" s="59">
        <f t="shared" ca="1" si="12"/>
        <v>1.7985536110828568E-2</v>
      </c>
      <c r="AB60" s="59">
        <f t="shared" ca="1" si="4"/>
        <v>-3.2347950919391842E-4</v>
      </c>
      <c r="AC60" s="59">
        <f t="shared" ca="1" si="13"/>
        <v>-1.3135310404412568E-2</v>
      </c>
      <c r="AD60" s="60">
        <f t="shared" ca="1" si="5"/>
        <v>0.98695058130259627</v>
      </c>
      <c r="AE60" s="60">
        <f t="shared" ca="1" si="14"/>
        <v>0.83449549658295608</v>
      </c>
      <c r="AF60" s="60"/>
      <c r="AG60" s="96">
        <f t="shared" ca="1" si="15"/>
        <v>0.16208214216509215</v>
      </c>
      <c r="AH60" s="96">
        <f t="shared" ca="1" si="16"/>
        <v>0.16388432292982411</v>
      </c>
      <c r="AI60" s="96">
        <f t="shared" ca="1" si="17"/>
        <v>0.1602796009281576</v>
      </c>
      <c r="AJ60" s="62"/>
      <c r="AK60" s="96">
        <f t="shared" ca="1" si="18"/>
        <v>0.40744809065231913</v>
      </c>
      <c r="AL60" s="96"/>
      <c r="AM60" s="94">
        <v>1.6</v>
      </c>
      <c r="AN60" s="95">
        <f t="shared" ca="1" si="6"/>
        <v>0.11092083467945553</v>
      </c>
      <c r="AX60" s="106">
        <f t="shared" ca="1" si="19"/>
        <v>0.53100000000000003</v>
      </c>
      <c r="AY60" s="106">
        <f t="shared" ca="1" si="20"/>
        <v>0.53101700800000007</v>
      </c>
      <c r="AZ60" s="106">
        <f t="shared" ca="1" si="21"/>
        <v>0.53098299199999999</v>
      </c>
      <c r="BB60" s="109">
        <f ca="1">_xll.EURO(UnderlyingPrice,$D60,IntRate,Yield,AX60,$D$6,1,0)</f>
        <v>0.16306221988200331</v>
      </c>
      <c r="BC60" s="109">
        <f ca="1">_xll.EURO(UnderlyingPrice,$D60*(1+$P$8),IntRate,Yield,AY60,$D$6,1,0)</f>
        <v>0.16269869271872062</v>
      </c>
      <c r="BD60" s="109">
        <f ca="1">_xll.EURO(UnderlyingPrice,$D60*(1-$P$8),IntRate,Yield,AZ60,$D$6,1,0)</f>
        <v>0.16342634778174259</v>
      </c>
      <c r="BF60" s="59">
        <f t="shared" ca="1" si="22"/>
        <v>0.83068713690880758</v>
      </c>
      <c r="BG60" s="62">
        <f t="shared" ca="1" si="23"/>
        <v>0.8322861404269758</v>
      </c>
      <c r="BI60" s="96">
        <f t="shared" ca="1" si="24"/>
        <v>0.16209950891023872</v>
      </c>
      <c r="BJ60" s="96">
        <f t="shared" ca="1" si="25"/>
        <v>0.1639023017363625</v>
      </c>
      <c r="BK60" s="96">
        <f t="shared" ca="1" si="26"/>
        <v>0.16029635548948784</v>
      </c>
      <c r="BL60" s="62"/>
      <c r="BM60" s="96">
        <f t="shared" ca="1" si="27"/>
        <v>0.39256055712563287</v>
      </c>
      <c r="BO60" s="58">
        <f t="shared" ca="1" si="28"/>
        <v>3.4118203555144611E-4</v>
      </c>
      <c r="BP60" s="46">
        <f t="shared" ca="1" si="29"/>
        <v>2.0923426395049426E-3</v>
      </c>
    </row>
    <row r="61" spans="3:68" x14ac:dyDescent="0.2">
      <c r="C61" s="56">
        <v>48</v>
      </c>
      <c r="D61" s="63">
        <f t="shared" ca="1" si="30"/>
        <v>4.2680000000000007</v>
      </c>
      <c r="E61" s="45">
        <f t="shared" ca="1" si="7"/>
        <v>1.5706806282722585E-2</v>
      </c>
      <c r="F61" s="45">
        <f t="shared" ca="1" si="8"/>
        <v>1.5909947643979239E-2</v>
      </c>
      <c r="G61" s="45">
        <f t="shared" ca="1" si="9"/>
        <v>1.5503664921466154E-2</v>
      </c>
      <c r="H61" s="45">
        <f t="shared" ca="1" si="31"/>
        <v>0.53001789230787522</v>
      </c>
      <c r="I61" s="45">
        <f t="shared" ca="1" si="32"/>
        <v>0.53001768245092362</v>
      </c>
      <c r="J61" s="45">
        <f t="shared" ca="1" si="33"/>
        <v>0.53001753000178309</v>
      </c>
      <c r="L61" s="58">
        <f ca="1">_xll.EURO(UnderlyingPrice,$D61,IntRate,Yield,$I61,$D$6,L$12,0)</f>
        <v>0.15586842929360945</v>
      </c>
      <c r="M61" s="58">
        <f ca="1">_xll.EURO(UnderlyingPrice,$D61,IntRate,Yield,$I61,$D$6,M$12,0)</f>
        <v>0.22174162887357074</v>
      </c>
      <c r="O61" s="58">
        <f ca="1">_xll.EURO(UnderlyingPrice,$D61*(1+$P$8),IntRate,Yield,$H61,Expiry-Today,O$12,0)</f>
        <v>0.15550899839198706</v>
      </c>
      <c r="P61" s="58">
        <f ca="1">_xll.EURO(UnderlyingPrice,$D61*(1+$P$8),IntRate,Yield,$H61,Expiry-Today,P$12,0)</f>
        <v>0.22223415801984903</v>
      </c>
      <c r="R61" s="58">
        <f ca="1">_xll.EURO(UnderlyingPrice,$D61*(1-$P$8),IntRate,Yield,$J61,Expiry-Today,R$12,0)</f>
        <v>0.15622848161386615</v>
      </c>
      <c r="S61" s="58">
        <f ca="1">_xll.EURO(UnderlyingPrice,$D61*(1-$P$8),IntRate,Yield,$J61,Expiry-Today,S$12,0)</f>
        <v>0.22124972114592634</v>
      </c>
      <c r="U61" s="59">
        <f t="shared" ca="1" si="35"/>
        <v>0.85285550948429856</v>
      </c>
      <c r="V61" s="59"/>
      <c r="W61" s="62">
        <f t="shared" ca="1" si="34"/>
        <v>0.85449718527240481</v>
      </c>
      <c r="Z61" s="59">
        <f t="shared" ca="1" si="11"/>
        <v>0.84235941681337267</v>
      </c>
      <c r="AA61" s="59">
        <f t="shared" ca="1" si="12"/>
        <v>2.1741409070633988E-2</v>
      </c>
      <c r="AB61" s="59">
        <f t="shared" ca="1" si="4"/>
        <v>-4.7268886837664584E-4</v>
      </c>
      <c r="AC61" s="59">
        <f t="shared" ca="1" si="13"/>
        <v>-1.9194152440473934E-2</v>
      </c>
      <c r="AD61" s="60">
        <f t="shared" ca="1" si="5"/>
        <v>0.98098888236674864</v>
      </c>
      <c r="AE61" s="60">
        <f t="shared" ca="1" si="14"/>
        <v>0.82634522285085665</v>
      </c>
      <c r="AF61" s="60"/>
      <c r="AG61" s="96">
        <f t="shared" ca="1" si="15"/>
        <v>0.19592933644798541</v>
      </c>
      <c r="AH61" s="96">
        <f t="shared" ca="1" si="16"/>
        <v>0.19773151721271848</v>
      </c>
      <c r="AI61" s="96">
        <f t="shared" ca="1" si="17"/>
        <v>0.19412679521105181</v>
      </c>
      <c r="AJ61" s="62"/>
      <c r="AK61" s="96">
        <f t="shared" ca="1" si="18"/>
        <v>0.40469073454834059</v>
      </c>
      <c r="AL61" s="96"/>
      <c r="AM61" s="94">
        <v>1.7</v>
      </c>
      <c r="AN61" s="95">
        <f t="shared" ca="1" si="6"/>
        <v>9.4049077376886933E-2</v>
      </c>
      <c r="AX61" s="106">
        <f t="shared" ca="1" si="19"/>
        <v>0.53132000000000001</v>
      </c>
      <c r="AY61" s="106">
        <f t="shared" ca="1" si="20"/>
        <v>0.53133707200000002</v>
      </c>
      <c r="AZ61" s="106">
        <f t="shared" ca="1" si="21"/>
        <v>0.53130292800000001</v>
      </c>
      <c r="BB61" s="109">
        <f ca="1">_xll.EURO(UnderlyingPrice,$D61,IntRate,Yield,AX61,$D$6,1,0)</f>
        <v>0.15632284327287538</v>
      </c>
      <c r="BC61" s="109">
        <f ca="1">_xll.EURO(UnderlyingPrice,$D61*(1+$P$8),IntRate,Yield,AY61,$D$6,1,0)</f>
        <v>0.15596922509313793</v>
      </c>
      <c r="BD61" s="109">
        <f ca="1">_xll.EURO(UnderlyingPrice,$D61*(1-$P$8),IntRate,Yield,AZ61,$D$6,1,0)</f>
        <v>0.15667705960166622</v>
      </c>
      <c r="BF61" s="59">
        <f t="shared" ca="1" si="22"/>
        <v>0.82091956614075623</v>
      </c>
      <c r="BG61" s="62">
        <f t="shared" ca="1" si="23"/>
        <v>0.82249976789911838</v>
      </c>
      <c r="BI61" s="96">
        <f t="shared" ca="1" si="24"/>
        <v>0.19595819846666207</v>
      </c>
      <c r="BJ61" s="96">
        <f t="shared" ca="1" si="25"/>
        <v>0.19776099129278688</v>
      </c>
      <c r="BK61" s="96">
        <f t="shared" ca="1" si="26"/>
        <v>0.19415504504591211</v>
      </c>
      <c r="BL61" s="62"/>
      <c r="BM61" s="96">
        <f t="shared" ca="1" si="27"/>
        <v>0.38940447461588035</v>
      </c>
      <c r="BO61" s="58">
        <f t="shared" ca="1" si="28"/>
        <v>4.5441397926593297E-4</v>
      </c>
      <c r="BP61" s="46">
        <f t="shared" ca="1" si="29"/>
        <v>2.9068942820641582E-3</v>
      </c>
    </row>
    <row r="62" spans="3:68" x14ac:dyDescent="0.2">
      <c r="C62" s="56">
        <v>49</v>
      </c>
      <c r="D62" s="63">
        <f t="shared" ca="1" si="30"/>
        <v>4.2840000000000007</v>
      </c>
      <c r="E62" s="45">
        <f t="shared" ca="1" si="7"/>
        <v>1.9514516896716128E-2</v>
      </c>
      <c r="F62" s="45">
        <f t="shared" ca="1" si="8"/>
        <v>1.9718419800095477E-2</v>
      </c>
      <c r="G62" s="45">
        <f t="shared" ca="1" si="9"/>
        <v>1.9310613993336556E-2</v>
      </c>
      <c r="H62" s="45">
        <f t="shared" ca="1" si="31"/>
        <v>0.53003237526583613</v>
      </c>
      <c r="I62" s="45">
        <f t="shared" ca="1" si="32"/>
        <v>0.53003109581121721</v>
      </c>
      <c r="J62" s="45">
        <f t="shared" ca="1" si="33"/>
        <v>0.53002987303765936</v>
      </c>
      <c r="L62" s="58">
        <f ca="1">_xll.EURO(UnderlyingPrice,$D62,IntRate,Yield,$I62,$D$6,L$12,0)</f>
        <v>0.1492341314517458</v>
      </c>
      <c r="M62" s="58">
        <f ca="1">_xll.EURO(UnderlyingPrice,$D62,IntRate,Yield,$I62,$D$6,M$12,0)</f>
        <v>0.23107659153594007</v>
      </c>
      <c r="O62" s="58">
        <f ca="1">_xll.EURO(UnderlyingPrice,$D62*(1+$P$8),IntRate,Yield,$H62,Expiry-Today,O$12,0)</f>
        <v>0.14888497477643692</v>
      </c>
      <c r="P62" s="58">
        <f ca="1">_xll.EURO(UnderlyingPrice,$D62*(1+$P$8),IntRate,Yield,$H62,Expiry-Today,P$12,0)</f>
        <v>0.2315825887606322</v>
      </c>
      <c r="R62" s="58">
        <f ca="1">_xll.EURO(UnderlyingPrice,$D62*(1-$P$8),IntRate,Yield,$J62,Expiry-Today,R$12,0)</f>
        <v>0.14958390687542988</v>
      </c>
      <c r="S62" s="58">
        <f ca="1">_xll.EURO(UnderlyingPrice,$D62*(1-$P$8),IntRate,Yield,$J62,Expiry-Today,S$12,0)</f>
        <v>0.23057121305962225</v>
      </c>
      <c r="U62" s="59">
        <f t="shared" ca="1" si="35"/>
        <v>0.84285944116607192</v>
      </c>
      <c r="V62" s="59"/>
      <c r="W62" s="62">
        <f t="shared" ca="1" si="34"/>
        <v>0.84448187535562858</v>
      </c>
      <c r="Z62" s="59">
        <f t="shared" ca="1" si="11"/>
        <v>0.83921334989716956</v>
      </c>
      <c r="AA62" s="59">
        <f t="shared" ca="1" si="12"/>
        <v>2.5483228216629593E-2</v>
      </c>
      <c r="AB62" s="59">
        <f t="shared" ca="1" si="4"/>
        <v>-6.4939492034082663E-4</v>
      </c>
      <c r="AC62" s="59">
        <f t="shared" ca="1" si="13"/>
        <v>-2.6369533807509251E-2</v>
      </c>
      <c r="AD62" s="60">
        <f t="shared" ca="1" si="5"/>
        <v>0.97397510637038121</v>
      </c>
      <c r="AE62" s="60">
        <f t="shared" ca="1" si="14"/>
        <v>0.81737291173353965</v>
      </c>
      <c r="AF62" s="60"/>
      <c r="AG62" s="96">
        <f t="shared" ca="1" si="15"/>
        <v>0.22964988050294846</v>
      </c>
      <c r="AH62" s="96">
        <f t="shared" ca="1" si="16"/>
        <v>0.23145206126768059</v>
      </c>
      <c r="AI62" s="96">
        <f t="shared" ca="1" si="17"/>
        <v>0.22784733926601181</v>
      </c>
      <c r="AJ62" s="62"/>
      <c r="AK62" s="96">
        <f t="shared" ca="1" si="18"/>
        <v>0.40144680808658162</v>
      </c>
      <c r="AL62" s="96"/>
      <c r="AM62" s="94">
        <v>1.8</v>
      </c>
      <c r="AN62" s="95">
        <f t="shared" ca="1" si="6"/>
        <v>7.8950158300894135E-2</v>
      </c>
      <c r="AX62" s="106">
        <f t="shared" ca="1" si="19"/>
        <v>0.53164</v>
      </c>
      <c r="AY62" s="106">
        <f t="shared" ca="1" si="20"/>
        <v>0.53165713600000009</v>
      </c>
      <c r="AZ62" s="106">
        <f t="shared" ca="1" si="21"/>
        <v>0.53162286400000003</v>
      </c>
      <c r="BB62" s="109">
        <f ca="1">_xll.EURO(UnderlyingPrice,$D62,IntRate,Yield,AX62,$D$6,1,0)</f>
        <v>0.14979360659745189</v>
      </c>
      <c r="BC62" s="109">
        <f ca="1">_xll.EURO(UnderlyingPrice,$D62*(1+$P$8),IntRate,Yield,AY62,$D$6,1,0)</f>
        <v>0.14944984273061523</v>
      </c>
      <c r="BD62" s="109">
        <f ca="1">_xll.EURO(UnderlyingPrice,$D62*(1-$P$8),IntRate,Yield,AZ62,$D$6,1,0)</f>
        <v>0.15013796540209201</v>
      </c>
      <c r="BF62" s="59">
        <f t="shared" ca="1" si="22"/>
        <v>0.81042466478206454</v>
      </c>
      <c r="BG62" s="62">
        <f t="shared" ca="1" si="23"/>
        <v>0.81198466472984154</v>
      </c>
      <c r="BI62" s="96">
        <f t="shared" ca="1" si="24"/>
        <v>0.22969019478187014</v>
      </c>
      <c r="BJ62" s="96">
        <f t="shared" ca="1" si="25"/>
        <v>0.23149298760799406</v>
      </c>
      <c r="BK62" s="96">
        <f t="shared" ca="1" si="26"/>
        <v>0.22788704136111718</v>
      </c>
      <c r="BL62" s="62"/>
      <c r="BM62" s="96">
        <f t="shared" ca="1" si="27"/>
        <v>0.38586734971054193</v>
      </c>
      <c r="BO62" s="58">
        <f t="shared" ca="1" si="28"/>
        <v>5.594751457060898E-4</v>
      </c>
      <c r="BP62" s="46">
        <f t="shared" ca="1" si="29"/>
        <v>3.7349734639182319E-3</v>
      </c>
    </row>
    <row r="63" spans="3:68" x14ac:dyDescent="0.2">
      <c r="C63" s="56">
        <v>50</v>
      </c>
      <c r="D63" s="63">
        <f t="shared" ca="1" si="30"/>
        <v>4.3000000000000007</v>
      </c>
      <c r="E63" s="45">
        <f t="shared" ca="1" si="7"/>
        <v>2.3322227510709448E-2</v>
      </c>
      <c r="F63" s="45">
        <f t="shared" ca="1" si="8"/>
        <v>2.3526891956211493E-2</v>
      </c>
      <c r="G63" s="45">
        <f t="shared" ca="1" si="9"/>
        <v>2.3117563065207181E-2</v>
      </c>
      <c r="H63" s="45">
        <f t="shared" ca="1" si="31"/>
        <v>0.53006661050855697</v>
      </c>
      <c r="I63" s="45">
        <f t="shared" ca="1" si="32"/>
        <v>0.53006427518201649</v>
      </c>
      <c r="J63" s="45">
        <f t="shared" ca="1" si="33"/>
        <v>0.53006199579406921</v>
      </c>
      <c r="L63" s="58">
        <f ca="1">_xll.EURO(UnderlyingPrice,$D63,IntRate,Yield,$I63,$D$6,L$12,0)</f>
        <v>0.14281558624968604</v>
      </c>
      <c r="M63" s="58">
        <f ca="1">_xll.EURO(UnderlyingPrice,$D63,IntRate,Yield,$I63,$D$6,M$12,0)</f>
        <v>0.24062730683811262</v>
      </c>
      <c r="O63" s="58">
        <f ca="1">_xll.EURO(UnderlyingPrice,$D63*(1+$P$8),IntRate,Yield,$H63,Expiry-Today,O$12,0)</f>
        <v>0.14247664638276114</v>
      </c>
      <c r="P63" s="58">
        <f ca="1">_xll.EURO(UnderlyingPrice,$D63*(1+$P$8),IntRate,Yield,$H63,Expiry-Today,P$12,0)</f>
        <v>0.24114671472329086</v>
      </c>
      <c r="R63" s="58">
        <f ca="1">_xll.EURO(UnderlyingPrice,$D63*(1-$P$8),IntRate,Yield,$J63,Expiry-Today,R$12,0)</f>
        <v>0.14315514142881214</v>
      </c>
      <c r="S63" s="58">
        <f ca="1">_xll.EURO(UnderlyingPrice,$D63*(1-$P$8),IntRate,Yield,$J63,Expiry-Today,S$12,0)</f>
        <v>0.24010851426513558</v>
      </c>
      <c r="U63" s="59">
        <f t="shared" ca="1" si="35"/>
        <v>0.83195267873300638</v>
      </c>
      <c r="V63" s="59"/>
      <c r="W63" s="62">
        <f t="shared" ca="1" si="34"/>
        <v>0.83355411831372972</v>
      </c>
      <c r="Z63" s="59">
        <f t="shared" ca="1" si="11"/>
        <v>0.8360906955719708</v>
      </c>
      <c r="AA63" s="59">
        <f t="shared" ca="1" si="12"/>
        <v>2.9211098330643982E-2</v>
      </c>
      <c r="AB63" s="59">
        <f t="shared" ca="1" si="4"/>
        <v>-8.5328826568255159E-4</v>
      </c>
      <c r="AC63" s="59">
        <f t="shared" ca="1" si="13"/>
        <v>-3.4648890936285294E-2</v>
      </c>
      <c r="AD63" s="60">
        <f t="shared" ca="1" si="5"/>
        <v>0.96594450859689984</v>
      </c>
      <c r="AE63" s="60">
        <f t="shared" ca="1" si="14"/>
        <v>0.80761721607670756</v>
      </c>
      <c r="AF63" s="60"/>
      <c r="AG63" s="96">
        <f t="shared" ca="1" si="15"/>
        <v>0.26324471860337595</v>
      </c>
      <c r="AH63" s="96">
        <f t="shared" ca="1" si="16"/>
        <v>0.26504689936810721</v>
      </c>
      <c r="AI63" s="96">
        <f t="shared" ca="1" si="17"/>
        <v>0.26144217736644021</v>
      </c>
      <c r="AJ63" s="62"/>
      <c r="AK63" s="96">
        <f t="shared" ca="1" si="18"/>
        <v>0.39773194239017451</v>
      </c>
      <c r="AL63" s="96"/>
      <c r="AM63" s="94">
        <v>1.9</v>
      </c>
      <c r="AN63" s="95">
        <f t="shared" ca="1" si="6"/>
        <v>6.5615814774676581E-2</v>
      </c>
      <c r="AX63" s="106">
        <f t="shared" ca="1" si="19"/>
        <v>0.5319600000000001</v>
      </c>
      <c r="AY63" s="106">
        <f t="shared" ca="1" si="20"/>
        <v>0.53197720000000004</v>
      </c>
      <c r="AZ63" s="106">
        <f t="shared" ca="1" si="21"/>
        <v>0.53194280000000005</v>
      </c>
      <c r="BB63" s="109">
        <f ca="1">_xll.EURO(UnderlyingPrice,$D63,IntRate,Yield,AX63,$D$6,1,0)</f>
        <v>0.14347182394070468</v>
      </c>
      <c r="BC63" s="109">
        <f ca="1">_xll.EURO(UnderlyingPrice,$D63*(1+$P$8),IntRate,Yield,AY63,$D$6,1,0)</f>
        <v>0.14313784840757648</v>
      </c>
      <c r="BD63" s="109">
        <f ca="1">_xll.EURO(UnderlyingPrice,$D63*(1-$P$8),IntRate,Yield,AZ63,$D$6,1,0)</f>
        <v>0.1438063905910274</v>
      </c>
      <c r="BF63" s="59">
        <f t="shared" ca="1" si="22"/>
        <v>0.79923904073295238</v>
      </c>
      <c r="BG63" s="62">
        <f t="shared" ca="1" si="23"/>
        <v>0.80077750928652247</v>
      </c>
      <c r="BI63" s="96">
        <f t="shared" ca="1" si="24"/>
        <v>0.26329644244995443</v>
      </c>
      <c r="BJ63" s="96">
        <f t="shared" ca="1" si="25"/>
        <v>0.26509923527607743</v>
      </c>
      <c r="BK63" s="96">
        <f t="shared" ca="1" si="26"/>
        <v>0.26149328902920232</v>
      </c>
      <c r="BL63" s="62"/>
      <c r="BM63" s="96">
        <f t="shared" ca="1" si="27"/>
        <v>0.38196279746721506</v>
      </c>
      <c r="BO63" s="58">
        <f t="shared" ca="1" si="28"/>
        <v>6.5623769101863516E-4</v>
      </c>
      <c r="BP63" s="46">
        <f t="shared" ca="1" si="29"/>
        <v>4.5739830511240375E-3</v>
      </c>
    </row>
    <row r="64" spans="3:68" x14ac:dyDescent="0.2">
      <c r="C64" s="56">
        <v>51</v>
      </c>
      <c r="D64" s="63">
        <f t="shared" ca="1" si="30"/>
        <v>4.3160000000000007</v>
      </c>
      <c r="E64" s="45">
        <f t="shared" ca="1" si="7"/>
        <v>2.7129938124702768E-2</v>
      </c>
      <c r="F64" s="45">
        <f t="shared" ca="1" si="8"/>
        <v>2.7335364112327509E-2</v>
      </c>
      <c r="G64" s="45">
        <f t="shared" ca="1" si="9"/>
        <v>2.6924512137077805E-2</v>
      </c>
      <c r="H64" s="45">
        <f t="shared" ca="1" si="31"/>
        <v>0.53012019397875765</v>
      </c>
      <c r="I64" s="45">
        <f t="shared" ca="1" si="32"/>
        <v>0.53011681674837918</v>
      </c>
      <c r="J64" s="45">
        <f t="shared" ca="1" si="33"/>
        <v>0.53011349469831059</v>
      </c>
      <c r="L64" s="58">
        <f ca="1">_xll.EURO(UnderlyingPrice,$D64,IntRate,Yield,$I64,$D$6,L$12,0)</f>
        <v>0.13661000256398403</v>
      </c>
      <c r="M64" s="58">
        <f ca="1">_xll.EURO(UnderlyingPrice,$D64,IntRate,Yield,$I64,$D$6,M$12,0)</f>
        <v>0.25039098365664358</v>
      </c>
      <c r="O64" s="58">
        <f ca="1">_xll.EURO(UnderlyingPrice,$D64*(1+$P$8),IntRate,Yield,$H64,Expiry-Today,O$12,0)</f>
        <v>0.13628120823615508</v>
      </c>
      <c r="P64" s="58">
        <f ca="1">_xll.EURO(UnderlyingPrice,$D64*(1+$P$8),IntRate,Yield,$H64,Expiry-Today,P$12,0)</f>
        <v>0.2509237309330179</v>
      </c>
      <c r="R64" s="58">
        <f ca="1">_xll.EURO(UnderlyingPrice,$D64*(1-$P$8),IntRate,Yield,$J64,Expiry-Today,R$12,0)</f>
        <v>0.13693940802149895</v>
      </c>
      <c r="S64" s="58">
        <f ca="1">_xll.EURO(UnderlyingPrice,$D64*(1-$P$8),IntRate,Yield,$J64,Expiry-Today,S$12,0)</f>
        <v>0.24985884750995613</v>
      </c>
      <c r="U64" s="59">
        <f t="shared" ca="1" si="35"/>
        <v>0.82018253465117164</v>
      </c>
      <c r="V64" s="59"/>
      <c r="W64" s="62">
        <f t="shared" ca="1" si="34"/>
        <v>0.82176131768533256</v>
      </c>
      <c r="Z64" s="59">
        <f t="shared" ca="1" si="11"/>
        <v>0.83299119345678274</v>
      </c>
      <c r="AA64" s="59">
        <f t="shared" ca="1" si="12"/>
        <v>3.2925123027015453E-2</v>
      </c>
      <c r="AB64" s="59">
        <f t="shared" ca="1" si="4"/>
        <v>-1.0840637263441033E-3</v>
      </c>
      <c r="AC64" s="59">
        <f t="shared" ca="1" si="13"/>
        <v>-4.4019831670876267E-2</v>
      </c>
      <c r="AD64" s="60">
        <f t="shared" ca="1" si="5"/>
        <v>0.95693497966529972</v>
      </c>
      <c r="AE64" s="60">
        <f t="shared" ca="1" si="14"/>
        <v>0.79711841077194012</v>
      </c>
      <c r="AF64" s="60"/>
      <c r="AG64" s="96">
        <f t="shared" ca="1" si="15"/>
        <v>0.29671478450146788</v>
      </c>
      <c r="AH64" s="96">
        <f t="shared" ca="1" si="16"/>
        <v>0.2985169652661982</v>
      </c>
      <c r="AI64" s="96">
        <f t="shared" ca="1" si="17"/>
        <v>0.29491224326453302</v>
      </c>
      <c r="AJ64" s="62"/>
      <c r="AK64" s="96">
        <f t="shared" ca="1" si="18"/>
        <v>0.39356398030045214</v>
      </c>
      <c r="AL64" s="96"/>
      <c r="AM64" s="94">
        <v>2</v>
      </c>
      <c r="AN64" s="95">
        <f t="shared" ca="1" si="6"/>
        <v>5.3990966513188049E-2</v>
      </c>
      <c r="AX64" s="106">
        <f t="shared" ca="1" si="19"/>
        <v>0.53228000000000009</v>
      </c>
      <c r="AY64" s="106">
        <f t="shared" ca="1" si="20"/>
        <v>0.53229726399999999</v>
      </c>
      <c r="AZ64" s="106">
        <f t="shared" ca="1" si="21"/>
        <v>0.53226273600000007</v>
      </c>
      <c r="BB64" s="109">
        <f ca="1">_xll.EURO(UnderlyingPrice,$D64,IntRate,Yield,AX64,$D$6,1,0)</f>
        <v>0.13735463261303571</v>
      </c>
      <c r="BC64" s="109">
        <f ca="1">_xll.EURO(UnderlyingPrice,$D64*(1+$P$8),IntRate,Yield,AY64,$D$6,1,0)</f>
        <v>0.13703036850440031</v>
      </c>
      <c r="BD64" s="109">
        <f ca="1">_xll.EURO(UnderlyingPrice,$D64*(1-$P$8),IntRate,Yield,AZ64,$D$6,1,0)</f>
        <v>0.13767948342587566</v>
      </c>
      <c r="BF64" s="59">
        <f t="shared" ca="1" si="22"/>
        <v>0.78740168024791179</v>
      </c>
      <c r="BG64" s="62">
        <f t="shared" ca="1" si="23"/>
        <v>0.78891736286894432</v>
      </c>
      <c r="BI64" s="96">
        <f t="shared" ca="1" si="24"/>
        <v>0.29677787554023816</v>
      </c>
      <c r="BJ64" s="96">
        <f t="shared" ca="1" si="25"/>
        <v>0.29858066836636027</v>
      </c>
      <c r="BK64" s="96">
        <f t="shared" ca="1" si="26"/>
        <v>0.29497472211948694</v>
      </c>
      <c r="BL64" s="62"/>
      <c r="BM64" s="96">
        <f t="shared" ca="1" si="27"/>
        <v>0.37770583420035969</v>
      </c>
      <c r="BO64" s="58">
        <f t="shared" ca="1" si="28"/>
        <v>7.4463004905167551E-4</v>
      </c>
      <c r="BP64" s="46">
        <f t="shared" ca="1" si="29"/>
        <v>5.4212226765550393E-3</v>
      </c>
    </row>
    <row r="65" spans="3:68" x14ac:dyDescent="0.2">
      <c r="C65" s="56">
        <v>52</v>
      </c>
      <c r="D65" s="63">
        <f t="shared" ca="1" si="30"/>
        <v>4.3320000000000007</v>
      </c>
      <c r="E65" s="45">
        <f t="shared" ca="1" si="7"/>
        <v>3.0937648738696089E-2</v>
      </c>
      <c r="F65" s="45">
        <f t="shared" ca="1" si="8"/>
        <v>3.1143836268443748E-2</v>
      </c>
      <c r="G65" s="45">
        <f t="shared" ca="1" si="9"/>
        <v>3.073146120894843E-2</v>
      </c>
      <c r="H65" s="45">
        <f t="shared" ca="1" si="31"/>
        <v>0.53019272161915842</v>
      </c>
      <c r="I65" s="45">
        <f t="shared" ca="1" si="32"/>
        <v>0.53018831669536248</v>
      </c>
      <c r="J65" s="45">
        <f t="shared" ca="1" si="33"/>
        <v>0.53018396617768149</v>
      </c>
      <c r="L65" s="58">
        <f ca="1">_xll.EURO(UnderlyingPrice,$D65,IntRate,Yield,$I65,$D$6,L$12,0)</f>
        <v>0.13061436831552831</v>
      </c>
      <c r="M65" s="58">
        <f ca="1">_xll.EURO(UnderlyingPrice,$D65,IntRate,Yield,$I65,$D$6,M$12,0)</f>
        <v>0.26036460991242105</v>
      </c>
      <c r="O65" s="58">
        <f ca="1">_xll.EURO(UnderlyingPrice,$D65*(1+$P$8),IntRate,Yield,$H65,Expiry-Today,O$12,0)</f>
        <v>0.13029563490576135</v>
      </c>
      <c r="P65" s="58">
        <f ca="1">_xll.EURO(UnderlyingPrice,$D65*(1+$P$8),IntRate,Yield,$H65,Expiry-Today,P$12,0)</f>
        <v>0.26091061195895726</v>
      </c>
      <c r="R65" s="58">
        <f ca="1">_xll.EURO(UnderlyingPrice,$D65*(1-$P$8),IntRate,Yield,$J65,Expiry-Today,R$12,0)</f>
        <v>0.13093370794913595</v>
      </c>
      <c r="S65" s="58">
        <f ca="1">_xll.EURO(UnderlyingPrice,$D65*(1-$P$8),IntRate,Yield,$J65,Expiry-Today,S$12,0)</f>
        <v>0.2598192140897253</v>
      </c>
      <c r="U65" s="59">
        <f t="shared" ca="1" si="35"/>
        <v>0.80759965441411929</v>
      </c>
      <c r="V65" s="59"/>
      <c r="W65" s="62">
        <f t="shared" ca="1" si="34"/>
        <v>0.80915421645234353</v>
      </c>
      <c r="Z65" s="59">
        <f t="shared" ca="1" si="11"/>
        <v>0.82991458701742238</v>
      </c>
      <c r="AA65" s="59">
        <f t="shared" ca="1" si="12"/>
        <v>3.6625404769871389E-2</v>
      </c>
      <c r="AB65" s="59">
        <f t="shared" ca="1" si="4"/>
        <v>-1.3414202745569179E-3</v>
      </c>
      <c r="AC65" s="59">
        <f t="shared" ca="1" si="13"/>
        <v>-5.447013238329939E-2</v>
      </c>
      <c r="AD65" s="60">
        <f t="shared" ca="1" si="5"/>
        <v>0.94698679267398189</v>
      </c>
      <c r="AE65" s="60">
        <f t="shared" ca="1" si="14"/>
        <v>0.78591815295298106</v>
      </c>
      <c r="AF65" s="60"/>
      <c r="AG65" s="96">
        <f t="shared" ca="1" si="15"/>
        <v>0.3300610015839478</v>
      </c>
      <c r="AH65" s="96">
        <f t="shared" ca="1" si="16"/>
        <v>0.33186318234867918</v>
      </c>
      <c r="AI65" s="96">
        <f t="shared" ca="1" si="17"/>
        <v>0.32825846034701384</v>
      </c>
      <c r="AJ65" s="62"/>
      <c r="AK65" s="96">
        <f t="shared" ca="1" si="18"/>
        <v>0.38896270658898702</v>
      </c>
      <c r="AL65" s="96"/>
      <c r="AM65" s="94">
        <v>2.1</v>
      </c>
      <c r="AN65" s="95">
        <f t="shared" ca="1" si="6"/>
        <v>4.3983595980427184E-2</v>
      </c>
      <c r="AX65" s="106">
        <f t="shared" ca="1" si="19"/>
        <v>0.53260000000000007</v>
      </c>
      <c r="AY65" s="106">
        <f t="shared" ca="1" si="20"/>
        <v>0.53261732800000006</v>
      </c>
      <c r="AZ65" s="106">
        <f t="shared" ca="1" si="21"/>
        <v>0.53258267200000009</v>
      </c>
      <c r="BB65" s="109">
        <f ca="1">_xll.EURO(UnderlyingPrice,$D65,IntRate,Yield,AX65,$D$6,1,0)</f>
        <v>0.13143900312109991</v>
      </c>
      <c r="BC65" s="109">
        <f ca="1">_xll.EURO(UnderlyingPrice,$D65*(1+$P$8),IntRate,Yield,AY65,$D$6,1,0)</f>
        <v>0.13112436301566488</v>
      </c>
      <c r="BD65" s="109">
        <f ca="1">_xll.EURO(UnderlyingPrice,$D65*(1-$P$8),IntRate,Yield,AZ65,$D$6,1,0)</f>
        <v>0.13175422494457267</v>
      </c>
      <c r="BF65" s="59">
        <f t="shared" ca="1" si="22"/>
        <v>0.77495349855660267</v>
      </c>
      <c r="BG65" s="62">
        <f t="shared" ca="1" si="23"/>
        <v>0.77644521946517475</v>
      </c>
      <c r="BI65" s="96">
        <f t="shared" ca="1" si="24"/>
        <v>0.33013541775304789</v>
      </c>
      <c r="BJ65" s="96">
        <f t="shared" ca="1" si="25"/>
        <v>0.33193821057917106</v>
      </c>
      <c r="BK65" s="96">
        <f t="shared" ca="1" si="26"/>
        <v>0.32833226433229762</v>
      </c>
      <c r="BL65" s="62"/>
      <c r="BM65" s="96">
        <f t="shared" ca="1" si="27"/>
        <v>0.3731126822691313</v>
      </c>
      <c r="BO65" s="58">
        <f t="shared" ca="1" si="28"/>
        <v>8.2463480557160018E-4</v>
      </c>
      <c r="BP65" s="46">
        <f t="shared" ca="1" si="29"/>
        <v>6.2738972906834344E-3</v>
      </c>
    </row>
    <row r="66" spans="3:68" x14ac:dyDescent="0.2">
      <c r="C66" s="56">
        <v>53</v>
      </c>
      <c r="D66" s="63">
        <f t="shared" ca="1" si="30"/>
        <v>4.3480000000000008</v>
      </c>
      <c r="E66" s="45">
        <f t="shared" ca="1" si="7"/>
        <v>3.4745359352689409E-2</v>
      </c>
      <c r="F66" s="45">
        <f t="shared" ref="F66:F113" ca="1" si="36">+D66*(1+$P$8)/UnderlyingPrice-1</f>
        <v>3.4952308424559764E-2</v>
      </c>
      <c r="G66" s="45">
        <f t="shared" ref="G66:G113" ca="1" si="37">+D66*(1-$P$8)/UnderlyingPrice-1</f>
        <v>3.4538410280818832E-2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0.53028378937247889</v>
      </c>
      <c r="I66" s="45">
        <f t="shared" ca="1" si="32"/>
        <v>0.53027837120802379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0.53027300665947963</v>
      </c>
      <c r="L66" s="58">
        <f ca="1">_xll.EURO(UnderlyingPrice,$D66,IntRate,Yield,$I66,$D$6,L$12,0)</f>
        <v>0.12482546342467948</v>
      </c>
      <c r="M66" s="58">
        <f ca="1">_xll.EURO(UnderlyingPrice,$D66,IntRate,Yield,$I66,$D$6,M$12,0)</f>
        <v>0.27054496552580565</v>
      </c>
      <c r="O66" s="58">
        <f ca="1">_xll.EURO(UnderlyingPrice,$D66*(1+$P$8),IntRate,Yield,$H66,Expiry-Today,O$12,0)</f>
        <v>0.12451669351482186</v>
      </c>
      <c r="P66" s="58">
        <f ca="1">_xll.EURO(UnderlyingPrice,$D66*(1+$P$8),IntRate,Yield,$H66,Expiry-Today,P$12,0)</f>
        <v>0.27110412492435199</v>
      </c>
      <c r="R66" s="58">
        <f ca="1">_xll.EURO(UnderlyingPrice,$D66*(1-$P$8),IntRate,Yield,$J66,Expiry-Today,R$12,0)</f>
        <v>0.1251348339553382</v>
      </c>
      <c r="S66" s="58">
        <f ca="1">_xll.EURO(UnderlyingPrice,$D66*(1-$P$8),IntRate,Yield,$J66,Expiry-Today,S$12,0)</f>
        <v>0.26998640674805952</v>
      </c>
      <c r="U66" s="59">
        <f t="shared" ca="1" si="35"/>
        <v>0.7942574675792109</v>
      </c>
      <c r="V66" s="59"/>
      <c r="W66" s="62">
        <f t="shared" ref="W66:W112" ca="1" si="40">U66/$D$9</f>
        <v>0.79578634701956985</v>
      </c>
      <c r="Z66" s="59">
        <f t="shared" ca="1" si="11"/>
        <v>0.82686062349573919</v>
      </c>
      <c r="AA66" s="59">
        <f t="shared" ca="1" si="12"/>
        <v>4.0312044890090201E-2</v>
      </c>
      <c r="AB66" s="59">
        <f t="shared" ca="1" si="4"/>
        <v>-1.6250609632206476E-3</v>
      </c>
      <c r="AC66" s="59">
        <f t="shared" ca="1" si="13"/>
        <v>-6.5987735146465318E-2</v>
      </c>
      <c r="AD66" s="60">
        <f t="shared" ca="1" si="5"/>
        <v>0.93614234586996847</v>
      </c>
      <c r="AE66" s="60">
        <f t="shared" ca="1" si="14"/>
        <v>0.77405924378680602</v>
      </c>
      <c r="AF66" s="60"/>
      <c r="AG66" s="96">
        <f t="shared" ca="1" si="15"/>
        <v>0.36328428302492066</v>
      </c>
      <c r="AH66" s="96">
        <f t="shared" ca="1" si="16"/>
        <v>0.36508646378965115</v>
      </c>
      <c r="AI66" s="96">
        <f t="shared" ca="1" si="17"/>
        <v>0.36148174178798564</v>
      </c>
      <c r="AJ66" s="62"/>
      <c r="AK66" s="96">
        <f t="shared" ca="1" si="18"/>
        <v>0.38394961223000446</v>
      </c>
      <c r="AL66" s="96"/>
      <c r="AM66" s="94">
        <v>2.2000000000000002</v>
      </c>
      <c r="AN66" s="95">
        <f t="shared" ca="1" si="6"/>
        <v>3.5474592846231418E-2</v>
      </c>
      <c r="AX66" s="106">
        <f t="shared" ca="1" si="19"/>
        <v>0.53292000000000006</v>
      </c>
      <c r="AY66" s="106">
        <f t="shared" ca="1" si="20"/>
        <v>0.53293739200000001</v>
      </c>
      <c r="AZ66" s="106">
        <f t="shared" ca="1" si="21"/>
        <v>0.532902608</v>
      </c>
      <c r="BB66" s="109">
        <f ca="1">_xll.EURO(UnderlyingPrice,$D66,IntRate,Yield,AX66,$D$6,1,0)</f>
        <v>0.12572174963444849</v>
      </c>
      <c r="BC66" s="109">
        <f ca="1">_xll.EURO(UnderlyingPrice,$D66*(1+$P$8),IntRate,Yield,AY66,$D$6,1,0)</f>
        <v>0.12541663605089659</v>
      </c>
      <c r="BD66" s="109">
        <f ca="1">_xll.EURO(UnderlyingPrice,$D66*(1-$P$8),IntRate,Yield,AZ66,$D$6,1,0)</f>
        <v>0.1260274393978853</v>
      </c>
      <c r="BF66" s="59">
        <f t="shared" ca="1" si="22"/>
        <v>0.76193694162519721</v>
      </c>
      <c r="BG66" s="62">
        <f t="shared" ca="1" si="23"/>
        <v>0.76340360674633378</v>
      </c>
      <c r="BI66" s="96">
        <f t="shared" ca="1" si="24"/>
        <v>0.36336998257262337</v>
      </c>
      <c r="BJ66" s="96">
        <f t="shared" ca="1" si="25"/>
        <v>0.36517277539874565</v>
      </c>
      <c r="BK66" s="96">
        <f t="shared" ca="1" si="26"/>
        <v>0.3615668291518721</v>
      </c>
      <c r="BL66" s="62"/>
      <c r="BM66" s="96">
        <f t="shared" ca="1" si="27"/>
        <v>0.36820059478268302</v>
      </c>
      <c r="BO66" s="58">
        <f t="shared" ca="1" si="28"/>
        <v>8.9628620976900386E-4</v>
      </c>
      <c r="BP66" s="46">
        <f t="shared" ca="1" si="29"/>
        <v>7.129126124756191E-3</v>
      </c>
    </row>
    <row r="67" spans="3:68" x14ac:dyDescent="0.2">
      <c r="C67" s="56">
        <v>54</v>
      </c>
      <c r="D67" s="63">
        <f t="shared" ca="1" si="30"/>
        <v>4.3640000000000008</v>
      </c>
      <c r="E67" s="45">
        <f t="shared" ca="1" si="7"/>
        <v>3.8553069966682729E-2</v>
      </c>
      <c r="F67" s="45">
        <f t="shared" ca="1" si="36"/>
        <v>3.8760780580676002E-2</v>
      </c>
      <c r="G67" s="45">
        <f t="shared" ca="1" si="37"/>
        <v>3.8345359352689457E-2</v>
      </c>
      <c r="H67" s="45">
        <f t="shared" ca="1" si="38"/>
        <v>0.53039299318143895</v>
      </c>
      <c r="I67" s="45">
        <f t="shared" ca="1" si="32"/>
        <v>0.5303865764714204</v>
      </c>
      <c r="J67" s="45">
        <f t="shared" ca="1" si="39"/>
        <v>0.53038021257100287</v>
      </c>
      <c r="L67" s="58">
        <f ca="1">_xll.EURO(UnderlyingPrice,$D67,IntRate,Yield,$I67,$D$6,L$12,0)</f>
        <v>0.11923987347759768</v>
      </c>
      <c r="M67" s="58">
        <f ca="1">_xll.EURO(UnderlyingPrice,$D67,IntRate,Yield,$I67,$D$6,M$12,0)</f>
        <v>0.28092863608295593</v>
      </c>
      <c r="O67" s="58">
        <f ca="1">_xll.EURO(UnderlyingPrice,$D67*(1+$P$8),IntRate,Yield,$H67,Expiry-Today,O$12,0)</f>
        <v>0.11894095745502731</v>
      </c>
      <c r="P67" s="58">
        <f ca="1">_xll.EURO(UnderlyingPrice,$D67*(1+$P$8),IntRate,Yield,$H67,Expiry-Today,P$12,0)</f>
        <v>0.28150084322089119</v>
      </c>
      <c r="R67" s="58">
        <f ca="1">_xll.EURO(UnderlyingPrice,$D67*(1-$P$8),IntRate,Yield,$J67,Expiry-Today,R$12,0)</f>
        <v>0.11953938384966345</v>
      </c>
      <c r="S67" s="58">
        <f ca="1">_xll.EURO(UnderlyingPrice,$D67*(1-$P$8),IntRate,Yield,$J67,Expiry-Today,S$12,0)</f>
        <v>0.28035702329451606</v>
      </c>
      <c r="U67" s="59">
        <f t="shared" ca="1" si="35"/>
        <v>0.78021163620908451</v>
      </c>
      <c r="V67" s="59"/>
      <c r="W67" s="62">
        <f t="shared" ca="1" si="40"/>
        <v>0.78171347859448193</v>
      </c>
      <c r="Z67" s="59">
        <f t="shared" ca="1" si="11"/>
        <v>0.82382905384039273</v>
      </c>
      <c r="AA67" s="59">
        <f t="shared" ca="1" si="12"/>
        <v>4.3985143601951562E-2</v>
      </c>
      <c r="AB67" s="59">
        <f t="shared" ca="1" si="4"/>
        <v>-1.9346928576843005E-3</v>
      </c>
      <c r="AC67" s="59">
        <f t="shared" ca="1" si="13"/>
        <v>-7.8560744964061707E-2</v>
      </c>
      <c r="AD67" s="60">
        <f t="shared" ca="1" si="5"/>
        <v>0.92444590279279659</v>
      </c>
      <c r="AE67" s="60">
        <f t="shared" ca="1" si="14"/>
        <v>0.76158539342441733</v>
      </c>
      <c r="AF67" s="60"/>
      <c r="AG67" s="96">
        <f t="shared" ca="1" si="15"/>
        <v>0.39638553193592146</v>
      </c>
      <c r="AH67" s="96">
        <f t="shared" ca="1" si="16"/>
        <v>0.39818771270065295</v>
      </c>
      <c r="AI67" s="96">
        <f t="shared" ca="1" si="17"/>
        <v>0.39458299069898733</v>
      </c>
      <c r="AJ67" s="62"/>
      <c r="AK67" s="96">
        <f t="shared" ca="1" si="18"/>
        <v>0.37854765155371556</v>
      </c>
      <c r="AL67" s="96"/>
      <c r="AM67" s="94">
        <v>2.2999999999999998</v>
      </c>
      <c r="AN67" s="95">
        <f t="shared" ca="1" si="6"/>
        <v>2.8327037741601183E-2</v>
      </c>
      <c r="AX67" s="106">
        <f t="shared" ca="1" si="19"/>
        <v>0.53324000000000005</v>
      </c>
      <c r="AY67" s="106">
        <f t="shared" ca="1" si="20"/>
        <v>0.53325745600000007</v>
      </c>
      <c r="AZ67" s="106">
        <f t="shared" ca="1" si="21"/>
        <v>0.53322254400000002</v>
      </c>
      <c r="BB67" s="109">
        <f ca="1">_xll.EURO(UnderlyingPrice,$D67,IntRate,Yield,AX67,$D$6,1,0)</f>
        <v>0.12019954084149198</v>
      </c>
      <c r="BC67" s="109">
        <f ca="1">_xll.EURO(UnderlyingPrice,$D67*(1+$P$8),IntRate,Yield,AY67,$D$6,1,0)</f>
        <v>0.11990384671953724</v>
      </c>
      <c r="BD67" s="109">
        <f ca="1">_xll.EURO(UnderlyingPrice,$D67*(1-$P$8),IntRate,Yield,AZ67,$D$6,1,0)</f>
        <v>0.12049580507610735</v>
      </c>
      <c r="BF67" s="59">
        <f t="shared" ca="1" si="22"/>
        <v>0.74839557402321466</v>
      </c>
      <c r="BG67" s="62">
        <f t="shared" ca="1" si="23"/>
        <v>0.74983617314010698</v>
      </c>
      <c r="BI67" s="96">
        <f t="shared" ca="1" si="24"/>
        <v>0.3964824734172166</v>
      </c>
      <c r="BJ67" s="96">
        <f t="shared" ca="1" si="25"/>
        <v>0.39828526624333987</v>
      </c>
      <c r="BK67" s="96">
        <f t="shared" ca="1" si="26"/>
        <v>0.39467931999646616</v>
      </c>
      <c r="BL67" s="62"/>
      <c r="BM67" s="96">
        <f t="shared" ca="1" si="27"/>
        <v>0.36298766931652793</v>
      </c>
      <c r="BO67" s="58">
        <f t="shared" ca="1" si="28"/>
        <v>9.5966736389430096E-4</v>
      </c>
      <c r="BP67" s="46">
        <f t="shared" ca="1" si="29"/>
        <v>7.9839519949566305E-3</v>
      </c>
    </row>
    <row r="68" spans="3:68" x14ac:dyDescent="0.2">
      <c r="C68" s="56">
        <v>55</v>
      </c>
      <c r="D68" s="63">
        <f t="shared" ca="1" si="30"/>
        <v>4.3800000000000008</v>
      </c>
      <c r="E68" s="45">
        <f t="shared" ca="1" si="7"/>
        <v>4.236078058067605E-2</v>
      </c>
      <c r="F68" s="45">
        <f t="shared" ca="1" si="36"/>
        <v>4.256925273679224E-2</v>
      </c>
      <c r="G68" s="45">
        <f t="shared" ca="1" si="37"/>
        <v>4.2152308424559859E-2</v>
      </c>
      <c r="H68" s="45">
        <f t="shared" ca="1" si="38"/>
        <v>0.53051992898875866</v>
      </c>
      <c r="I68" s="45">
        <f t="shared" ca="1" si="32"/>
        <v>0.53051252867060961</v>
      </c>
      <c r="J68" s="45">
        <f t="shared" ca="1" si="39"/>
        <v>0.53050518033954919</v>
      </c>
      <c r="L68" s="58">
        <f ca="1">_xll.EURO(UnderlyingPrice,$D68,IntRate,Yield,$I68,$D$6,L$12,0)</f>
        <v>0.11385400396073142</v>
      </c>
      <c r="M68" s="58">
        <f ca="1">_xll.EURO(UnderlyingPrice,$D68,IntRate,Yield,$I68,$D$6,M$12,0)</f>
        <v>0.29151202707032242</v>
      </c>
      <c r="O68" s="58">
        <f ca="1">_xll.EURO(UnderlyingPrice,$D68*(1+$P$8),IntRate,Yield,$H68,Expiry-Today,O$12,0)</f>
        <v>0.11356482066207274</v>
      </c>
      <c r="P68" s="58">
        <f ca="1">_xll.EURO(UnderlyingPrice,$D68*(1+$P$8),IntRate,Yield,$H68,Expiry-Today,P$12,0)</f>
        <v>0.29209716078427039</v>
      </c>
      <c r="R68" s="58">
        <f ca="1">_xll.EURO(UnderlyingPrice,$D68*(1-$P$8),IntRate,Yield,$J68,Expiry-Today,R$12,0)</f>
        <v>0.11414377470066284</v>
      </c>
      <c r="S68" s="58">
        <f ca="1">_xll.EURO(UnderlyingPrice,$D68*(1-$P$8),IntRate,Yield,$J68,Expiry-Today,S$12,0)</f>
        <v>0.29092748079764696</v>
      </c>
      <c r="U68" s="59">
        <f t="shared" ca="1" si="35"/>
        <v>0.76551947511638407</v>
      </c>
      <c r="V68" s="59"/>
      <c r="W68" s="62">
        <f t="shared" ca="1" si="40"/>
        <v>0.76699303631596205</v>
      </c>
      <c r="Z68" s="59">
        <f t="shared" ca="1" si="11"/>
        <v>0.82081963263914937</v>
      </c>
      <c r="AA68" s="59">
        <f t="shared" ca="1" si="12"/>
        <v>4.7644800019481924E-2</v>
      </c>
      <c r="AB68" s="59">
        <f t="shared" ca="1" si="4"/>
        <v>-2.2700269688964245E-3</v>
      </c>
      <c r="AC68" s="59">
        <f t="shared" ca="1" si="13"/>
        <v>-9.2177427056028549E-2</v>
      </c>
      <c r="AD68" s="60">
        <f t="shared" ca="1" si="5"/>
        <v>0.9119433317694684</v>
      </c>
      <c r="AE68" s="60">
        <f t="shared" ca="1" si="14"/>
        <v>0.74854099057073697</v>
      </c>
      <c r="AF68" s="60"/>
      <c r="AG68" s="96">
        <f t="shared" ca="1" si="15"/>
        <v>0.42936564151321788</v>
      </c>
      <c r="AH68" s="96">
        <f t="shared" ca="1" si="16"/>
        <v>0.43116782227795036</v>
      </c>
      <c r="AI68" s="96">
        <f t="shared" ca="1" si="17"/>
        <v>0.42756310027628269</v>
      </c>
      <c r="AJ68" s="62"/>
      <c r="AK68" s="96">
        <f t="shared" ca="1" si="18"/>
        <v>0.372780979782599</v>
      </c>
      <c r="AL68" s="96"/>
      <c r="AM68" s="94">
        <v>2.4000000000000101</v>
      </c>
      <c r="AN68" s="95">
        <f t="shared" ca="1" si="6"/>
        <v>2.2394530294842351E-2</v>
      </c>
      <c r="AX68" s="106">
        <f t="shared" ca="1" si="19"/>
        <v>0.53356000000000003</v>
      </c>
      <c r="AY68" s="106">
        <f t="shared" ca="1" si="20"/>
        <v>0.53357752000000003</v>
      </c>
      <c r="AZ68" s="106">
        <f t="shared" ca="1" si="21"/>
        <v>0.53354248000000004</v>
      </c>
      <c r="BB68" s="109">
        <f ca="1">_xll.EURO(UnderlyingPrice,$D68,IntRate,Yield,AX68,$D$6,1,0)</f>
        <v>0.11486891109557895</v>
      </c>
      <c r="BC68" s="109">
        <f ca="1">_xll.EURO(UnderlyingPrice,$D68*(1+$P$8),IntRate,Yield,AY68,$D$6,1,0)</f>
        <v>0.11458252030123806</v>
      </c>
      <c r="BD68" s="109">
        <f ca="1">_xll.EURO(UnderlyingPrice,$D68*(1-$P$8),IntRate,Yield,AZ68,$D$6,1,0)</f>
        <v>0.11515586543070033</v>
      </c>
      <c r="BF68" s="59">
        <f t="shared" ca="1" si="22"/>
        <v>0.73437373658405758</v>
      </c>
      <c r="BG68" s="62">
        <f t="shared" ca="1" si="23"/>
        <v>0.73578734483230612</v>
      </c>
      <c r="BI68" s="96">
        <f t="shared" ca="1" si="24"/>
        <v>0.42947378378644491</v>
      </c>
      <c r="BJ68" s="96">
        <f t="shared" ca="1" si="25"/>
        <v>0.43127657661256924</v>
      </c>
      <c r="BK68" s="96">
        <f t="shared" ca="1" si="26"/>
        <v>0.42767063036569342</v>
      </c>
      <c r="BL68" s="62"/>
      <c r="BM68" s="96">
        <f t="shared" ca="1" si="27"/>
        <v>0.35749269120777122</v>
      </c>
      <c r="BO68" s="58">
        <f t="shared" ca="1" si="28"/>
        <v>1.0149071348475314E-3</v>
      </c>
      <c r="BP68" s="46">
        <f t="shared" ca="1" si="29"/>
        <v>8.8353508809973641E-3</v>
      </c>
    </row>
    <row r="69" spans="3:68" x14ac:dyDescent="0.2">
      <c r="C69" s="56">
        <v>56</v>
      </c>
      <c r="D69" s="63">
        <f t="shared" ca="1" si="30"/>
        <v>4.3960000000000008</v>
      </c>
      <c r="E69" s="45">
        <f t="shared" ca="1" si="7"/>
        <v>4.616849119466937E-2</v>
      </c>
      <c r="F69" s="45">
        <f t="shared" ca="1" si="36"/>
        <v>4.6377724892908256E-2</v>
      </c>
      <c r="G69" s="45">
        <f t="shared" ca="1" si="37"/>
        <v>4.5959257496430483E-2</v>
      </c>
      <c r="H69" s="45">
        <f t="shared" ca="1" si="38"/>
        <v>0.53066419273715804</v>
      </c>
      <c r="I69" s="45">
        <f t="shared" ca="1" si="32"/>
        <v>0.53065582399064892</v>
      </c>
      <c r="J69" s="45">
        <f t="shared" ca="1" si="39"/>
        <v>0.5306475063924162</v>
      </c>
      <c r="L69" s="58">
        <f ca="1">_xll.EURO(UnderlyingPrice,$D69,IntRate,Yield,$I69,$D$6,L$12,0)</f>
        <v>0.10866409492580709</v>
      </c>
      <c r="M69" s="58">
        <f ca="1">_xll.EURO(UnderlyingPrice,$D69,IntRate,Yield,$I69,$D$6,M$12,0)</f>
        <v>0.30229137853963062</v>
      </c>
      <c r="O69" s="58">
        <f ca="1">_xll.EURO(UnderlyingPrice,$D69*(1+$P$8),IntRate,Yield,$H69,Expiry-Today,O$12,0)</f>
        <v>0.10838451231495827</v>
      </c>
      <c r="P69" s="58">
        <f ca="1">_xll.EURO(UnderlyingPrice,$D69*(1+$P$8),IntRate,Yield,$H69,Expiry-Today,P$12,0)</f>
        <v>0.30288930679349013</v>
      </c>
      <c r="R69" s="58">
        <f ca="1">_xll.EURO(UnderlyingPrice,$D69*(1-$P$8),IntRate,Yield,$J69,Expiry-Today,R$12,0)</f>
        <v>0.10894425746625247</v>
      </c>
      <c r="S69" s="58">
        <f ca="1">_xll.EURO(UnderlyingPrice,$D69*(1-$P$8),IntRate,Yield,$J69,Expiry-Today,S$12,0)</f>
        <v>0.30169403021536922</v>
      </c>
      <c r="U69" s="59">
        <f t="shared" ca="1" si="35"/>
        <v>0.75023948037453669</v>
      </c>
      <c r="V69" s="59"/>
      <c r="W69" s="62">
        <f t="shared" ca="1" si="40"/>
        <v>0.75168362885750428</v>
      </c>
      <c r="Z69" s="59">
        <f t="shared" ca="1" si="11"/>
        <v>0.81783211805265554</v>
      </c>
      <c r="AA69" s="59">
        <f t="shared" ca="1" si="12"/>
        <v>5.1291112172502075E-2</v>
      </c>
      <c r="AB69" s="59">
        <f t="shared" ca="1" si="4"/>
        <v>-2.6307781878921904E-3</v>
      </c>
      <c r="AC69" s="59">
        <f t="shared" ca="1" si="13"/>
        <v>-0.10682620419832022</v>
      </c>
      <c r="AD69" s="60">
        <f t="shared" ca="1" si="5"/>
        <v>0.89868184655073424</v>
      </c>
      <c r="AE69" s="60">
        <f t="shared" ca="1" si="14"/>
        <v>0.73497087802005856</v>
      </c>
      <c r="AF69" s="60"/>
      <c r="AG69" s="96">
        <f t="shared" ca="1" si="15"/>
        <v>0.46222549518242767</v>
      </c>
      <c r="AH69" s="96">
        <f t="shared" ca="1" si="16"/>
        <v>0.46402767594715927</v>
      </c>
      <c r="AI69" s="96">
        <f t="shared" ca="1" si="17"/>
        <v>0.46042295394549343</v>
      </c>
      <c r="AJ69" s="62"/>
      <c r="AK69" s="96">
        <f t="shared" ca="1" si="18"/>
        <v>0.3666747372951964</v>
      </c>
      <c r="AL69" s="96"/>
      <c r="AM69" s="94">
        <v>2.5</v>
      </c>
      <c r="AN69" s="95">
        <f t="shared" ca="1" si="6"/>
        <v>1.7528300493568537E-2</v>
      </c>
      <c r="AX69" s="106">
        <f t="shared" ca="1" si="19"/>
        <v>0.53388000000000002</v>
      </c>
      <c r="AY69" s="106">
        <f t="shared" ca="1" si="20"/>
        <v>0.53389758400000009</v>
      </c>
      <c r="AZ69" s="106">
        <f t="shared" ca="1" si="21"/>
        <v>0.53386241600000006</v>
      </c>
      <c r="BB69" s="109">
        <f ca="1">_xll.EURO(UnderlyingPrice,$D69,IntRate,Yield,AX69,$D$6,1,0)</f>
        <v>0.10972627175911964</v>
      </c>
      <c r="BC69" s="109">
        <f ca="1">_xll.EURO(UnderlyingPrice,$D69*(1+$P$8),IntRate,Yield,AY69,$D$6,1,0)</f>
        <v>0.10944905960960449</v>
      </c>
      <c r="BD69" s="109">
        <f ca="1">_xll.EURO(UnderlyingPrice,$D69*(1-$P$8),IntRate,Yield,AZ69,$D$6,1,0)</f>
        <v>0.11000404039856537</v>
      </c>
      <c r="BF69" s="59">
        <f t="shared" ca="1" si="22"/>
        <v>0.71991620849196469</v>
      </c>
      <c r="BG69" s="62">
        <f t="shared" ca="1" si="23"/>
        <v>0.72130198720336824</v>
      </c>
      <c r="BI69" s="96">
        <f t="shared" ca="1" si="24"/>
        <v>0.46234479740595746</v>
      </c>
      <c r="BJ69" s="96">
        <f t="shared" ca="1" si="25"/>
        <v>0.46414759023208091</v>
      </c>
      <c r="BK69" s="96">
        <f t="shared" ca="1" si="26"/>
        <v>0.46054164398520692</v>
      </c>
      <c r="BL69" s="62"/>
      <c r="BM69" s="96">
        <f t="shared" ca="1" si="27"/>
        <v>0.35173497536130199</v>
      </c>
      <c r="BO69" s="58">
        <f t="shared" ca="1" si="28"/>
        <v>1.0621768333125559E-3</v>
      </c>
      <c r="BP69" s="46">
        <f t="shared" ca="1" si="29"/>
        <v>9.6802417168090418E-3</v>
      </c>
    </row>
    <row r="70" spans="3:68" x14ac:dyDescent="0.2">
      <c r="C70" s="56">
        <v>57</v>
      </c>
      <c r="D70" s="63">
        <f t="shared" ca="1" si="30"/>
        <v>4.4120000000000008</v>
      </c>
      <c r="E70" s="45">
        <f t="shared" ca="1" si="7"/>
        <v>4.997620180866269E-2</v>
      </c>
      <c r="F70" s="45">
        <f t="shared" ca="1" si="36"/>
        <v>5.0186197049024495E-2</v>
      </c>
      <c r="G70" s="45">
        <f t="shared" ca="1" si="37"/>
        <v>4.9766206568301108E-2</v>
      </c>
      <c r="H70" s="45">
        <f t="shared" ca="1" si="38"/>
        <v>0.53082538036935689</v>
      </c>
      <c r="I70" s="45">
        <f t="shared" ca="1" si="32"/>
        <v>0.53081605861659553</v>
      </c>
      <c r="J70" s="45">
        <f t="shared" ca="1" si="39"/>
        <v>0.53080678715690222</v>
      </c>
      <c r="L70" s="58">
        <f ca="1">_xll.EURO(UnderlyingPrice,$D70,IntRate,Yield,$I70,$D$6,L$12,0)</f>
        <v>0.10366623595388447</v>
      </c>
      <c r="M70" s="58">
        <f ca="1">_xll.EURO(UnderlyingPrice,$D70,IntRate,Yield,$I70,$D$6,M$12,0)</f>
        <v>0.31326278007194119</v>
      </c>
      <c r="O70" s="58">
        <f ca="1">_xll.EURO(UnderlyingPrice,$D70*(1+$P$8),IntRate,Yield,$H70,Expiry-Today,O$12,0)</f>
        <v>0.10339611182769426</v>
      </c>
      <c r="P70" s="58">
        <f ca="1">_xll.EURO(UnderlyingPrice,$D70*(1+$P$8),IntRate,Yield,$H70,Expiry-Today,P$12,0)</f>
        <v>0.31387336066256033</v>
      </c>
      <c r="R70" s="58">
        <f ca="1">_xll.EURO(UnderlyingPrice,$D70*(1-$P$8),IntRate,Yield,$J70,Expiry-Today,R$12,0)</f>
        <v>0.10393693192977538</v>
      </c>
      <c r="S70" s="58">
        <f ca="1">_xll.EURO(UnderlyingPrice,$D70*(1-$P$8),IntRate,Yield,$J70,Expiry-Today,S$12,0)</f>
        <v>0.31265277133102387</v>
      </c>
      <c r="U70" s="59">
        <f t="shared" ca="1" si="35"/>
        <v>0.73443082974821383</v>
      </c>
      <c r="V70" s="59"/>
      <c r="W70" s="62">
        <f t="shared" ca="1" si="40"/>
        <v>0.73584454789604581</v>
      </c>
      <c r="Z70" s="59">
        <f t="shared" ca="1" si="11"/>
        <v>0.8148662717496542</v>
      </c>
      <c r="AA70" s="59">
        <f t="shared" ca="1" si="12"/>
        <v>5.4924177022383162E-2</v>
      </c>
      <c r="AB70" s="59">
        <f t="shared" ca="1" si="4"/>
        <v>-3.0166652215860824E-3</v>
      </c>
      <c r="AC70" s="59">
        <f t="shared" ca="1" si="13"/>
        <v>-0.12249565411568326</v>
      </c>
      <c r="AD70" s="60">
        <f t="shared" ca="1" si="5"/>
        <v>0.88470974978135541</v>
      </c>
      <c r="AE70" s="60">
        <f t="shared" ca="1" si="14"/>
        <v>0.72092013538490252</v>
      </c>
      <c r="AF70" s="60"/>
      <c r="AG70" s="96">
        <f t="shared" ca="1" si="15"/>
        <v>0.49496596674050886</v>
      </c>
      <c r="AH70" s="96">
        <f t="shared" ca="1" si="16"/>
        <v>0.49676814750524156</v>
      </c>
      <c r="AI70" s="96">
        <f t="shared" ca="1" si="17"/>
        <v>0.4931634255035755</v>
      </c>
      <c r="AJ70" s="62"/>
      <c r="AK70" s="96">
        <f t="shared" ca="1" si="18"/>
        <v>0.36025481508053475</v>
      </c>
      <c r="AL70" s="96"/>
      <c r="AM70" s="94">
        <v>2.6</v>
      </c>
      <c r="AN70" s="95">
        <f t="shared" ca="1" si="6"/>
        <v>1.3582969233685611E-2</v>
      </c>
      <c r="AX70" s="106">
        <f t="shared" ca="1" si="19"/>
        <v>0.53420000000000001</v>
      </c>
      <c r="AY70" s="106">
        <f t="shared" ca="1" si="20"/>
        <v>0.53421764800000004</v>
      </c>
      <c r="AZ70" s="106">
        <f t="shared" ca="1" si="21"/>
        <v>0.53418235200000008</v>
      </c>
      <c r="BB70" s="109">
        <f ca="1">_xll.EURO(UnderlyingPrice,$D70,IntRate,Yield,AX70,$D$6,1,0)</f>
        <v>0.10476792266065726</v>
      </c>
      <c r="BC70" s="109">
        <f ca="1">_xll.EURO(UnderlyingPrice,$D70*(1+$P$8),IntRate,Yield,AY70,$D$6,1,0)</f>
        <v>0.10449975646458332</v>
      </c>
      <c r="BD70" s="109">
        <f ca="1">_xll.EURO(UnderlyingPrice,$D70*(1-$P$8),IntRate,Yield,AZ70,$D$6,1,0)</f>
        <v>0.10503663784358142</v>
      </c>
      <c r="BF70" s="59">
        <f t="shared" ca="1" si="22"/>
        <v>0.70506790056646584</v>
      </c>
      <c r="BG70" s="62">
        <f t="shared" ca="1" si="23"/>
        <v>0.70642509752240834</v>
      </c>
      <c r="BI70" s="96">
        <f t="shared" ca="1" si="24"/>
        <v>0.49509638836947351</v>
      </c>
      <c r="BJ70" s="96">
        <f t="shared" ca="1" si="25"/>
        <v>0.49689918119559801</v>
      </c>
      <c r="BK70" s="96">
        <f t="shared" ca="1" si="26"/>
        <v>0.49329323494872385</v>
      </c>
      <c r="BL70" s="62"/>
      <c r="BM70" s="96">
        <f t="shared" ca="1" si="27"/>
        <v>0.34573421974558183</v>
      </c>
      <c r="BO70" s="58">
        <f t="shared" ca="1" si="28"/>
        <v>1.1016867067727976E-3</v>
      </c>
      <c r="BP70" s="46">
        <f t="shared" ca="1" si="29"/>
        <v>1.0515496335086789E-2</v>
      </c>
    </row>
    <row r="71" spans="3:68" x14ac:dyDescent="0.2">
      <c r="C71" s="56">
        <v>58</v>
      </c>
      <c r="D71" s="63">
        <f t="shared" ca="1" si="30"/>
        <v>4.4280000000000008</v>
      </c>
      <c r="E71" s="45">
        <f t="shared" ca="1" si="7"/>
        <v>5.3783912422656011E-2</v>
      </c>
      <c r="F71" s="45">
        <f t="shared" ca="1" si="36"/>
        <v>5.3994669205140733E-2</v>
      </c>
      <c r="G71" s="45">
        <f t="shared" ca="1" si="37"/>
        <v>5.357315564017151E-2</v>
      </c>
      <c r="H71" s="45">
        <f t="shared" ca="1" si="38"/>
        <v>0.53100308782807515</v>
      </c>
      <c r="I71" s="45">
        <f t="shared" ca="1" si="32"/>
        <v>0.53099282873350706</v>
      </c>
      <c r="J71" s="45">
        <f t="shared" ca="1" si="39"/>
        <v>0.53098261906030464</v>
      </c>
      <c r="L71" s="58">
        <f ca="1">_xll.EURO(UnderlyingPrice,$D71,IntRate,Yield,$I71,$D$6,L$12,0)</f>
        <v>9.8856381293935813E-2</v>
      </c>
      <c r="M71" s="58">
        <f ca="1">_xll.EURO(UnderlyingPrice,$D71,IntRate,Yield,$I71,$D$6,M$12,0)</f>
        <v>0.32442218591622574</v>
      </c>
      <c r="O71" s="58">
        <f ca="1">_xll.EURO(UnderlyingPrice,$D71*(1+$P$8),IntRate,Yield,$H71,Expiry-Today,O$12,0)</f>
        <v>9.8595564009137382E-2</v>
      </c>
      <c r="P71" s="58">
        <f ca="1">_xll.EURO(UnderlyingPrice,$D71*(1+$P$8),IntRate,Yield,$H71,Expiry-Today,P$12,0)</f>
        <v>0.32504526720033677</v>
      </c>
      <c r="R71" s="58">
        <f ca="1">_xll.EURO(UnderlyingPrice,$D71*(1-$P$8),IntRate,Yield,$J71,Expiry-Today,R$12,0)</f>
        <v>9.9117761816986505E-2</v>
      </c>
      <c r="S71" s="58">
        <f ca="1">_xll.EURO(UnderlyingPrice,$D71*(1-$P$8),IntRate,Yield,$J71,Expiry-Today,S$12,0)</f>
        <v>0.32379966787036718</v>
      </c>
      <c r="U71" s="59">
        <f t="shared" ca="1" si="35"/>
        <v>0.71815291306012374</v>
      </c>
      <c r="V71" s="59"/>
      <c r="W71" s="62">
        <f t="shared" ca="1" si="40"/>
        <v>0.71953529757475465</v>
      </c>
      <c r="Z71" s="59">
        <f t="shared" ca="1" si="11"/>
        <v>0.81192185884360302</v>
      </c>
      <c r="AA71" s="59">
        <f t="shared" ca="1" si="12"/>
        <v>5.8544090477517553E-2</v>
      </c>
      <c r="AB71" s="59">
        <f t="shared" ca="1" si="4"/>
        <v>-3.4274105298397616E-3</v>
      </c>
      <c r="AC71" s="59">
        <f t="shared" ca="1" si="13"/>
        <v>-0.13917450692621433</v>
      </c>
      <c r="AD71" s="60">
        <f t="shared" ca="1" si="5"/>
        <v>0.87007618088951133</v>
      </c>
      <c r="AE71" s="60">
        <f t="shared" ca="1" si="14"/>
        <v>0.70643387012335501</v>
      </c>
      <c r="AF71" s="60"/>
      <c r="AG71" s="96">
        <f t="shared" ca="1" si="15"/>
        <v>0.52758792049518033</v>
      </c>
      <c r="AH71" s="96">
        <f t="shared" ca="1" si="16"/>
        <v>0.52939010125991404</v>
      </c>
      <c r="AI71" s="96">
        <f t="shared" ca="1" si="17"/>
        <v>0.52578537925824598</v>
      </c>
      <c r="AJ71" s="62"/>
      <c r="AK71" s="96">
        <f t="shared" ca="1" si="18"/>
        <v>0.35354762960213498</v>
      </c>
      <c r="AL71" s="96"/>
      <c r="AM71" s="94">
        <v>2.7000000000000099</v>
      </c>
      <c r="AN71" s="95">
        <f t="shared" ca="1" si="6"/>
        <v>1.0420934814422318E-2</v>
      </c>
      <c r="AX71" s="106">
        <f t="shared" ca="1" si="19"/>
        <v>0.53452</v>
      </c>
      <c r="AY71" s="106">
        <f t="shared" ca="1" si="20"/>
        <v>0.53453771200000011</v>
      </c>
      <c r="AZ71" s="106">
        <f t="shared" ca="1" si="21"/>
        <v>0.53450228799999999</v>
      </c>
      <c r="BB71" s="109">
        <f ca="1">_xll.EURO(UnderlyingPrice,$D71,IntRate,Yield,AX71,$D$6,1,0)</f>
        <v>9.9990063586587796E-2</v>
      </c>
      <c r="BC71" s="109">
        <f ca="1">_xll.EURO(UnderlyingPrice,$D71*(1+$P$8),IntRate,Yield,AY71,$D$6,1,0)</f>
        <v>9.9730803195441142E-2</v>
      </c>
      <c r="BD71" s="109">
        <f ca="1">_xll.EURO(UnderlyingPrice,$D71*(1-$P$8),IntRate,Yield,AZ71,$D$6,1,0)</f>
        <v>0.10024986503686861</v>
      </c>
      <c r="BF71" s="59">
        <f t="shared" ca="1" si="22"/>
        <v>0.68987358684778521</v>
      </c>
      <c r="BG71" s="62">
        <f t="shared" ca="1" si="23"/>
        <v>0.69120153601594725</v>
      </c>
      <c r="BI71" s="96">
        <f t="shared" ca="1" si="24"/>
        <v>0.52772942127825029</v>
      </c>
      <c r="BJ71" s="96">
        <f t="shared" ca="1" si="25"/>
        <v>0.52953221410437579</v>
      </c>
      <c r="BK71" s="96">
        <f t="shared" ca="1" si="26"/>
        <v>0.52592626785749963</v>
      </c>
      <c r="BL71" s="62"/>
      <c r="BM71" s="96">
        <f t="shared" ca="1" si="27"/>
        <v>0.3395103744688438</v>
      </c>
      <c r="BO71" s="58">
        <f t="shared" ca="1" si="28"/>
        <v>1.1336822926519829E-3</v>
      </c>
      <c r="BP71" s="46">
        <f t="shared" ca="1" si="29"/>
        <v>1.1337949512055814E-2</v>
      </c>
    </row>
    <row r="72" spans="3:68" x14ac:dyDescent="0.2">
      <c r="C72" s="56">
        <v>59</v>
      </c>
      <c r="D72" s="63">
        <f t="shared" ca="1" si="30"/>
        <v>4.4440000000000008</v>
      </c>
      <c r="E72" s="45">
        <f t="shared" ca="1" si="7"/>
        <v>5.7591623036649331E-2</v>
      </c>
      <c r="F72" s="45">
        <f t="shared" ca="1" si="36"/>
        <v>5.7803141361256749E-2</v>
      </c>
      <c r="G72" s="45">
        <f t="shared" ca="1" si="37"/>
        <v>5.7380104712042135E-2</v>
      </c>
      <c r="H72" s="45">
        <f t="shared" ca="1" si="38"/>
        <v>0.53119691105603262</v>
      </c>
      <c r="I72" s="45">
        <f t="shared" ca="1" si="32"/>
        <v>0.53118573052644058</v>
      </c>
      <c r="J72" s="45">
        <f t="shared" ca="1" si="39"/>
        <v>0.53117459852992166</v>
      </c>
      <c r="L72" s="58">
        <f ca="1">_xll.EURO(UnderlyingPrice,$D72,IntRate,Yield,$I72,$D$6,L$12,0)</f>
        <v>9.423036505892779E-2</v>
      </c>
      <c r="M72" s="58">
        <f ca="1">_xll.EURO(UnderlyingPrice,$D72,IntRate,Yield,$I72,$D$6,M$12,0)</f>
        <v>0.33576543018545069</v>
      </c>
      <c r="O72" s="58">
        <f ca="1">_xll.EURO(UnderlyingPrice,$D72*(1+$P$8),IntRate,Yield,$H72,Expiry-Today,O$12,0)</f>
        <v>9.3978694274198915E-2</v>
      </c>
      <c r="P72" s="58">
        <f ca="1">_xll.EURO(UnderlyingPrice,$D72*(1+$P$8),IntRate,Yield,$H72,Expiry-Today,P$12,0)</f>
        <v>0.33640085182173207</v>
      </c>
      <c r="R72" s="58">
        <f ca="1">_xll.EURO(UnderlyingPrice,$D72*(1-$P$8),IntRate,Yield,$J72,Expiry-Today,R$12,0)</f>
        <v>9.4482589976704556E-2</v>
      </c>
      <c r="S72" s="58">
        <f ca="1">_xll.EURO(UnderlyingPrice,$D72*(1-$P$8),IntRate,Yield,$J72,Expiry-Today,S$12,0)</f>
        <v>0.33513056268221675</v>
      </c>
      <c r="U72" s="59">
        <f t="shared" ca="1" si="35"/>
        <v>0.70146492470857968</v>
      </c>
      <c r="V72" s="59"/>
      <c r="W72" s="62">
        <f t="shared" ca="1" si="40"/>
        <v>0.70281518623622841</v>
      </c>
      <c r="Z72" s="59">
        <f t="shared" ca="1" si="11"/>
        <v>0.80899864783066477</v>
      </c>
      <c r="AA72" s="59">
        <f t="shared" ca="1" si="12"/>
        <v>6.2150947408510661E-2</v>
      </c>
      <c r="AB72" s="59">
        <f t="shared" ca="1" si="4"/>
        <v>-3.862740263775458E-3</v>
      </c>
      <c r="AC72" s="59">
        <f t="shared" ca="1" si="13"/>
        <v>-0.15685164263649448</v>
      </c>
      <c r="AD72" s="60">
        <f t="shared" ca="1" si="5"/>
        <v>0.85483086986487244</v>
      </c>
      <c r="AE72" s="60">
        <f t="shared" ca="1" si="14"/>
        <v>0.69155701784459278</v>
      </c>
      <c r="AF72" s="60"/>
      <c r="AG72" s="96">
        <f t="shared" ca="1" si="15"/>
        <v>0.56009221140182708</v>
      </c>
      <c r="AH72" s="96">
        <f t="shared" ca="1" si="16"/>
        <v>0.5618943921665599</v>
      </c>
      <c r="AI72" s="96">
        <f t="shared" ca="1" si="17"/>
        <v>0.5582896701648935</v>
      </c>
      <c r="AJ72" s="62"/>
      <c r="AK72" s="96">
        <f t="shared" ca="1" si="18"/>
        <v>0.34657992335497201</v>
      </c>
      <c r="AL72" s="96"/>
      <c r="AM72" s="94">
        <v>2.80000000000001</v>
      </c>
      <c r="AN72" s="95">
        <f t="shared" ca="1" si="6"/>
        <v>7.9154515829797413E-3</v>
      </c>
      <c r="AX72" s="106">
        <f t="shared" ca="1" si="19"/>
        <v>0.53484000000000009</v>
      </c>
      <c r="AY72" s="106">
        <f t="shared" ca="1" si="20"/>
        <v>0.53485777600000006</v>
      </c>
      <c r="AZ72" s="106">
        <f t="shared" ca="1" si="21"/>
        <v>0.53482222400000001</v>
      </c>
      <c r="BB72" s="109">
        <f ca="1">_xll.EURO(UnderlyingPrice,$D72,IntRate,Yield,AX72,$D$6,1,0)</f>
        <v>9.5388805735861171E-2</v>
      </c>
      <c r="BC72" s="109">
        <f ca="1">_xll.EURO(UnderlyingPrice,$D72*(1+$P$8),IntRate,Yield,AY72,$D$6,1,0)</f>
        <v>9.5138304102913684E-2</v>
      </c>
      <c r="BD72" s="109">
        <f ca="1">_xll.EURO(UnderlyingPrice,$D72*(1-$P$8),IntRate,Yield,AZ72,$D$6,1,0)</f>
        <v>9.5639840103824758E-2</v>
      </c>
      <c r="BF72" s="59">
        <f t="shared" ca="1" si="22"/>
        <v>0.67437762353384856</v>
      </c>
      <c r="BG72" s="62">
        <f t="shared" ca="1" si="23"/>
        <v>0.67567574426389532</v>
      </c>
      <c r="BI72" s="96">
        <f t="shared" ca="1" si="24"/>
        <v>0.5602447513780352</v>
      </c>
      <c r="BJ72" s="96">
        <f t="shared" ca="1" si="25"/>
        <v>0.56204754420415981</v>
      </c>
      <c r="BK72" s="96">
        <f t="shared" ca="1" si="26"/>
        <v>0.55844159795728532</v>
      </c>
      <c r="BL72" s="62"/>
      <c r="BM72" s="96">
        <f t="shared" ca="1" si="27"/>
        <v>0.33308350174231127</v>
      </c>
      <c r="BO72" s="58">
        <f t="shared" ca="1" si="28"/>
        <v>1.158440676933381E-3</v>
      </c>
      <c r="BP72" s="46">
        <f t="shared" ca="1" si="29"/>
        <v>1.2144409063482679E-2</v>
      </c>
    </row>
    <row r="73" spans="3:68" x14ac:dyDescent="0.2">
      <c r="C73" s="56">
        <v>60</v>
      </c>
      <c r="D73" s="63">
        <f t="shared" ca="1" si="30"/>
        <v>4.4600000000000009</v>
      </c>
      <c r="E73" s="45">
        <f t="shared" ca="1" si="7"/>
        <v>6.1399333650642873E-2</v>
      </c>
      <c r="F73" s="45">
        <f t="shared" ca="1" si="36"/>
        <v>6.1611613517372987E-2</v>
      </c>
      <c r="G73" s="45">
        <f t="shared" ca="1" si="37"/>
        <v>6.1187053783912537E-2</v>
      </c>
      <c r="H73" s="45">
        <f t="shared" ca="1" si="38"/>
        <v>0.53140644599594944</v>
      </c>
      <c r="I73" s="45">
        <f t="shared" ca="1" si="32"/>
        <v>0.5313943601804535</v>
      </c>
      <c r="J73" s="45">
        <f t="shared" ca="1" si="39"/>
        <v>0.5313823219930508</v>
      </c>
      <c r="L73" s="58">
        <f ca="1">_xll.EURO(UnderlyingPrice,$D73,IntRate,Yield,$I73,$D$6,L$12,0)</f>
        <v>8.9783916370451466E-2</v>
      </c>
      <c r="M73" s="58">
        <f ca="1">_xll.EURO(UnderlyingPrice,$D73,IntRate,Yield,$I73,$D$6,M$12,0)</f>
        <v>0.34728824200120734</v>
      </c>
      <c r="O73" s="58">
        <f ca="1">_xll.EURO(UnderlyingPrice,$D73*(1+$P$8),IntRate,Yield,$H73,Expiry-Today,O$12,0)</f>
        <v>8.9541223797747538E-2</v>
      </c>
      <c r="P73" s="58">
        <f ca="1">_xll.EURO(UnderlyingPrice,$D73*(1+$P$8),IntRate,Yield,$H73,Expiry-Today,P$12,0)</f>
        <v>0.34793583570161468</v>
      </c>
      <c r="R73" s="58">
        <f ca="1">_xll.EURO(UnderlyingPrice,$D73*(1-$P$8),IntRate,Yield,$J73,Expiry-Today,R$12,0)</f>
        <v>9.0027153515853442E-2</v>
      </c>
      <c r="S73" s="58">
        <f ca="1">_xll.EURO(UnderlyingPrice,$D73*(1-$P$8),IntRate,Yield,$J73,Expiry-Today,S$12,0)</f>
        <v>0.34664119287349804</v>
      </c>
      <c r="U73" s="59">
        <f t="shared" ca="1" si="35"/>
        <v>0.68442545854388692</v>
      </c>
      <c r="V73" s="59"/>
      <c r="W73" s="62">
        <f t="shared" ca="1" si="40"/>
        <v>0.68574292051905128</v>
      </c>
      <c r="Z73" s="59">
        <f t="shared" ca="1" si="11"/>
        <v>0.80609641052903003</v>
      </c>
      <c r="AA73" s="59">
        <f t="shared" ca="1" si="12"/>
        <v>6.574484166309999E-2</v>
      </c>
      <c r="AB73" s="59">
        <f t="shared" ca="1" si="4"/>
        <v>-4.3223842053060884E-3</v>
      </c>
      <c r="AC73" s="59">
        <f t="shared" ca="1" si="13"/>
        <v>-0.17551608868613008</v>
      </c>
      <c r="AD73" s="60">
        <f t="shared" ca="1" si="5"/>
        <v>0.83902389827271939</v>
      </c>
      <c r="AE73" s="60">
        <f t="shared" ca="1" si="14"/>
        <v>0.67633415274571318</v>
      </c>
      <c r="AF73" s="60"/>
      <c r="AG73" s="96">
        <f t="shared" ca="1" si="15"/>
        <v>0.59247968519794847</v>
      </c>
      <c r="AH73" s="96">
        <f t="shared" ca="1" si="16"/>
        <v>0.5942818659626804</v>
      </c>
      <c r="AI73" s="96">
        <f t="shared" ca="1" si="17"/>
        <v>0.59067714396101212</v>
      </c>
      <c r="AJ73" s="62"/>
      <c r="AK73" s="96">
        <f t="shared" ca="1" si="18"/>
        <v>0.33937856224136259</v>
      </c>
      <c r="AL73" s="96"/>
      <c r="AM73" s="94">
        <v>2.9000000000000101</v>
      </c>
      <c r="AN73" s="95">
        <f t="shared" ca="1" si="6"/>
        <v>5.9525324197756786E-3</v>
      </c>
      <c r="AX73" s="106">
        <f t="shared" ca="1" si="19"/>
        <v>0.53516000000000008</v>
      </c>
      <c r="AY73" s="106">
        <f t="shared" ca="1" si="20"/>
        <v>0.53517784000000002</v>
      </c>
      <c r="AZ73" s="106">
        <f t="shared" ca="1" si="21"/>
        <v>0.53514216000000003</v>
      </c>
      <c r="BB73" s="109">
        <f ca="1">_xll.EURO(UnderlyingPrice,$D73,IntRate,Yield,AX73,$D$6,1,0)</f>
        <v>9.0960183072373635E-2</v>
      </c>
      <c r="BC73" s="109">
        <f ca="1">_xll.EURO(UnderlyingPrice,$D73*(1+$P$8),IntRate,Yield,AY73,$D$6,1,0)</f>
        <v>9.0718286815531846E-2</v>
      </c>
      <c r="BD73" s="109">
        <f ca="1">_xll.EURO(UnderlyingPrice,$D73*(1-$P$8),IntRate,Yield,AZ73,$D$6,1,0)</f>
        <v>9.1202603372419588E-2</v>
      </c>
      <c r="BF73" s="59">
        <f t="shared" ca="1" si="22"/>
        <v>0.65862374590809047</v>
      </c>
      <c r="BG73" s="62">
        <f t="shared" ca="1" si="23"/>
        <v>0.65989154173646358</v>
      </c>
      <c r="BI73" s="96">
        <f t="shared" ca="1" si="24"/>
        <v>0.59264322469355901</v>
      </c>
      <c r="BJ73" s="96">
        <f t="shared" ca="1" si="25"/>
        <v>0.59444601751968273</v>
      </c>
      <c r="BK73" s="96">
        <f t="shared" ca="1" si="26"/>
        <v>0.59084007127280624</v>
      </c>
      <c r="BL73" s="62"/>
      <c r="BM73" s="96">
        <f t="shared" ca="1" si="27"/>
        <v>0.32647367150234008</v>
      </c>
      <c r="BO73" s="58">
        <f t="shared" ca="1" si="28"/>
        <v>1.1762667019221684E-3</v>
      </c>
      <c r="BP73" s="46">
        <f t="shared" ca="1" si="29"/>
        <v>1.2931665946475247E-2</v>
      </c>
    </row>
    <row r="74" spans="3:68" x14ac:dyDescent="0.2">
      <c r="C74" s="56">
        <v>61</v>
      </c>
      <c r="D74" s="63">
        <f t="shared" ca="1" si="30"/>
        <v>4.4760000000000009</v>
      </c>
      <c r="E74" s="45">
        <f t="shared" ca="1" si="7"/>
        <v>6.5207044264636194E-2</v>
      </c>
      <c r="F74" s="45">
        <f t="shared" ca="1" si="36"/>
        <v>6.5420085673489003E-2</v>
      </c>
      <c r="G74" s="45">
        <f t="shared" ca="1" si="37"/>
        <v>6.4994002855783384E-2</v>
      </c>
      <c r="H74" s="45">
        <f t="shared" ca="1" si="38"/>
        <v>0.53163128859054543</v>
      </c>
      <c r="I74" s="45">
        <f t="shared" ca="1" si="32"/>
        <v>0.53161831388060332</v>
      </c>
      <c r="J74" s="45">
        <f t="shared" ca="1" si="39"/>
        <v>0.53160538587699013</v>
      </c>
      <c r="L74" s="58">
        <f ca="1">_xll.EURO(UnderlyingPrice,$D74,IntRate,Yield,$I74,$D$6,L$12,0)</f>
        <v>8.5512674351279516E-2</v>
      </c>
      <c r="M74" s="58">
        <f ca="1">_xll.EURO(UnderlyingPrice,$D74,IntRate,Yield,$I74,$D$6,M$12,0)</f>
        <v>0.35898626048626836</v>
      </c>
      <c r="O74" s="58">
        <f ca="1">_xll.EURO(UnderlyingPrice,$D74*(1+$P$8),IntRate,Yield,$H74,Expiry-Today,O$12,0)</f>
        <v>8.5278784510948613E-2</v>
      </c>
      <c r="P74" s="58">
        <f ca="1">_xll.EURO(UnderlyingPrice,$D74*(1+$P$8),IntRate,Yield,$H74,Expiry-Today,P$12,0)</f>
        <v>0.35964585077114863</v>
      </c>
      <c r="R74" s="58">
        <f ca="1">_xll.EURO(UnderlyingPrice,$D74*(1-$P$8),IntRate,Yield,$J74,Expiry-Today,R$12,0)</f>
        <v>8.5747098787946729E-2</v>
      </c>
      <c r="S74" s="58">
        <f ca="1">_xll.EURO(UnderlyingPrice,$D74*(1-$P$8),IntRate,Yield,$J74,Expiry-Today,S$12,0)</f>
        <v>0.35832720479772373</v>
      </c>
      <c r="U74" s="59">
        <f t="shared" ca="1" si="35"/>
        <v>0.66709215147620848</v>
      </c>
      <c r="V74" s="59"/>
      <c r="W74" s="62">
        <f t="shared" ca="1" si="40"/>
        <v>0.66837624827963582</v>
      </c>
      <c r="Z74" s="59">
        <f t="shared" ca="1" si="11"/>
        <v>0.80321492201954292</v>
      </c>
      <c r="AA74" s="59">
        <f t="shared" ca="1" si="12"/>
        <v>6.932586608080607E-2</v>
      </c>
      <c r="AB74" s="59">
        <f t="shared" ca="1" si="4"/>
        <v>-4.8060757078538579E-3</v>
      </c>
      <c r="AC74" s="59">
        <f t="shared" ca="1" si="13"/>
        <v>-0.19515701754055384</v>
      </c>
      <c r="AD74" s="60">
        <f t="shared" ca="1" si="5"/>
        <v>0.82270546872448891</v>
      </c>
      <c r="AE74" s="60">
        <f t="shared" ca="1" si="14"/>
        <v>0.66080930890659184</v>
      </c>
      <c r="AF74" s="60"/>
      <c r="AG74" s="96">
        <f t="shared" ca="1" si="15"/>
        <v>0.62475117853518902</v>
      </c>
      <c r="AH74" s="96">
        <f t="shared" ca="1" si="16"/>
        <v>0.62655335929992018</v>
      </c>
      <c r="AI74" s="96">
        <f t="shared" ca="1" si="17"/>
        <v>0.62294863729825534</v>
      </c>
      <c r="AJ74" s="62"/>
      <c r="AK74" s="96">
        <f t="shared" ca="1" si="18"/>
        <v>0.33197035287802579</v>
      </c>
      <c r="AL74" s="96"/>
      <c r="AM74" s="94">
        <v>3</v>
      </c>
      <c r="AN74" s="95">
        <f t="shared" ca="1" si="6"/>
        <v>4.4318484119380067E-3</v>
      </c>
      <c r="AX74" s="106">
        <f t="shared" ca="1" si="19"/>
        <v>0.53548000000000007</v>
      </c>
      <c r="AY74" s="106">
        <f t="shared" ca="1" si="20"/>
        <v>0.53549790400000008</v>
      </c>
      <c r="AZ74" s="106">
        <f t="shared" ca="1" si="21"/>
        <v>0.53546209600000005</v>
      </c>
      <c r="BB74" s="109">
        <f ca="1">_xll.EURO(UnderlyingPrice,$D74,IntRate,Yield,AX74,$D$6,1,0)</f>
        <v>8.6700163516051587E-2</v>
      </c>
      <c r="BC74" s="109">
        <f ca="1">_xll.EURO(UnderlyingPrice,$D74*(1+$P$8),IntRate,Yield,AY74,$D$6,1,0)</f>
        <v>8.6466713481324842E-2</v>
      </c>
      <c r="BD74" s="109">
        <f ca="1">_xll.EURO(UnderlyingPrice,$D74*(1-$P$8),IntRate,Yield,AZ74,$D$6,1,0)</f>
        <v>8.6934128563473489E-2</v>
      </c>
      <c r="BF74" s="59">
        <f t="shared" ca="1" si="22"/>
        <v>0.64265484724629141</v>
      </c>
      <c r="BG74" s="62">
        <f t="shared" ca="1" si="23"/>
        <v>0.64389190427541387</v>
      </c>
      <c r="BI74" s="96">
        <f t="shared" ca="1" si="24"/>
        <v>0.62492567816061217</v>
      </c>
      <c r="BJ74" s="96">
        <f t="shared" ca="1" si="25"/>
        <v>0.62672847098673512</v>
      </c>
      <c r="BK74" s="96">
        <f t="shared" ca="1" si="26"/>
        <v>0.62312252473986218</v>
      </c>
      <c r="BL74" s="62"/>
      <c r="BM74" s="96">
        <f t="shared" ca="1" si="27"/>
        <v>0.31970084590540576</v>
      </c>
      <c r="BO74" s="58">
        <f t="shared" ca="1" si="28"/>
        <v>1.1874891647720709E-3</v>
      </c>
      <c r="BP74" s="46">
        <f t="shared" ca="1" si="29"/>
        <v>1.3696504327263699E-2</v>
      </c>
    </row>
    <row r="75" spans="3:68" x14ac:dyDescent="0.2">
      <c r="C75" s="56">
        <v>62</v>
      </c>
      <c r="D75" s="63">
        <f t="shared" ca="1" si="30"/>
        <v>4.4920000000000009</v>
      </c>
      <c r="E75" s="45">
        <f t="shared" ca="1" si="7"/>
        <v>6.9014754878629514E-2</v>
      </c>
      <c r="F75" s="45">
        <f t="shared" ca="1" si="36"/>
        <v>6.922855782960502E-2</v>
      </c>
      <c r="G75" s="45">
        <f t="shared" ca="1" si="37"/>
        <v>6.8800951927653786E-2</v>
      </c>
      <c r="H75" s="45">
        <f t="shared" ca="1" si="38"/>
        <v>0.5318710347825405</v>
      </c>
      <c r="I75" s="45">
        <f t="shared" ca="1" si="32"/>
        <v>0.53185718781194713</v>
      </c>
      <c r="J75" s="45">
        <f t="shared" ca="1" si="39"/>
        <v>0.53184338660903763</v>
      </c>
      <c r="L75" s="58">
        <f ca="1">_xll.EURO(UnderlyingPrice,$D75,IntRate,Yield,$I75,$D$6,L$12,0)</f>
        <v>8.1412202873924588E-2</v>
      </c>
      <c r="M75" s="58">
        <f ca="1">_xll.EURO(UnderlyingPrice,$D75,IntRate,Yield,$I75,$D$6,M$12,0)</f>
        <v>0.37085504951314574</v>
      </c>
      <c r="O75" s="58">
        <f ca="1">_xll.EURO(UnderlyingPrice,$D75*(1+$P$8),IntRate,Yield,$H75,Expiry-Today,O$12,0)</f>
        <v>8.1186933848451215E-2</v>
      </c>
      <c r="P75" s="58">
        <f ca="1">_xll.EURO(UnderlyingPrice,$D75*(1+$P$8),IntRate,Yield,$H75,Expiry-Today,P$12,0)</f>
        <v>0.371526454464985</v>
      </c>
      <c r="R75" s="58">
        <f ca="1">_xll.EURO(UnderlyingPrice,$D75*(1-$P$8),IntRate,Yield,$J75,Expiry-Today,R$12,0)</f>
        <v>8.1637996142742253E-2</v>
      </c>
      <c r="S75" s="58">
        <f ca="1">_xll.EURO(UnderlyingPrice,$D75*(1-$P$8),IntRate,Yield,$J75,Expiry-Today,S$12,0)</f>
        <v>0.37018416880465121</v>
      </c>
      <c r="U75" s="59">
        <f t="shared" ca="1" si="35"/>
        <v>0.64952136177547637</v>
      </c>
      <c r="V75" s="59"/>
      <c r="W75" s="62">
        <f t="shared" ca="1" si="40"/>
        <v>0.65077163627288726</v>
      </c>
      <c r="Z75" s="59">
        <f t="shared" ca="1" si="11"/>
        <v>0.80035396058759434</v>
      </c>
      <c r="AA75" s="59">
        <f t="shared" ca="1" si="12"/>
        <v>7.2894112507323999E-2</v>
      </c>
      <c r="AB75" s="59">
        <f t="shared" ca="1" si="4"/>
        <v>-5.3135516382304092E-3</v>
      </c>
      <c r="AC75" s="59">
        <f t="shared" ca="1" si="13"/>
        <v>-0.21576374433099185</v>
      </c>
      <c r="AD75" s="60">
        <f t="shared" ca="1" si="5"/>
        <v>0.80592568389479757</v>
      </c>
      <c r="AE75" s="60">
        <f t="shared" ca="1" si="14"/>
        <v>0.64502581304446682</v>
      </c>
      <c r="AF75" s="60"/>
      <c r="AG75" s="96">
        <f t="shared" ca="1" si="15"/>
        <v>0.65690751910903233</v>
      </c>
      <c r="AH75" s="96">
        <f t="shared" ca="1" si="16"/>
        <v>0.6587096998737626</v>
      </c>
      <c r="AI75" s="96">
        <f t="shared" ca="1" si="17"/>
        <v>0.65510497787209765</v>
      </c>
      <c r="AJ75" s="62"/>
      <c r="AK75" s="96">
        <f t="shared" ca="1" si="18"/>
        <v>0.3243818734190998</v>
      </c>
      <c r="AL75" s="96"/>
      <c r="AM75" s="94">
        <v>3.1000000000000099</v>
      </c>
      <c r="AN75" s="95">
        <f t="shared" ca="1" si="6"/>
        <v>3.2668190561998198E-3</v>
      </c>
      <c r="AX75" s="106">
        <f t="shared" ca="1" si="19"/>
        <v>0.53580000000000005</v>
      </c>
      <c r="AY75" s="106">
        <f t="shared" ca="1" si="20"/>
        <v>0.53581796800000003</v>
      </c>
      <c r="AZ75" s="106">
        <f t="shared" ca="1" si="21"/>
        <v>0.53578203200000007</v>
      </c>
      <c r="BB75" s="109">
        <f ca="1">_xll.EURO(UnderlyingPrice,$D75,IntRate,Yield,AX75,$D$6,1,0)</f>
        <v>8.2604659919576662E-2</v>
      </c>
      <c r="BC75" s="109">
        <f ca="1">_xll.EURO(UnderlyingPrice,$D75*(1+$P$8),IntRate,Yield,AY75,$D$6,1,0)</f>
        <v>8.2379491742133881E-2</v>
      </c>
      <c r="BD75" s="109">
        <f ca="1">_xll.EURO(UnderlyingPrice,$D75*(1-$P$8),IntRate,Yield,AZ75,$D$6,1,0)</f>
        <v>8.2830333769631448E-2</v>
      </c>
      <c r="BF75" s="59">
        <f t="shared" ca="1" si="22"/>
        <v>0.62651279627919843</v>
      </c>
      <c r="BG75" s="62">
        <f t="shared" ca="1" si="23"/>
        <v>0.62771878120531122</v>
      </c>
      <c r="BI75" s="96">
        <f t="shared" ca="1" si="24"/>
        <v>0.65709293975578253</v>
      </c>
      <c r="BJ75" s="96">
        <f t="shared" ca="1" si="25"/>
        <v>0.65889573258190459</v>
      </c>
      <c r="BK75" s="96">
        <f t="shared" ca="1" si="26"/>
        <v>0.65528978633503154</v>
      </c>
      <c r="BL75" s="62"/>
      <c r="BM75" s="96">
        <f t="shared" ca="1" si="27"/>
        <v>0.31278478070707971</v>
      </c>
      <c r="BO75" s="58">
        <f t="shared" ca="1" si="28"/>
        <v>1.1924570456520733E-3</v>
      </c>
      <c r="BP75" s="46">
        <f t="shared" ca="1" si="29"/>
        <v>1.4435711578657202E-2</v>
      </c>
    </row>
    <row r="76" spans="3:68" x14ac:dyDescent="0.2">
      <c r="C76" s="56">
        <v>63</v>
      </c>
      <c r="D76" s="63">
        <f t="shared" ca="1" si="30"/>
        <v>4.5080000000000009</v>
      </c>
      <c r="E76" s="45">
        <f t="shared" ca="1" si="7"/>
        <v>7.2822465492622834E-2</v>
      </c>
      <c r="F76" s="45">
        <f t="shared" ca="1" si="36"/>
        <v>7.3037029985721258E-2</v>
      </c>
      <c r="G76" s="45">
        <f t="shared" ca="1" si="37"/>
        <v>7.2607900999524411E-2</v>
      </c>
      <c r="H76" s="45">
        <f t="shared" ca="1" si="38"/>
        <v>0.53212528051465458</v>
      </c>
      <c r="I76" s="45">
        <f t="shared" ca="1" si="32"/>
        <v>0.53211057815954255</v>
      </c>
      <c r="J76" s="45">
        <f t="shared" ca="1" si="39"/>
        <v>0.53209592061649091</v>
      </c>
      <c r="L76" s="58">
        <f ca="1">_xll.EURO(UnderlyingPrice,$D76,IntRate,Yield,$I76,$D$6,L$12,0)</f>
        <v>7.7478004982074689E-2</v>
      </c>
      <c r="M76" s="58">
        <f ca="1">_xll.EURO(UnderlyingPrice,$D76,IntRate,Yield,$I76,$D$6,M$12,0)</f>
        <v>0.38289011212552948</v>
      </c>
      <c r="O76" s="58">
        <f ca="1">_xll.EURO(UnderlyingPrice,$D76*(1+$P$8),IntRate,Yield,$H76,Expiry-Today,O$12,0)</f>
        <v>7.7261169163683308E-2</v>
      </c>
      <c r="P76" s="58">
        <f ca="1">_xll.EURO(UnderlyingPrice,$D76*(1+$P$8),IntRate,Yield,$H76,Expiry-Today,P$12,0)</f>
        <v>0.3835731441365513</v>
      </c>
      <c r="R76" s="58">
        <f ca="1">_xll.EURO(UnderlyingPrice,$D76*(1-$P$8),IntRate,Yield,$J76,Expiry-Today,R$12,0)</f>
        <v>7.7695354353555901E-2</v>
      </c>
      <c r="S76" s="58">
        <f ca="1">_xll.EURO(UnderlyingPrice,$D76*(1-$P$8),IntRate,Yield,$J76,Expiry-Today,S$12,0)</f>
        <v>0.38220759366759705</v>
      </c>
      <c r="U76" s="59">
        <f t="shared" ca="1" si="35"/>
        <v>0.63176787779956212</v>
      </c>
      <c r="V76" s="59"/>
      <c r="W76" s="62">
        <f t="shared" ca="1" si="40"/>
        <v>0.63298397831970055</v>
      </c>
      <c r="Z76" s="59">
        <f t="shared" ca="1" si="11"/>
        <v>0.79751330766625428</v>
      </c>
      <c r="AA76" s="59">
        <f t="shared" ca="1" si="12"/>
        <v>7.644967180865711E-2</v>
      </c>
      <c r="AB76" s="59">
        <f t="shared" ca="1" si="4"/>
        <v>-5.844552319651382E-3</v>
      </c>
      <c r="AC76" s="59">
        <f t="shared" ca="1" si="13"/>
        <v>-0.23732572454049503</v>
      </c>
      <c r="AD76" s="60">
        <f t="shared" ca="1" si="5"/>
        <v>0.78873433604291932</v>
      </c>
      <c r="AE76" s="60">
        <f t="shared" ca="1" si="14"/>
        <v>0.62902612920753553</v>
      </c>
      <c r="AF76" s="60"/>
      <c r="AG76" s="96">
        <f t="shared" ca="1" si="15"/>
        <v>0.68894952578617108</v>
      </c>
      <c r="AH76" s="96">
        <f t="shared" ca="1" si="16"/>
        <v>0.69075170655090234</v>
      </c>
      <c r="AI76" s="96">
        <f t="shared" ca="1" si="17"/>
        <v>0.68714698454923728</v>
      </c>
      <c r="AJ76" s="62"/>
      <c r="AK76" s="96">
        <f t="shared" ca="1" si="18"/>
        <v>0.31663931620215385</v>
      </c>
      <c r="AL76" s="96"/>
      <c r="AM76" s="94"/>
      <c r="AN76" s="95"/>
      <c r="AX76" s="106">
        <f t="shared" ca="1" si="19"/>
        <v>0.53612000000000004</v>
      </c>
      <c r="AY76" s="106">
        <f t="shared" ca="1" si="20"/>
        <v>0.5361380320000001</v>
      </c>
      <c r="AZ76" s="106">
        <f t="shared" ca="1" si="21"/>
        <v>0.5361019680000001</v>
      </c>
      <c r="BB76" s="109">
        <f ca="1">_xll.EURO(UnderlyingPrice,$D76,IntRate,Yield,AX76,$D$6,1,0)</f>
        <v>7.8669540783492975E-2</v>
      </c>
      <c r="BC76" s="109">
        <f ca="1">_xll.EURO(UnderlyingPrice,$D76*(1+$P$8),IntRate,Yield,AY76,$D$6,1,0)</f>
        <v>7.8452485443541109E-2</v>
      </c>
      <c r="BD76" s="109">
        <f ca="1">_xll.EURO(UnderlyingPrice,$D76*(1-$P$8),IntRate,Yield,AZ76,$D$6,1,0)</f>
        <v>7.888709217549561E-2</v>
      </c>
      <c r="BF76" s="59">
        <f t="shared" ca="1" si="22"/>
        <v>0.61023827447974766</v>
      </c>
      <c r="BG76" s="62">
        <f t="shared" ca="1" si="23"/>
        <v>0.61141293230753713</v>
      </c>
      <c r="BI76" s="96">
        <f t="shared" ca="1" si="24"/>
        <v>0.6891458286238682</v>
      </c>
      <c r="BJ76" s="96">
        <f t="shared" ca="1" si="25"/>
        <v>0.69094862144999125</v>
      </c>
      <c r="BK76" s="96">
        <f t="shared" ca="1" si="26"/>
        <v>0.68734267520311809</v>
      </c>
      <c r="BL76" s="62"/>
      <c r="BM76" s="96">
        <f t="shared" ca="1" si="27"/>
        <v>0.3057449346320586</v>
      </c>
      <c r="BO76" s="58">
        <f t="shared" ca="1" si="28"/>
        <v>1.1915358014182864E-3</v>
      </c>
      <c r="BP76" s="46">
        <f t="shared" ca="1" si="29"/>
        <v>1.5146088175314522E-2</v>
      </c>
    </row>
    <row r="77" spans="3:68" x14ac:dyDescent="0.2">
      <c r="C77" s="56">
        <v>64</v>
      </c>
      <c r="D77" s="63">
        <f t="shared" ca="1" si="30"/>
        <v>4.5240000000000009</v>
      </c>
      <c r="E77" s="45">
        <f t="shared" ca="1" si="7"/>
        <v>7.6630176106616155E-2</v>
      </c>
      <c r="F77" s="45">
        <f t="shared" ca="1" si="36"/>
        <v>7.6845502141837496E-2</v>
      </c>
      <c r="G77" s="45">
        <f t="shared" ca="1" si="37"/>
        <v>7.6414850071394813E-2</v>
      </c>
      <c r="H77" s="45">
        <f t="shared" ca="1" si="38"/>
        <v>0.53239362172960758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0.53237808110844664</v>
      </c>
      <c r="J77" s="45">
        <f t="shared" ca="1" si="39"/>
        <v>0.53236258432664807</v>
      </c>
      <c r="L77" s="58">
        <f ca="1">_xll.EURO(UnderlyingPrice,$D77,IntRate,Yield,$I77,$D$6,L$12,0)</f>
        <v>7.3705536910637637E-2</v>
      </c>
      <c r="M77" s="58">
        <f ca="1">_xll.EURO(UnderlyingPrice,$D77,IntRate,Yield,$I77,$D$6,M$12,0)</f>
        <v>0.39508690455832429</v>
      </c>
      <c r="O77" s="58">
        <f ca="1">_xll.EURO(UnderlyingPrice,$D77*(1+$P$8),IntRate,Yield,$H77,Expiry-Today,O$12,0)</f>
        <v>7.3496941738373289E-2</v>
      </c>
      <c r="P77" s="58">
        <f ca="1">_xll.EURO(UnderlyingPrice,$D77*(1+$P$8),IntRate,Yield,$H77,Expiry-Today,P$12,0)</f>
        <v>0.39578137106757438</v>
      </c>
      <c r="R77" s="58">
        <f ca="1">_xll.EURO(UnderlyingPrice,$D77*(1-$P$8),IntRate,Yield,$J77,Expiry-Today,R$12,0)</f>
        <v>7.3914634647585187E-2</v>
      </c>
      <c r="S77" s="58">
        <f ca="1">_xll.EURO(UnderlyingPrice,$D77*(1-$P$8),IntRate,Yield,$J77,Expiry-Today,S$12,0)</f>
        <v>0.39439294061375829</v>
      </c>
      <c r="U77" s="59">
        <f t="shared" ca="1" si="35"/>
        <v>0.61388466151155663</v>
      </c>
      <c r="V77" s="59"/>
      <c r="W77" s="62">
        <f t="shared" ca="1" si="40"/>
        <v>0.61506633833053237</v>
      </c>
      <c r="Z77" s="59">
        <f t="shared" ca="1" si="11"/>
        <v>0.79469274778060872</v>
      </c>
      <c r="AA77" s="59">
        <f t="shared" ca="1" si="12"/>
        <v>7.9992633885001246E-2</v>
      </c>
      <c r="AB77" s="59">
        <f t="shared" ref="AB77:AB143" ca="1" si="42">-(AA77^2)</f>
        <v>-6.3988214758598496E-3</v>
      </c>
      <c r="AC77" s="59">
        <f t="shared" ca="1" si="13"/>
        <v>-0.2598325517349977</v>
      </c>
      <c r="AD77" s="60">
        <f t="shared" ref="AD77:AD143" ca="1" si="43">EXP(AC77)</f>
        <v>0.77118070786416715</v>
      </c>
      <c r="AE77" s="60">
        <f t="shared" ca="1" si="14"/>
        <v>0.61285171576796993</v>
      </c>
      <c r="AF77" s="60"/>
      <c r="AG77" s="96">
        <f t="shared" ca="1" si="15"/>
        <v>0.72087800872962926</v>
      </c>
      <c r="AH77" s="96">
        <f t="shared" ca="1" si="16"/>
        <v>0.72268018949436152</v>
      </c>
      <c r="AI77" s="96">
        <f t="shared" ca="1" si="17"/>
        <v>0.71907546749269446</v>
      </c>
      <c r="AJ77" s="62"/>
      <c r="AK77" s="96">
        <f t="shared" ca="1" si="18"/>
        <v>0.30876834477893061</v>
      </c>
      <c r="AL77" s="96"/>
      <c r="AM77" s="94"/>
      <c r="AN77" s="95"/>
      <c r="AX77" s="106">
        <f t="shared" ca="1" si="19"/>
        <v>0.53644000000000003</v>
      </c>
      <c r="AY77" s="106">
        <f t="shared" ca="1" si="20"/>
        <v>0.53645809600000005</v>
      </c>
      <c r="AZ77" s="106">
        <f t="shared" ca="1" si="21"/>
        <v>0.536421904</v>
      </c>
      <c r="BB77" s="109">
        <f ca="1">_xll.EURO(UnderlyingPrice,$D77,IntRate,Yield,AX77,$D$6,1,0)</f>
        <v>7.4890640668008324E-2</v>
      </c>
      <c r="BC77" s="109">
        <f ca="1">_xll.EURO(UnderlyingPrice,$D77*(1+$P$8),IntRate,Yield,AY77,$D$6,1,0)</f>
        <v>7.4681525038934327E-2</v>
      </c>
      <c r="BD77" s="109">
        <f ca="1">_xll.EURO(UnderlyingPrice,$D77*(1-$P$8),IntRate,Yield,AZ77,$D$6,1,0)</f>
        <v>7.5100242477028178E-2</v>
      </c>
      <c r="BF77" s="59">
        <f t="shared" ca="1" si="22"/>
        <v>0.59387064286883684</v>
      </c>
      <c r="BG77" s="62">
        <f t="shared" ca="1" si="23"/>
        <v>0.59501379436967472</v>
      </c>
      <c r="BI77" s="96">
        <f t="shared" ca="1" si="24"/>
        <v>0.72108515520304295</v>
      </c>
      <c r="BJ77" s="96">
        <f t="shared" ca="1" si="25"/>
        <v>0.722887948029167</v>
      </c>
      <c r="BK77" s="96">
        <f t="shared" ca="1" si="26"/>
        <v>0.71928200178229185</v>
      </c>
      <c r="BL77" s="62"/>
      <c r="BM77" s="96">
        <f t="shared" ca="1" si="27"/>
        <v>0.29860039184567511</v>
      </c>
      <c r="BO77" s="58">
        <f t="shared" ca="1" si="28"/>
        <v>1.1851037573706868E-3</v>
      </c>
      <c r="BP77" s="46">
        <f t="shared" ca="1" si="29"/>
        <v>1.5824457459567946E-2</v>
      </c>
    </row>
    <row r="78" spans="3:68" x14ac:dyDescent="0.2">
      <c r="C78" s="56">
        <v>65</v>
      </c>
      <c r="D78" s="63">
        <f t="shared" ca="1" si="30"/>
        <v>4.5400000000000009</v>
      </c>
      <c r="E78" s="45">
        <f t="shared" ref="E78:E146" ca="1" si="44">+D78/UnderlyingPrice-1</f>
        <v>8.0437886720609475E-2</v>
      </c>
      <c r="F78" s="45">
        <f t="shared" ca="1" si="36"/>
        <v>8.0653974297953512E-2</v>
      </c>
      <c r="G78" s="45">
        <f t="shared" ca="1" si="37"/>
        <v>8.0221799143265438E-2</v>
      </c>
      <c r="H78" s="45">
        <f t="shared" ca="1" si="38"/>
        <v>0.53267565437011954</v>
      </c>
      <c r="I78" s="45">
        <f t="shared" ca="1" si="41"/>
        <v>0.53265929284371716</v>
      </c>
      <c r="J78" s="45">
        <f t="shared" ca="1" si="39"/>
        <v>0.53264297416680673</v>
      </c>
      <c r="L78" s="58">
        <f ca="1">_xll.EURO(UnderlyingPrice,$D78,IntRate,Yield,$I78,$D$6,L$12,0)</f>
        <v>7.0090221638943184E-2</v>
      </c>
      <c r="M78" s="58">
        <f ca="1">_xll.EURO(UnderlyingPrice,$D78,IntRate,Yield,$I78,$D$6,M$12,0)</f>
        <v>0.40744084979086326</v>
      </c>
      <c r="O78" s="58">
        <f ca="1">_xll.EURO(UnderlyingPrice,$D78*(1+$P$8),IntRate,Yield,$H78,Expiry-Today,O$12,0)</f>
        <v>6.9889670321251041E-2</v>
      </c>
      <c r="P78" s="58">
        <f ca="1">_xll.EURO(UnderlyingPrice,$D78*(1+$P$8),IntRate,Yield,$H78,Expiry-Today,P$12,0)</f>
        <v>0.40814655400678612</v>
      </c>
      <c r="R78" s="58">
        <f ca="1">_xll.EURO(UnderlyingPrice,$D78*(1-$P$8),IntRate,Yield,$J78,Expiry-Today,R$12,0)</f>
        <v>7.0291264273386167E-2</v>
      </c>
      <c r="S78" s="58">
        <f ca="1">_xll.EURO(UnderlyingPrice,$D78*(1-$P$8),IntRate,Yield,$J78,Expiry-Today,S$12,0)</f>
        <v>0.40673563689169123</v>
      </c>
      <c r="U78" s="59">
        <f t="shared" ref="U78:U113" ca="1" si="45">(O78+R78-2*L78)/($P$8*D78)^2</f>
        <v>0.59592262468601687</v>
      </c>
      <c r="V78" s="59"/>
      <c r="W78" s="62">
        <f t="shared" ca="1" si="40"/>
        <v>0.59706972608086317</v>
      </c>
      <c r="Z78" s="59">
        <f t="shared" ref="Z78:Z113" ca="1" si="46">(1/(D78*SQRT(2*PI()*T/365.25*ATMImpVol^2)))</f>
        <v>0.79189206849327631</v>
      </c>
      <c r="AA78" s="59">
        <f t="shared" ref="AA78:AA113" ca="1" si="47">LN(D78/UnderlyingPrice)+0.5*T/365.25*ATMImpVol^2</f>
        <v>8.3523087684383823E-2</v>
      </c>
      <c r="AB78" s="59">
        <f t="shared" ca="1" si="42"/>
        <v>-6.9761061763332684E-3</v>
      </c>
      <c r="AC78" s="59">
        <f t="shared" ref="AC78:AC141" ca="1" si="48">AB78/(2*T/365.25*ATMImpVol^2)</f>
        <v>-0.28327395533837391</v>
      </c>
      <c r="AD78" s="60">
        <f t="shared" ca="1" si="43"/>
        <v>0.75331338536508619</v>
      </c>
      <c r="AE78" s="60">
        <f t="shared" ref="AE78:AE141" ca="1" si="49">AD78*Z78</f>
        <v>0.59654289496043067</v>
      </c>
      <c r="AF78" s="60"/>
      <c r="AG78" s="96">
        <f t="shared" ref="AG78:AG141" ca="1" si="50">(LN($D78/UnderlyingPrice)+0.5*ATMImpVol^2*(T/365.25))/(ATMImpVol*SQRT(T/365.25))</f>
        <v>0.75269376952167466</v>
      </c>
      <c r="AH78" s="96">
        <f t="shared" ref="AH78:AH141" ca="1" si="51">(LN(($D78*(1+$P$8))/UnderlyingPrice)+0.5*ATMImpVol^2*(T/365.25))/(ATMImpVol*SQRT(T/365.25))</f>
        <v>0.75449595028640604</v>
      </c>
      <c r="AI78" s="96">
        <f t="shared" ref="AI78:AI141" ca="1" si="52">(LN($D78*(1-$P$8)/UnderlyingPrice)+0.5*ATMImpVol^2*(T/365.25))/(ATMImpVol*SQRT(T/365.25))</f>
        <v>0.75089122828474075</v>
      </c>
      <c r="AJ78" s="62"/>
      <c r="AK78" s="96">
        <f t="shared" ref="AK78:AK141" ca="1" si="53">W78/(AH78-AI78)*(D78*2*$P$8)</f>
        <v>0.30079396471127051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0.53676000000000001</v>
      </c>
      <c r="AY78" s="106">
        <f t="shared" ref="AY78:AY141" ca="1" si="55">VLOOKUP(F78,ENAVolTable,4)+VLOOKUP(F78,ENAVolTable,5)*(F78-VLOOKUP(F78,ENAVolTable,1))</f>
        <v>0.53677816</v>
      </c>
      <c r="AZ78" s="106">
        <f t="shared" ref="AZ78:AZ141" ca="1" si="56">VLOOKUP(G78,ENAVolTable,4)+VLOOKUP(G78,ENAVolTable,5)*(G78-VLOOKUP(G78,ENAVolTable,1))</f>
        <v>0.53674184000000003</v>
      </c>
      <c r="BB78" s="109">
        <f ca="1">_xll.EURO(UnderlyingPrice,$D78,IntRate,Yield,AX78,$D$6,1,0)</f>
        <v>7.1263770265074688E-2</v>
      </c>
      <c r="BC78" s="109">
        <f ca="1">_xll.EURO(UnderlyingPrice,$D78*(1+$P$8),IntRate,Yield,AY78,$D$6,1,0)</f>
        <v>7.1062417651547749E-2</v>
      </c>
      <c r="BD78" s="109">
        <f ca="1">_xll.EURO(UnderlyingPrice,$D78*(1-$P$8),IntRate,Yield,AZ78,$D$6,1,0)</f>
        <v>7.1465598963523558E-2</v>
      </c>
      <c r="BF78" s="59">
        <f t="shared" ref="BF78:BF141" ca="1" si="57">(BC78+BD78-2*BB78)/($P$8*$D78)^2</f>
        <v>0.57744779872723762</v>
      </c>
      <c r="BG78" s="62">
        <f t="shared" ref="BG78:BG141" ca="1" si="58">+BF78/$D$9</f>
        <v>0.57855933762160316</v>
      </c>
      <c r="BI78" s="96">
        <f t="shared" ref="BI78:BI141" ca="1" si="59">(LN($D78/UnderlyingPrice)+0.5*ENAVol^2*(T/365.25))/(ENAVol*SQRT(T/365.25))</f>
        <v>0.75291172134781015</v>
      </c>
      <c r="BJ78" s="96">
        <f t="shared" ref="BJ78:BJ141" ca="1" si="60">(LN(($D78*(1+$P$8))/UnderlyingPrice)+0.5*ENAVol^2*(T/365.25))/(ENAVol*SQRT(T/365.25))</f>
        <v>0.75471451417393332</v>
      </c>
      <c r="BK78" s="96">
        <f t="shared" ref="BK78:BK141" ca="1" si="61">(LN($D78*(1-$P$8)/UnderlyingPrice)+0.5*ENAVol^2*(T/365.25))/(ENAVol*SQRT(T/365.25))</f>
        <v>0.75110856792705993</v>
      </c>
      <c r="BL78" s="62"/>
      <c r="BM78" s="96">
        <f t="shared" ref="BM78:BM141" ca="1" si="62">BG78/(BJ78-BK78)*(D78*2*$P$8)</f>
        <v>0.29136977791386487</v>
      </c>
      <c r="BO78" s="58">
        <f t="shared" ref="BO78:BO113" ca="1" si="63">+BB78-L78</f>
        <v>1.1735486261315042E-3</v>
      </c>
      <c r="BP78" s="46">
        <f t="shared" ref="BP78:BP113" ca="1" si="64">+BO78/BB78</f>
        <v>1.6467675254429288E-2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4.5560000000000009</v>
      </c>
      <c r="E79" s="45">
        <f t="shared" ca="1" si="44"/>
        <v>8.4245597334602795E-2</v>
      </c>
      <c r="F79" s="45">
        <f t="shared" ca="1" si="36"/>
        <v>8.4462446454069751E-2</v>
      </c>
      <c r="G79" s="45">
        <f t="shared" ca="1" si="37"/>
        <v>8.402874821513584E-2</v>
      </c>
      <c r="H79" s="45">
        <f t="shared" ca="1" si="38"/>
        <v>0.53297097437891028</v>
      </c>
      <c r="I79" s="45">
        <f t="shared" ca="1" si="41"/>
        <v>0.53295380955041116</v>
      </c>
      <c r="J79" s="45">
        <f t="shared" ca="1" si="39"/>
        <v>0.53293668656426507</v>
      </c>
      <c r="L79" s="58">
        <f ca="1">_xll.EURO(UnderlyingPrice,$D79,IntRate,Yield,$I79,$D$6,L$12,0)</f>
        <v>6.6627461920350628E-2</v>
      </c>
      <c r="M79" s="58">
        <f ca="1">_xll.EURO(UnderlyingPrice,$D79,IntRate,Yield,$I79,$D$6,M$12,0)</f>
        <v>0.41994735057650345</v>
      </c>
      <c r="O79" s="58">
        <f ca="1">_xll.EURO(UnderlyingPrice,$D79*(1+$P$8),IntRate,Yield,$H79,Expiry-Today,O$12,0)</f>
        <v>6.6434754139581997E-2</v>
      </c>
      <c r="P79" s="58">
        <f ca="1">_xll.EURO(UnderlyingPrice,$D79*(1+$P$8),IntRate,Yield,$H79,Expiry-Today,P$12,0)</f>
        <v>0.42066409218145173</v>
      </c>
      <c r="R79" s="58">
        <f ca="1">_xll.EURO(UnderlyingPrice,$D79*(1-$P$8),IntRate,Yield,$J79,Expiry-Today,R$12,0)</f>
        <v>6.6820649548349875E-2</v>
      </c>
      <c r="S79" s="58">
        <f ca="1">_xll.EURO(UnderlyingPrice,$D79*(1-$P$8),IntRate,Yield,$J79,Expiry-Today,S$12,0)</f>
        <v>0.41923108881878646</v>
      </c>
      <c r="U79" s="59">
        <f t="shared" ca="1" si="45"/>
        <v>0.57793044114644454</v>
      </c>
      <c r="V79" s="59"/>
      <c r="W79" s="62">
        <f t="shared" ca="1" si="40"/>
        <v>0.57904290908724898</v>
      </c>
      <c r="Z79" s="59">
        <f t="shared" ca="1" si="46"/>
        <v>0.78911106035106982</v>
      </c>
      <c r="AA79" s="59">
        <f t="shared" ca="1" si="47"/>
        <v>8.7041121216062903E-2</v>
      </c>
      <c r="AB79" s="59">
        <f t="shared" ca="1" si="42"/>
        <v>-7.5761567825493557E-3</v>
      </c>
      <c r="AC79" s="59">
        <f t="shared" ca="1" si="48"/>
        <v>-0.30763979845049283</v>
      </c>
      <c r="AD79" s="60">
        <f t="shared" ca="1" si="43"/>
        <v>0.7351800833269484</v>
      </c>
      <c r="AE79" s="60">
        <f t="shared" ca="1" si="49"/>
        <v>0.58013873510311609</v>
      </c>
      <c r="AF79" s="60"/>
      <c r="AG79" s="96">
        <f t="shared" ca="1" si="50"/>
        <v>0.78439760128456892</v>
      </c>
      <c r="AH79" s="96">
        <f t="shared" ca="1" si="51"/>
        <v>0.7861997820493013</v>
      </c>
      <c r="AI79" s="96">
        <f t="shared" ca="1" si="52"/>
        <v>0.78259506004763402</v>
      </c>
      <c r="AJ79" s="62"/>
      <c r="AK79" s="96">
        <f t="shared" ca="1" si="53"/>
        <v>0.29274041022650898</v>
      </c>
      <c r="AL79" s="96"/>
      <c r="AM79" s="94"/>
      <c r="AN79" s="95"/>
      <c r="AX79" s="106">
        <f t="shared" ca="1" si="54"/>
        <v>0.53708</v>
      </c>
      <c r="AY79" s="106">
        <f t="shared" ca="1" si="55"/>
        <v>0.53709822400000007</v>
      </c>
      <c r="AZ79" s="106">
        <f t="shared" ca="1" si="56"/>
        <v>0.53706177600000005</v>
      </c>
      <c r="BB79" s="109">
        <f ca="1">_xll.EURO(UnderlyingPrice,$D79,IntRate,Yield,AX79,$D$6,1,0)</f>
        <v>6.7784726099391457E-2</v>
      </c>
      <c r="BC79" s="109">
        <f ca="1">_xll.EURO(UnderlyingPrice,$D79*(1+$P$8),IntRate,Yield,AY79,$D$6,1,0)</f>
        <v>6.7590956763373011E-2</v>
      </c>
      <c r="BD79" s="109">
        <f ca="1">_xll.EURO(UnderlyingPrice,$D79*(1-$P$8),IntRate,Yield,AZ79,$D$6,1,0)</f>
        <v>6.7978961230599322E-2</v>
      </c>
      <c r="BF79" s="59">
        <f t="shared" ca="1" si="57"/>
        <v>0.56100609137426272</v>
      </c>
      <c r="BG79" s="62">
        <f t="shared" ca="1" si="58"/>
        <v>0.5620859813520459</v>
      </c>
      <c r="BI79" s="96">
        <f t="shared" ca="1" si="59"/>
        <v>0.78462632044979386</v>
      </c>
      <c r="BJ79" s="96">
        <f t="shared" ca="1" si="60"/>
        <v>0.78642911327591802</v>
      </c>
      <c r="BK79" s="96">
        <f t="shared" ca="1" si="61"/>
        <v>0.78282316702904253</v>
      </c>
      <c r="BL79" s="62"/>
      <c r="BM79" s="96">
        <f t="shared" ca="1" si="62"/>
        <v>0.28407120414053644</v>
      </c>
      <c r="BO79" s="58">
        <f t="shared" ca="1" si="63"/>
        <v>1.1572641790408289E-3</v>
      </c>
      <c r="BP79" s="46">
        <f t="shared" ca="1" si="64"/>
        <v>1.7072639304375952E-2</v>
      </c>
    </row>
    <row r="80" spans="3:68" x14ac:dyDescent="0.2">
      <c r="C80" s="56">
        <v>67</v>
      </c>
      <c r="D80" s="63">
        <f t="shared" ca="1" si="65"/>
        <v>4.572000000000001</v>
      </c>
      <c r="E80" s="45">
        <f t="shared" ca="1" si="44"/>
        <v>8.8053307948596116E-2</v>
      </c>
      <c r="F80" s="45">
        <f t="shared" ca="1" si="36"/>
        <v>8.8270918610185989E-2</v>
      </c>
      <c r="G80" s="45">
        <f t="shared" ca="1" si="37"/>
        <v>8.7835697287006465E-2</v>
      </c>
      <c r="H80" s="45">
        <f t="shared" ca="1" si="38"/>
        <v>0.5332791776986997</v>
      </c>
      <c r="I80" s="45">
        <f t="shared" ca="1" si="41"/>
        <v>0.53326122741358595</v>
      </c>
      <c r="J80" s="45">
        <f t="shared" ca="1" si="39"/>
        <v>0.53324331794632052</v>
      </c>
      <c r="L80" s="58">
        <f ca="1">_xll.EURO(UnderlyingPrice,$D80,IntRate,Yield,$I80,$D$6,L$12,0)</f>
        <v>6.3312652739992759E-2</v>
      </c>
      <c r="M80" s="58">
        <f ca="1">_xll.EURO(UnderlyingPrice,$D80,IntRate,Yield,$I80,$D$6,M$12,0)</f>
        <v>0.432601801900379</v>
      </c>
      <c r="O80" s="58">
        <f ca="1">_xll.EURO(UnderlyingPrice,$D80*(1+$P$8),IntRate,Yield,$H80,Expiry-Today,O$12,0)</f>
        <v>6.3127585335665648E-2</v>
      </c>
      <c r="P80" s="58">
        <f ca="1">_xll.EURO(UnderlyingPrice,$D80*(1+$P$8),IntRate,Yield,$H80,Expiry-Today,P$12,0)</f>
        <v>0.43332937773386826</v>
      </c>
      <c r="R80" s="58">
        <f ca="1">_xll.EURO(UnderlyingPrice,$D80*(1-$P$8),IntRate,Yield,$J80,Expiry-Today,R$12,0)</f>
        <v>6.3498188337507422E-2</v>
      </c>
      <c r="S80" s="58">
        <f ca="1">_xll.EURO(UnderlyingPrice,$D80*(1-$P$8),IntRate,Yield,$J80,Expiry-Today,S$12,0)</f>
        <v>0.43187469426007663</v>
      </c>
      <c r="U80" s="59">
        <f t="shared" ca="1" si="45"/>
        <v>0.5599543920590716</v>
      </c>
      <c r="V80" s="59"/>
      <c r="W80" s="62">
        <f t="shared" ca="1" si="40"/>
        <v>0.56103225760331021</v>
      </c>
      <c r="Z80" s="59">
        <f t="shared" ca="1" si="46"/>
        <v>0.78634951683278087</v>
      </c>
      <c r="AA80" s="59">
        <f t="shared" ca="1" si="47"/>
        <v>9.0546821563691399E-2</v>
      </c>
      <c r="AB80" s="59">
        <f t="shared" ca="1" si="42"/>
        <v>-8.1987268952869695E-3</v>
      </c>
      <c r="AC80" s="59">
        <f t="shared" ca="1" si="48"/>
        <v>-0.33292007570730159</v>
      </c>
      <c r="AD80" s="60">
        <f t="shared" ca="1" si="43"/>
        <v>0.71682748379588068</v>
      </c>
      <c r="AE80" s="60">
        <f t="shared" ca="1" si="49"/>
        <v>0.56367694553534886</v>
      </c>
      <c r="AF80" s="60"/>
      <c r="AG80" s="96">
        <f t="shared" ca="1" si="50"/>
        <v>0.81599028879920088</v>
      </c>
      <c r="AH80" s="96">
        <f t="shared" ca="1" si="51"/>
        <v>0.81779246956393425</v>
      </c>
      <c r="AI80" s="96">
        <f t="shared" ca="1" si="52"/>
        <v>0.81418774756226686</v>
      </c>
      <c r="AJ80" s="62"/>
      <c r="AK80" s="96">
        <f t="shared" ca="1" si="53"/>
        <v>0.28463104567573921</v>
      </c>
      <c r="AL80" s="96"/>
      <c r="AM80" s="94"/>
      <c r="AN80" s="95"/>
      <c r="AX80" s="106">
        <f t="shared" ca="1" si="54"/>
        <v>0.5374000000000001</v>
      </c>
      <c r="AY80" s="106">
        <f t="shared" ca="1" si="55"/>
        <v>0.53741828800000002</v>
      </c>
      <c r="AZ80" s="106">
        <f t="shared" ca="1" si="56"/>
        <v>0.53738171200000007</v>
      </c>
      <c r="BB80" s="109">
        <f ca="1">_xll.EURO(UnderlyingPrice,$D80,IntRate,Yield,AX80,$D$6,1,0)</f>
        <v>6.4449299831786711E-2</v>
      </c>
      <c r="BC80" s="109">
        <f ca="1">_xll.EURO(UnderlyingPrice,$D80*(1+$P$8),IntRate,Yield,AY80,$D$6,1,0)</f>
        <v>6.4262931504592391E-2</v>
      </c>
      <c r="BD80" s="109">
        <f ca="1">_xll.EURO(UnderlyingPrice,$D80*(1-$P$8),IntRate,Yield,AZ80,$D$6,1,0)</f>
        <v>6.4636123497410769E-2</v>
      </c>
      <c r="BF80" s="59">
        <f t="shared" ca="1" si="57"/>
        <v>0.54458022966620034</v>
      </c>
      <c r="BG80" s="62">
        <f t="shared" ca="1" si="58"/>
        <v>0.54562850122894713</v>
      </c>
      <c r="BI80" s="96">
        <f t="shared" ca="1" si="59"/>
        <v>0.81622973755641182</v>
      </c>
      <c r="BJ80" s="96">
        <f t="shared" ca="1" si="60"/>
        <v>0.81803253038253698</v>
      </c>
      <c r="BK80" s="96">
        <f t="shared" ca="1" si="61"/>
        <v>0.81442658413566138</v>
      </c>
      <c r="BL80" s="62"/>
      <c r="BM80" s="96">
        <f t="shared" ca="1" si="62"/>
        <v>0.27672220680274673</v>
      </c>
      <c r="BO80" s="58">
        <f t="shared" ca="1" si="63"/>
        <v>1.136647091793952E-3</v>
      </c>
      <c r="BP80" s="46">
        <f t="shared" ca="1" si="64"/>
        <v>1.7636298528620354E-2</v>
      </c>
    </row>
    <row r="81" spans="3:68" x14ac:dyDescent="0.2">
      <c r="C81" s="56">
        <v>68</v>
      </c>
      <c r="D81" s="63">
        <f t="shared" ca="1" si="65"/>
        <v>4.588000000000001</v>
      </c>
      <c r="E81" s="45">
        <f t="shared" ca="1" si="44"/>
        <v>9.1861018562589436E-2</v>
      </c>
      <c r="F81" s="45">
        <f t="shared" ca="1" si="36"/>
        <v>9.2079390766302005E-2</v>
      </c>
      <c r="G81" s="45">
        <f t="shared" ca="1" si="37"/>
        <v>9.1642646358876867E-2</v>
      </c>
      <c r="H81" s="45">
        <f t="shared" ca="1" si="38"/>
        <v>0.53359986027220785</v>
      </c>
      <c r="I81" s="45">
        <f t="shared" ca="1" si="41"/>
        <v>0.53358114261829903</v>
      </c>
      <c r="J81" s="45">
        <f t="shared" ca="1" si="39"/>
        <v>0.53356246474027125</v>
      </c>
      <c r="L81" s="58">
        <f ca="1">_xll.EURO(UnderlyingPrice,$D81,IntRate,Yield,$I81,$D$6,L$12,0)</f>
        <v>6.0141193160583195E-2</v>
      </c>
      <c r="M81" s="58">
        <f ca="1">_xll.EURO(UnderlyingPrice,$D81,IntRate,Yield,$I81,$D$6,M$12,0)</f>
        <v>0.44539960282520141</v>
      </c>
      <c r="O81" s="58">
        <f ca="1">_xll.EURO(UnderlyingPrice,$D81*(1+$P$8),IntRate,Yield,$H81,Expiry-Today,O$12,0)</f>
        <v>5.996356078863041E-2</v>
      </c>
      <c r="P81" s="58">
        <f ca="1">_xll.EURO(UnderlyingPrice,$D81*(1+$P$8),IntRate,Yield,$H81,Expiry-Today,P$12,0)</f>
        <v>0.44613780754316679</v>
      </c>
      <c r="R81" s="58">
        <f ca="1">_xll.EURO(UnderlyingPrice,$D81*(1-$P$8),IntRate,Yield,$J81,Expiry-Today,R$12,0)</f>
        <v>6.0319281923189361E-2</v>
      </c>
      <c r="S81" s="58">
        <f ca="1">_xll.EURO(UnderlyingPrice,$D81*(1-$P$8),IntRate,Yield,$J81,Expiry-Today,S$12,0)</f>
        <v>0.44466185449789064</v>
      </c>
      <c r="U81" s="59">
        <f t="shared" ca="1" si="45"/>
        <v>0.54203824685533575</v>
      </c>
      <c r="V81" s="59"/>
      <c r="W81" s="62">
        <f t="shared" ca="1" si="40"/>
        <v>0.54308162531299276</v>
      </c>
      <c r="Z81" s="59">
        <f t="shared" ca="1" si="46"/>
        <v>0.78360723429805446</v>
      </c>
      <c r="AA81" s="59">
        <f t="shared" ca="1" si="47"/>
        <v>9.4040274898251425E-2</v>
      </c>
      <c r="AB81" s="59">
        <f t="shared" ca="1" si="42"/>
        <v>-8.8435733029386971E-3</v>
      </c>
      <c r="AC81" s="59">
        <f t="shared" ca="1" si="48"/>
        <v>-0.35910491118199034</v>
      </c>
      <c r="AD81" s="60">
        <f t="shared" ca="1" si="43"/>
        <v>0.69830108791604562</v>
      </c>
      <c r="AE81" s="60">
        <f t="shared" ca="1" si="49"/>
        <v>0.54719378420921505</v>
      </c>
      <c r="AF81" s="60"/>
      <c r="AG81" s="96">
        <f t="shared" ca="1" si="50"/>
        <v>0.84747260862164775</v>
      </c>
      <c r="AH81" s="96">
        <f t="shared" ca="1" si="51"/>
        <v>0.84927478938638035</v>
      </c>
      <c r="AI81" s="96">
        <f t="shared" ca="1" si="52"/>
        <v>0.84567006738471262</v>
      </c>
      <c r="AJ81" s="62"/>
      <c r="AK81" s="96">
        <f t="shared" ca="1" si="53"/>
        <v>0.27648828351071114</v>
      </c>
      <c r="AL81" s="96"/>
      <c r="AM81" s="94"/>
      <c r="AN81" s="95"/>
      <c r="AX81" s="106">
        <f t="shared" ca="1" si="54"/>
        <v>0.53772000000000009</v>
      </c>
      <c r="AY81" s="106">
        <f t="shared" ca="1" si="55"/>
        <v>0.53773835200000009</v>
      </c>
      <c r="AZ81" s="106">
        <f t="shared" ca="1" si="56"/>
        <v>0.53770164800000009</v>
      </c>
      <c r="BB81" s="109">
        <f ca="1">_xll.EURO(UnderlyingPrice,$D81,IntRate,Yield,AX81,$D$6,1,0)</f>
        <v>6.1253287142947976E-2</v>
      </c>
      <c r="BC81" s="109">
        <f ca="1">_xll.EURO(UnderlyingPrice,$D81*(1+$P$8),IntRate,Yield,AY81,$D$6,1,0)</f>
        <v>6.1074135521738904E-2</v>
      </c>
      <c r="BD81" s="109">
        <f ca="1">_xll.EURO(UnderlyingPrice,$D81*(1-$P$8),IntRate,Yield,AZ81,$D$6,1,0)</f>
        <v>6.1432883505849523E-2</v>
      </c>
      <c r="BF81" s="59">
        <f t="shared" ca="1" si="57"/>
        <v>0.52820320816437127</v>
      </c>
      <c r="BG81" s="62">
        <f t="shared" ca="1" si="58"/>
        <v>0.529219955325409</v>
      </c>
      <c r="BI81" s="96">
        <f t="shared" ca="1" si="59"/>
        <v>0.84772274948747772</v>
      </c>
      <c r="BJ81" s="96">
        <f t="shared" ca="1" si="60"/>
        <v>0.849525542313602</v>
      </c>
      <c r="BK81" s="96">
        <f t="shared" ca="1" si="61"/>
        <v>0.84591959606672618</v>
      </c>
      <c r="BL81" s="62"/>
      <c r="BM81" s="96">
        <f t="shared" ca="1" si="62"/>
        <v>0.26933969491493537</v>
      </c>
      <c r="BO81" s="58">
        <f t="shared" ca="1" si="63"/>
        <v>1.1120939823647813E-3</v>
      </c>
      <c r="BP81" s="46">
        <f t="shared" ca="1" si="64"/>
        <v>1.8155662075236324E-2</v>
      </c>
    </row>
    <row r="82" spans="3:68" x14ac:dyDescent="0.2">
      <c r="C82" s="56">
        <v>69</v>
      </c>
      <c r="D82" s="63">
        <f t="shared" ca="1" si="65"/>
        <v>4.604000000000001</v>
      </c>
      <c r="E82" s="45">
        <f t="shared" ca="1" si="44"/>
        <v>9.5668729176582756E-2</v>
      </c>
      <c r="F82" s="45">
        <f t="shared" ca="1" si="36"/>
        <v>9.5887862922418243E-2</v>
      </c>
      <c r="G82" s="45">
        <f t="shared" ca="1" si="37"/>
        <v>9.5449595430747491E-2</v>
      </c>
      <c r="H82" s="45">
        <f t="shared" ca="1" si="38"/>
        <v>0.53393261804215453</v>
      </c>
      <c r="I82" s="45">
        <f t="shared" ca="1" si="41"/>
        <v>0.53391315134960771</v>
      </c>
      <c r="J82" s="45">
        <f t="shared" ca="1" si="39"/>
        <v>0.53389372337341512</v>
      </c>
      <c r="L82" s="58">
        <f ca="1">_xll.EURO(UnderlyingPrice,$D82,IntRate,Yield,$I82,$D$6,L$12,0)</f>
        <v>5.7108497524104962E-2</v>
      </c>
      <c r="M82" s="58">
        <f ca="1">_xll.EURO(UnderlyingPrice,$D82,IntRate,Yield,$I82,$D$6,M$12,0)</f>
        <v>0.45833616769295649</v>
      </c>
      <c r="O82" s="58">
        <f ca="1">_xll.EURO(UnderlyingPrice,$D82*(1+$P$8),IntRate,Yield,$H82,Expiry-Today,O$12,0)</f>
        <v>5.6938093289720548E-2</v>
      </c>
      <c r="P82" s="58">
        <f ca="1">_xll.EURO(UnderlyingPrice,$D82*(1+$P$8),IntRate,Yield,$H82,Expiry-Today,P$12,0)</f>
        <v>0.4590847944005918</v>
      </c>
      <c r="R82" s="58">
        <f ca="1">_xll.EURO(UnderlyingPrice,$D82*(1-$P$8),IntRate,Yield,$J82,Expiry-Today,R$12,0)</f>
        <v>5.7279346232958828E-2</v>
      </c>
      <c r="S82" s="58">
        <f ca="1">_xll.EURO(UnderlyingPrice,$D82*(1-$P$8),IntRate,Yield,$J82,Expiry-Today,S$12,0)</f>
        <v>0.45758798545979174</v>
      </c>
      <c r="U82" s="59">
        <f t="shared" ca="1" si="45"/>
        <v>0.52422315390677143</v>
      </c>
      <c r="V82" s="59"/>
      <c r="W82" s="62">
        <f t="shared" ca="1" si="40"/>
        <v>0.52523223979501743</v>
      </c>
      <c r="Z82" s="59">
        <f t="shared" ca="1" si="46"/>
        <v>0.78088401193733137</v>
      </c>
      <c r="AA82" s="59">
        <f t="shared" ca="1" si="47"/>
        <v>9.7521566490763364E-2</v>
      </c>
      <c r="AB82" s="59">
        <f t="shared" ca="1" si="42"/>
        <v>-9.5104559308123796E-3</v>
      </c>
      <c r="AC82" s="59">
        <f t="shared" ca="1" si="48"/>
        <v>-0.3861845563263136</v>
      </c>
      <c r="AD82" s="60">
        <f t="shared" ca="1" si="43"/>
        <v>0.67964508130549783</v>
      </c>
      <c r="AE82" s="60">
        <f t="shared" ca="1" si="49"/>
        <v>0.53072397778331093</v>
      </c>
      <c r="AF82" s="60"/>
      <c r="AG82" s="96">
        <f t="shared" ca="1" si="50"/>
        <v>0.87884532919770775</v>
      </c>
      <c r="AH82" s="96">
        <f t="shared" ca="1" si="51"/>
        <v>0.88064750996244112</v>
      </c>
      <c r="AI82" s="96">
        <f t="shared" ca="1" si="52"/>
        <v>0.8770427879607734</v>
      </c>
      <c r="AJ82" s="62"/>
      <c r="AK82" s="96">
        <f t="shared" ca="1" si="53"/>
        <v>0.26833350598437206</v>
      </c>
      <c r="AL82" s="96"/>
      <c r="AM82" s="94"/>
      <c r="AN82" s="95"/>
      <c r="AX82" s="106">
        <f t="shared" ca="1" si="54"/>
        <v>0.53804000000000007</v>
      </c>
      <c r="AY82" s="106">
        <f t="shared" ca="1" si="55"/>
        <v>0.53805841600000004</v>
      </c>
      <c r="AZ82" s="106">
        <f t="shared" ca="1" si="56"/>
        <v>0.538021584</v>
      </c>
      <c r="BB82" s="109">
        <f ca="1">_xll.EURO(UnderlyingPrice,$D82,IntRate,Yield,AX82,$D$6,1,0)</f>
        <v>5.8192496179756859E-2</v>
      </c>
      <c r="BC82" s="109">
        <f ca="1">_xll.EURO(UnderlyingPrice,$D82*(1+$P$8),IntRate,Yield,AY82,$D$6,1,0)</f>
        <v>5.8020375407056846E-2</v>
      </c>
      <c r="BD82" s="109">
        <f ca="1">_xll.EURO(UnderlyingPrice,$D82*(1-$P$8),IntRate,Yield,AZ82,$D$6,1,0)</f>
        <v>5.8365050983773203E-2</v>
      </c>
      <c r="BF82" s="59">
        <f t="shared" ca="1" si="57"/>
        <v>0.5119062649928382</v>
      </c>
      <c r="BG82" s="62">
        <f t="shared" ca="1" si="58"/>
        <v>0.51289164189627967</v>
      </c>
      <c r="BI82" s="96">
        <f t="shared" ca="1" si="59"/>
        <v>0.87910612494977092</v>
      </c>
      <c r="BJ82" s="96">
        <f t="shared" ca="1" si="60"/>
        <v>0.88090891777589619</v>
      </c>
      <c r="BK82" s="96">
        <f t="shared" ca="1" si="61"/>
        <v>0.87730297152902037</v>
      </c>
      <c r="BL82" s="62"/>
      <c r="BM82" s="96">
        <f t="shared" ca="1" si="62"/>
        <v>0.26193991342342815</v>
      </c>
      <c r="BO82" s="58">
        <f t="shared" ca="1" si="63"/>
        <v>1.0839986556518966E-3</v>
      </c>
      <c r="BP82" s="46">
        <f t="shared" ca="1" si="64"/>
        <v>1.8627808167971008E-2</v>
      </c>
    </row>
    <row r="83" spans="3:68" x14ac:dyDescent="0.2">
      <c r="C83" s="56">
        <v>70</v>
      </c>
      <c r="D83" s="63">
        <f t="shared" ca="1" si="65"/>
        <v>4.620000000000001</v>
      </c>
      <c r="E83" s="45">
        <f t="shared" ca="1" si="44"/>
        <v>9.9476439790576077E-2</v>
      </c>
      <c r="F83" s="45">
        <f t="shared" ca="1" si="36"/>
        <v>9.9696335078534259E-2</v>
      </c>
      <c r="G83" s="45">
        <f t="shared" ca="1" si="37"/>
        <v>9.9256544502618116E-2</v>
      </c>
      <c r="H83" s="45">
        <f t="shared" ca="1" si="38"/>
        <v>0.53427704695125977</v>
      </c>
      <c r="I83" s="45">
        <f t="shared" ca="1" si="41"/>
        <v>0.53425684979256938</v>
      </c>
      <c r="J83" s="45">
        <f t="shared" ca="1" si="39"/>
        <v>0.53423669027304987</v>
      </c>
      <c r="L83" s="58">
        <f ca="1">_xll.EURO(UnderlyingPrice,$D83,IntRate,Yield,$I83,$D$6,L$12,0)</f>
        <v>5.4210005984659859E-2</v>
      </c>
      <c r="M83" s="58">
        <f ca="1">_xll.EURO(UnderlyingPrice,$D83,IntRate,Yield,$I83,$D$6,M$12,0)</f>
        <v>0.47140693665774425</v>
      </c>
      <c r="O83" s="58">
        <f ca="1">_xll.EURO(UnderlyingPrice,$D83*(1+$P$8),IntRate,Yield,$H83,Expiry-Today,O$12,0)</f>
        <v>5.4046622046757586E-2</v>
      </c>
      <c r="P83" s="58">
        <f ca="1">_xll.EURO(UnderlyingPrice,$D83*(1+$P$8),IntRate,Yield,$H83,Expiry-Today,P$12,0)</f>
        <v>0.47216577751396116</v>
      </c>
      <c r="R83" s="58">
        <f ca="1">_xll.EURO(UnderlyingPrice,$D83*(1-$P$8),IntRate,Yield,$J83,Expiry-Today,R$12,0)</f>
        <v>5.4373822400728633E-2</v>
      </c>
      <c r="S83" s="58">
        <f ca="1">_xll.EURO(UnderlyingPrice,$D83*(1-$P$8),IntRate,Yield,$J83,Expiry-Today,S$12,0)</f>
        <v>0.47064852827969395</v>
      </c>
      <c r="U83" s="59">
        <f t="shared" ca="1" si="45"/>
        <v>0.50654757981138954</v>
      </c>
      <c r="V83" s="59"/>
      <c r="W83" s="62">
        <f t="shared" ca="1" si="40"/>
        <v>0.50752264169239092</v>
      </c>
      <c r="Z83" s="59">
        <f t="shared" ca="1" si="46"/>
        <v>0.77817965172282988</v>
      </c>
      <c r="AA83" s="59">
        <f t="shared" ca="1" si="47"/>
        <v>0.10099078072477462</v>
      </c>
      <c r="AB83" s="59">
        <f t="shared" ca="1" si="42"/>
        <v>-1.0199137791399509E-2</v>
      </c>
      <c r="AC83" s="59">
        <f t="shared" ca="1" si="48"/>
        <v>-0.41414938795117373</v>
      </c>
      <c r="AD83" s="60">
        <f t="shared" ca="1" si="43"/>
        <v>0.66090221306341146</v>
      </c>
      <c r="AE83" s="60">
        <f t="shared" ca="1" si="49"/>
        <v>0.51430065398453306</v>
      </c>
      <c r="AF83" s="60"/>
      <c r="AG83" s="96">
        <f t="shared" ca="1" si="50"/>
        <v>0.91010921097544528</v>
      </c>
      <c r="AH83" s="96">
        <f t="shared" ca="1" si="51"/>
        <v>0.91191139174017788</v>
      </c>
      <c r="AI83" s="96">
        <f t="shared" ca="1" si="52"/>
        <v>0.90830666973851182</v>
      </c>
      <c r="AJ83" s="62"/>
      <c r="AK83" s="96">
        <f t="shared" ca="1" si="53"/>
        <v>0.26018701065270811</v>
      </c>
      <c r="AL83" s="96"/>
      <c r="AM83" s="94"/>
      <c r="AN83" s="95"/>
      <c r="AX83" s="106">
        <f t="shared" ca="1" si="54"/>
        <v>0.53836000000000006</v>
      </c>
      <c r="AY83" s="106">
        <f t="shared" ca="1" si="55"/>
        <v>0.5383784800000001</v>
      </c>
      <c r="AZ83" s="106">
        <f t="shared" ca="1" si="56"/>
        <v>0.53834152000000002</v>
      </c>
      <c r="BB83" s="109">
        <f ca="1">_xll.EURO(UnderlyingPrice,$D83,IntRate,Yield,AX83,$D$6,1,0)</f>
        <v>5.5262755550482989E-2</v>
      </c>
      <c r="BC83" s="109">
        <f ca="1">_xll.EURO(UnderlyingPrice,$D83*(1+$P$8),IntRate,Yield,AY83,$D$6,1,0)</f>
        <v>5.5097478675495526E-2</v>
      </c>
      <c r="BD83" s="109">
        <f ca="1">_xll.EURO(UnderlyingPrice,$D83*(1-$P$8),IntRate,Yield,AZ83,$D$6,1,0)</f>
        <v>5.5428455658309672E-2</v>
      </c>
      <c r="BF83" s="59">
        <f t="shared" ca="1" si="57"/>
        <v>0.49571882931766953</v>
      </c>
      <c r="BG83" s="62">
        <f t="shared" ca="1" si="58"/>
        <v>0.49667304675632018</v>
      </c>
      <c r="BI83" s="96">
        <f t="shared" ca="1" si="59"/>
        <v>0.91038062464962166</v>
      </c>
      <c r="BJ83" s="96">
        <f t="shared" ca="1" si="60"/>
        <v>0.91218341747574605</v>
      </c>
      <c r="BK83" s="96">
        <f t="shared" ca="1" si="61"/>
        <v>0.90857747122887189</v>
      </c>
      <c r="BL83" s="62"/>
      <c r="BM83" s="96">
        <f t="shared" ca="1" si="62"/>
        <v>0.25453840062128669</v>
      </c>
      <c r="BO83" s="58">
        <f t="shared" ca="1" si="63"/>
        <v>1.0527495658231301E-3</v>
      </c>
      <c r="BP83" s="46">
        <f t="shared" ca="1" si="64"/>
        <v>1.9049892741259247E-2</v>
      </c>
    </row>
    <row r="84" spans="3:68" x14ac:dyDescent="0.2">
      <c r="C84" s="56">
        <v>71</v>
      </c>
      <c r="D84" s="63">
        <f t="shared" ca="1" si="65"/>
        <v>4.636000000000001</v>
      </c>
      <c r="E84" s="45">
        <f t="shared" ca="1" si="44"/>
        <v>0.1032841504045694</v>
      </c>
      <c r="F84" s="45">
        <f t="shared" ca="1" si="36"/>
        <v>0.10350480723465028</v>
      </c>
      <c r="G84" s="45">
        <f t="shared" ca="1" si="37"/>
        <v>0.10306349357448874</v>
      </c>
      <c r="H84" s="45">
        <f t="shared" ca="1" si="38"/>
        <v>0.53463274294224328</v>
      </c>
      <c r="I84" s="45">
        <f t="shared" ca="1" si="41"/>
        <v>0.53461183413224123</v>
      </c>
      <c r="J84" s="45">
        <f t="shared" ca="1" si="39"/>
        <v>0.53459096186647348</v>
      </c>
      <c r="L84" s="58">
        <f ca="1">_xll.EURO(UnderlyingPrice,$D84,IntRate,Yield,$I84,$D$6,L$12,0)</f>
        <v>5.1441194354840625E-2</v>
      </c>
      <c r="M84" s="58">
        <f ca="1">_xll.EURO(UnderlyingPrice,$D84,IntRate,Yield,$I84,$D$6,M$12,0)</f>
        <v>0.48460738553215732</v>
      </c>
      <c r="O84" s="58">
        <f ca="1">_xll.EURO(UnderlyingPrice,$D84*(1+$P$8),IntRate,Yield,$H84,Expiry-Today,O$12,0)</f>
        <v>5.12846225004846E-2</v>
      </c>
      <c r="P84" s="58">
        <f ca="1">_xll.EURO(UnderlyingPrice,$D84*(1+$P$8),IntRate,Yield,$H84,Expiry-Today,P$12,0)</f>
        <v>0.48537623232402227</v>
      </c>
      <c r="R84" s="58">
        <f ca="1">_xll.EURO(UnderlyingPrice,$D84*(1-$P$8),IntRate,Yield,$J84,Expiry-Today,R$12,0)</f>
        <v>5.1598186643048938E-2</v>
      </c>
      <c r="S84" s="58">
        <f ca="1">_xll.EURO(UnderlyingPrice,$D84*(1-$P$8),IntRate,Yield,$J84,Expiry-Today,S$12,0)</f>
        <v>0.48383895917414677</v>
      </c>
      <c r="U84" s="59">
        <f t="shared" ca="1" si="45"/>
        <v>0.48904726129576126</v>
      </c>
      <c r="V84" s="59"/>
      <c r="W84" s="62">
        <f t="shared" ca="1" si="40"/>
        <v>0.48998863652190527</v>
      </c>
      <c r="Z84" s="59">
        <f t="shared" ca="1" si="46"/>
        <v>0.77549395836054225</v>
      </c>
      <c r="AA84" s="59">
        <f t="shared" ca="1" si="47"/>
        <v>0.10444800110863239</v>
      </c>
      <c r="AB84" s="59">
        <f t="shared" ca="1" si="42"/>
        <v>-1.0909384935588873E-2</v>
      </c>
      <c r="AC84" s="59">
        <f t="shared" ca="1" si="48"/>
        <v>-0.44298990624558654</v>
      </c>
      <c r="AD84" s="60">
        <f t="shared" ca="1" si="43"/>
        <v>0.64211368839296101</v>
      </c>
      <c r="AE84" s="60">
        <f t="shared" ca="1" si="49"/>
        <v>0.49795528592934513</v>
      </c>
      <c r="AF84" s="60"/>
      <c r="AG84" s="96">
        <f t="shared" ca="1" si="50"/>
        <v>0.94126500651579159</v>
      </c>
      <c r="AH84" s="96">
        <f t="shared" ca="1" si="51"/>
        <v>0.9430671872805233</v>
      </c>
      <c r="AI84" s="96">
        <f t="shared" ca="1" si="52"/>
        <v>0.93946246527885902</v>
      </c>
      <c r="AJ84" s="62"/>
      <c r="AK84" s="96">
        <f t="shared" ca="1" si="53"/>
        <v>0.25206796173094859</v>
      </c>
      <c r="AL84" s="96"/>
      <c r="AM84" s="94"/>
      <c r="AN84" s="95"/>
      <c r="AX84" s="106">
        <f t="shared" ca="1" si="54"/>
        <v>0.53868000000000005</v>
      </c>
      <c r="AY84" s="106">
        <f t="shared" ca="1" si="55"/>
        <v>0.53869854400000006</v>
      </c>
      <c r="AZ84" s="106">
        <f t="shared" ca="1" si="56"/>
        <v>0.53866145600000004</v>
      </c>
      <c r="BB84" s="109">
        <f ca="1">_xll.EURO(UnderlyingPrice,$D84,IntRate,Yield,AX84,$D$6,1,0)</f>
        <v>5.2459921858827085E-2</v>
      </c>
      <c r="BC84" s="109">
        <f ca="1">_xll.EURO(UnderlyingPrice,$D84*(1+$P$8),IntRate,Yield,AY84,$D$6,1,0)</f>
        <v>5.2301301279542467E-2</v>
      </c>
      <c r="BD84" s="109">
        <f ca="1">_xll.EURO(UnderlyingPrice,$D84*(1-$P$8),IntRate,Yield,AZ84,$D$6,1,0)</f>
        <v>5.2618954809053431E-2</v>
      </c>
      <c r="BF84" s="59">
        <f t="shared" ca="1" si="57"/>
        <v>0.47966851049660453</v>
      </c>
      <c r="BG84" s="62">
        <f t="shared" ca="1" si="58"/>
        <v>0.48059183240898268</v>
      </c>
      <c r="BI84" s="96">
        <f t="shared" ca="1" si="59"/>
        <v>0.94154700140354775</v>
      </c>
      <c r="BJ84" s="96">
        <f t="shared" ca="1" si="60"/>
        <v>0.94334979422967125</v>
      </c>
      <c r="BK84" s="96">
        <f t="shared" ca="1" si="61"/>
        <v>0.93974384798279886</v>
      </c>
      <c r="BL84" s="62"/>
      <c r="BM84" s="96">
        <f t="shared" ca="1" si="62"/>
        <v>0.24714996647335172</v>
      </c>
      <c r="BO84" s="58">
        <f t="shared" ca="1" si="63"/>
        <v>1.0187275039864607E-3</v>
      </c>
      <c r="BP84" s="46">
        <f t="shared" ca="1" si="64"/>
        <v>1.9419157861651413E-2</v>
      </c>
    </row>
    <row r="85" spans="3:68" x14ac:dyDescent="0.2">
      <c r="C85" s="56">
        <v>72</v>
      </c>
      <c r="D85" s="63">
        <f t="shared" ca="1" si="65"/>
        <v>4.652000000000001</v>
      </c>
      <c r="E85" s="45">
        <f t="shared" ca="1" si="44"/>
        <v>0.10709186101856294</v>
      </c>
      <c r="F85" s="45">
        <f t="shared" ca="1" si="36"/>
        <v>0.10731327939076651</v>
      </c>
      <c r="G85" s="45">
        <f t="shared" ca="1" si="37"/>
        <v>0.10687044264635914</v>
      </c>
      <c r="H85" s="45">
        <f t="shared" ca="1" si="38"/>
        <v>0.5349993019578253</v>
      </c>
      <c r="I85" s="45">
        <f t="shared" ca="1" si="41"/>
        <v>0.53497770055368088</v>
      </c>
      <c r="J85" s="45">
        <f t="shared" ca="1" si="39"/>
        <v>0.53495613458098368</v>
      </c>
      <c r="L85" s="58">
        <f ca="1">_xll.EURO(UnderlyingPrice,$D85,IntRate,Yield,$I85,$D$6,L$12,0)</f>
        <v>4.8797583254550414E-2</v>
      </c>
      <c r="M85" s="58">
        <f ca="1">_xll.EURO(UnderlyingPrice,$D85,IntRate,Yield,$I85,$D$6,M$12,0)</f>
        <v>0.49793303493610086</v>
      </c>
      <c r="O85" s="58">
        <f ca="1">_xll.EURO(UnderlyingPrice,$D85*(1+$P$8),IntRate,Yield,$H85,Expiry-Today,O$12,0)</f>
        <v>4.8647615442078629E-2</v>
      </c>
      <c r="P85" s="58">
        <f ca="1">_xll.EURO(UnderlyingPrice,$D85*(1+$P$8),IntRate,Yield,$H85,Expiry-Today,P$12,0)</f>
        <v>0.4987116796219504</v>
      </c>
      <c r="R85" s="58">
        <f ca="1">_xll.EURO(UnderlyingPrice,$D85*(1-$P$8),IntRate,Yield,$J85,Expiry-Today,R$12,0)</f>
        <v>4.8947959439150313E-2</v>
      </c>
      <c r="S85" s="58">
        <f ca="1">_xll.EURO(UnderlyingPrice,$D85*(1-$P$8),IntRate,Yield,$J85,Expiry-Today,S$12,0)</f>
        <v>0.49715479862237988</v>
      </c>
      <c r="U85" s="59">
        <f t="shared" ca="1" si="45"/>
        <v>0.47175519339655536</v>
      </c>
      <c r="V85" s="59"/>
      <c r="W85" s="62">
        <f t="shared" ca="1" si="40"/>
        <v>0.47266328283292519</v>
      </c>
      <c r="Z85" s="59">
        <f t="shared" ca="1" si="46"/>
        <v>0.77282673924322309</v>
      </c>
      <c r="AA85" s="59">
        <f t="shared" ca="1" si="47"/>
        <v>0.1078933102875453</v>
      </c>
      <c r="AB85" s="59">
        <f t="shared" ca="1" si="42"/>
        <v>-1.1640966404804528E-2</v>
      </c>
      <c r="AC85" s="59">
        <f t="shared" ca="1" si="48"/>
        <v>-0.47269673283318075</v>
      </c>
      <c r="AD85" s="60">
        <f t="shared" ca="1" si="43"/>
        <v>0.62331907472674064</v>
      </c>
      <c r="AE85" s="60">
        <f t="shared" ca="1" si="49"/>
        <v>0.48171764802916989</v>
      </c>
      <c r="AF85" s="60"/>
      <c r="AG85" s="96">
        <f t="shared" ca="1" si="50"/>
        <v>0.97231346060124124</v>
      </c>
      <c r="AH85" s="96">
        <f t="shared" ca="1" si="51"/>
        <v>0.97411564136597217</v>
      </c>
      <c r="AI85" s="96">
        <f t="shared" ca="1" si="52"/>
        <v>0.97051091936430578</v>
      </c>
      <c r="AJ85" s="62"/>
      <c r="AK85" s="96">
        <f t="shared" ca="1" si="53"/>
        <v>0.24399435970066952</v>
      </c>
      <c r="AL85" s="96"/>
      <c r="AM85" s="94"/>
      <c r="AN85" s="95"/>
      <c r="AX85" s="106">
        <f t="shared" ca="1" si="54"/>
        <v>0.53900000000000003</v>
      </c>
      <c r="AY85" s="106">
        <f t="shared" ca="1" si="55"/>
        <v>0.53901860800000001</v>
      </c>
      <c r="AZ85" s="106">
        <f t="shared" ca="1" si="56"/>
        <v>0.53898139200000006</v>
      </c>
      <c r="BB85" s="109">
        <f ca="1">_xll.EURO(UnderlyingPrice,$D85,IntRate,Yield,AX85,$D$6,1,0)</f>
        <v>4.9779886770292325E-2</v>
      </c>
      <c r="BC85" s="109">
        <f ca="1">_xll.EURO(UnderlyingPrice,$D85*(1+$P$8),IntRate,Yield,AY85,$D$6,1,0)</f>
        <v>4.962773465553949E-2</v>
      </c>
      <c r="BD85" s="109">
        <f ca="1">_xll.EURO(UnderlyingPrice,$D85*(1-$P$8),IntRate,Yield,AZ85,$D$6,1,0)</f>
        <v>4.9932440354413576E-2</v>
      </c>
      <c r="BF85" s="59">
        <f t="shared" ca="1" si="57"/>
        <v>0.46378106266693853</v>
      </c>
      <c r="BG85" s="62">
        <f t="shared" ca="1" si="58"/>
        <v>0.46467380256613072</v>
      </c>
      <c r="BI85" s="96">
        <f t="shared" ca="1" si="59"/>
        <v>0.97260600024698873</v>
      </c>
      <c r="BJ85" s="96">
        <f t="shared" ca="1" si="60"/>
        <v>0.97440879307311135</v>
      </c>
      <c r="BK85" s="96">
        <f t="shared" ca="1" si="61"/>
        <v>0.97080284682623696</v>
      </c>
      <c r="BL85" s="62"/>
      <c r="BM85" s="96">
        <f t="shared" ca="1" si="62"/>
        <v>0.23978865812671069</v>
      </c>
      <c r="BO85" s="58">
        <f t="shared" ca="1" si="63"/>
        <v>9.8230351574191133E-4</v>
      </c>
      <c r="BP85" s="46">
        <f t="shared" ca="1" si="64"/>
        <v>1.9732939937664364E-2</v>
      </c>
    </row>
    <row r="86" spans="3:68" x14ac:dyDescent="0.2">
      <c r="C86" s="56">
        <v>73</v>
      </c>
      <c r="D86" s="63">
        <f t="shared" ca="1" si="65"/>
        <v>4.668000000000001</v>
      </c>
      <c r="E86" s="45">
        <f t="shared" ca="1" si="44"/>
        <v>0.11089957163255626</v>
      </c>
      <c r="F86" s="45">
        <f t="shared" ca="1" si="36"/>
        <v>0.11112175154688253</v>
      </c>
      <c r="G86" s="45">
        <f t="shared" ca="1" si="37"/>
        <v>0.11067739171822977</v>
      </c>
      <c r="H86" s="45">
        <f t="shared" ca="1" si="38"/>
        <v>0.53537631994072554</v>
      </c>
      <c r="I86" s="45">
        <f t="shared" ca="1" si="41"/>
        <v>0.53535404524194552</v>
      </c>
      <c r="J86" s="45">
        <f t="shared" ca="1" si="39"/>
        <v>0.53533180484387843</v>
      </c>
      <c r="L86" s="58">
        <f ca="1">_xll.EURO(UnderlyingPrice,$D86,IntRate,Yield,$I86,$D$6,L$12,0)</f>
        <v>4.6274746557340873E-2</v>
      </c>
      <c r="M86" s="58">
        <f ca="1">_xll.EURO(UnderlyingPrice,$D86,IntRate,Yield,$I86,$D$6,M$12,0)</f>
        <v>0.51137945874312418</v>
      </c>
      <c r="O86" s="58">
        <f ca="1">_xll.EURO(UnderlyingPrice,$D86*(1+$P$8),IntRate,Yield,$H86,Expiry-Today,O$12,0)</f>
        <v>4.6131175427226667E-2</v>
      </c>
      <c r="P86" s="58">
        <f ca="1">_xll.EURO(UnderlyingPrice,$D86*(1+$P$8),IntRate,Yield,$H86,Expiry-Today,P$12,0)</f>
        <v>0.51216769396343187</v>
      </c>
      <c r="R86" s="58">
        <f ca="1">_xll.EURO(UnderlyingPrice,$D86*(1-$P$8),IntRate,Yield,$J86,Expiry-Today,R$12,0)</f>
        <v>4.6418714009466067E-2</v>
      </c>
      <c r="S86" s="58">
        <f ca="1">_xll.EURO(UnderlyingPrice,$D86*(1-$P$8),IntRate,Yield,$J86,Expiry-Today,S$12,0)</f>
        <v>0.51059161984482726</v>
      </c>
      <c r="U86" s="59">
        <f t="shared" ca="1" si="45"/>
        <v>0.45470162558568572</v>
      </c>
      <c r="V86" s="59"/>
      <c r="W86" s="62">
        <f t="shared" ca="1" si="40"/>
        <v>0.45557688832507748</v>
      </c>
      <c r="Z86" s="59">
        <f t="shared" ca="1" si="46"/>
        <v>0.77017780440434314</v>
      </c>
      <c r="AA86" s="59">
        <f t="shared" ca="1" si="47"/>
        <v>0.11132679005543684</v>
      </c>
      <c r="AB86" s="59">
        <f t="shared" ca="1" si="42"/>
        <v>-1.2393654184047313E-2</v>
      </c>
      <c r="AC86" s="59">
        <f t="shared" ca="1" si="48"/>
        <v>-0.50326060886538726</v>
      </c>
      <c r="AD86" s="60">
        <f t="shared" ca="1" si="43"/>
        <v>0.60455622115166474</v>
      </c>
      <c r="AE86" s="60">
        <f t="shared" ca="1" si="49"/>
        <v>0.46561578304557566</v>
      </c>
      <c r="AF86" s="60"/>
      <c r="AG86" s="96">
        <f t="shared" ca="1" si="50"/>
        <v>1.0032553103426738</v>
      </c>
      <c r="AH86" s="96">
        <f t="shared" ca="1" si="51"/>
        <v>1.0050574911074037</v>
      </c>
      <c r="AI86" s="96">
        <f t="shared" ca="1" si="52"/>
        <v>1.0014527691057391</v>
      </c>
      <c r="AJ86" s="62"/>
      <c r="AK86" s="96">
        <f t="shared" ca="1" si="53"/>
        <v>0.23598301491426063</v>
      </c>
      <c r="AL86" s="96"/>
      <c r="AM86" s="94"/>
      <c r="AN86" s="95"/>
      <c r="AX86" s="106">
        <f t="shared" ca="1" si="54"/>
        <v>0.53932000000000002</v>
      </c>
      <c r="AY86" s="106">
        <f t="shared" ca="1" si="55"/>
        <v>0.53933867200000007</v>
      </c>
      <c r="AZ86" s="106">
        <f t="shared" ca="1" si="56"/>
        <v>0.53930132800000008</v>
      </c>
      <c r="BB86" s="109">
        <f ca="1">_xll.EURO(UnderlyingPrice,$D86,IntRate,Yield,AX86,$D$6,1,0)</f>
        <v>4.7218583607541387E-2</v>
      </c>
      <c r="BC86" s="109">
        <f ca="1">_xll.EURO(UnderlyingPrice,$D86*(1+$P$8),IntRate,Yield,AY86,$D$6,1,0)</f>
        <v>4.7072712298334096E-2</v>
      </c>
      <c r="BD86" s="109">
        <f ca="1">_xll.EURO(UnderlyingPrice,$D86*(1-$P$8),IntRate,Yield,AZ86,$D$6,1,0)</f>
        <v>4.736484546765396E-2</v>
      </c>
      <c r="BF86" s="59">
        <f t="shared" ca="1" si="57"/>
        <v>0.44808041588124098</v>
      </c>
      <c r="BG86" s="62">
        <f t="shared" ca="1" si="58"/>
        <v>0.4489429333436909</v>
      </c>
      <c r="BI86" s="96">
        <f t="shared" ca="1" si="59"/>
        <v>1.0035583585411636</v>
      </c>
      <c r="BJ86" s="96">
        <f t="shared" ca="1" si="60"/>
        <v>1.0053611513672853</v>
      </c>
      <c r="BK86" s="96">
        <f t="shared" ca="1" si="61"/>
        <v>1.0017552051204126</v>
      </c>
      <c r="BL86" s="62"/>
      <c r="BM86" s="96">
        <f t="shared" ca="1" si="62"/>
        <v>0.23246775956971977</v>
      </c>
      <c r="BO86" s="58">
        <f t="shared" ca="1" si="63"/>
        <v>9.4383705020051334E-4</v>
      </c>
      <c r="BP86" s="46">
        <f t="shared" ca="1" si="64"/>
        <v>1.9988677721577634E-2</v>
      </c>
    </row>
    <row r="87" spans="3:68" x14ac:dyDescent="0.2">
      <c r="C87" s="56">
        <v>74</v>
      </c>
      <c r="D87" s="63">
        <f t="shared" ca="1" si="65"/>
        <v>4.6840000000000011</v>
      </c>
      <c r="E87" s="45">
        <f t="shared" ca="1" si="44"/>
        <v>0.11470728224654958</v>
      </c>
      <c r="F87" s="45">
        <f t="shared" ca="1" si="36"/>
        <v>0.11493022370299877</v>
      </c>
      <c r="G87" s="45">
        <f t="shared" ca="1" si="37"/>
        <v>0.11448434079010017</v>
      </c>
      <c r="H87" s="45">
        <f t="shared" ca="1" si="38"/>
        <v>0.53576339283366392</v>
      </c>
      <c r="I87" s="45">
        <f t="shared" ca="1" si="41"/>
        <v>0.53574046438209233</v>
      </c>
      <c r="J87" s="45">
        <f t="shared" ca="1" si="39"/>
        <v>0.5357175690824556</v>
      </c>
      <c r="L87" s="58">
        <f ca="1">_xll.EURO(UnderlyingPrice,$D87,IntRate,Yield,$I87,$D$6,L$12,0)</f>
        <v>4.3868319134907297E-2</v>
      </c>
      <c r="M87" s="58">
        <f ca="1">_xll.EURO(UnderlyingPrice,$D87,IntRate,Yield,$I87,$D$6,M$12,0)</f>
        <v>0.52494229182492314</v>
      </c>
      <c r="O87" s="58">
        <f ca="1">_xll.EURO(UnderlyingPrice,$D87*(1+$P$8),IntRate,Yield,$H87,Expiry-Today,O$12,0)</f>
        <v>4.3730938487717363E-2</v>
      </c>
      <c r="P87" s="58">
        <f ca="1">_xll.EURO(UnderlyingPrice,$D87*(1+$P$8),IntRate,Yield,$H87,Expiry-Today,P$12,0)</f>
        <v>0.52573991138025589</v>
      </c>
      <c r="R87" s="58">
        <f ca="1">_xll.EURO(UnderlyingPrice,$D87*(1-$P$8),IntRate,Yield,$J87,Expiry-Today,R$12,0)</f>
        <v>4.400608409297746E-2</v>
      </c>
      <c r="S87" s="58">
        <f ca="1">_xll.EURO(UnderlyingPrice,$D87*(1-$P$8),IntRate,Yield,$J87,Expiry-Today,S$12,0)</f>
        <v>0.52414505658047084</v>
      </c>
      <c r="U87" s="59">
        <f t="shared" ca="1" si="45"/>
        <v>0.437914086845405</v>
      </c>
      <c r="V87" s="59"/>
      <c r="W87" s="62">
        <f t="shared" ca="1" si="40"/>
        <v>0.43875703497161161</v>
      </c>
      <c r="Z87" s="59">
        <f t="shared" ca="1" si="46"/>
        <v>0.76754696647298759</v>
      </c>
      <c r="AA87" s="59">
        <f t="shared" ca="1" si="47"/>
        <v>0.11474852136659817</v>
      </c>
      <c r="AB87" s="59">
        <f t="shared" ca="1" si="42"/>
        <v>-1.3167223155820638E-2</v>
      </c>
      <c r="AC87" s="59">
        <f t="shared" ca="1" si="48"/>
        <v>-0.53467239315053527</v>
      </c>
      <c r="AD87" s="60">
        <f t="shared" ca="1" si="43"/>
        <v>0.58586119084804245</v>
      </c>
      <c r="AE87" s="60">
        <f t="shared" ca="1" si="49"/>
        <v>0.449675979809667</v>
      </c>
      <c r="AF87" s="60"/>
      <c r="AG87" s="96">
        <f t="shared" ca="1" si="50"/>
        <v>1.0340912852843653</v>
      </c>
      <c r="AH87" s="96">
        <f t="shared" ca="1" si="51"/>
        <v>1.0358934660490964</v>
      </c>
      <c r="AI87" s="96">
        <f t="shared" ca="1" si="52"/>
        <v>1.0322887440474298</v>
      </c>
      <c r="AJ87" s="62"/>
      <c r="AK87" s="96">
        <f t="shared" ca="1" si="53"/>
        <v>0.22804953623129348</v>
      </c>
      <c r="AL87" s="96"/>
      <c r="AM87" s="94"/>
      <c r="AN87" s="95"/>
      <c r="AX87" s="106">
        <f t="shared" ca="1" si="54"/>
        <v>0.53964000000000001</v>
      </c>
      <c r="AY87" s="106">
        <f t="shared" ca="1" si="55"/>
        <v>0.53965873600000003</v>
      </c>
      <c r="AZ87" s="106">
        <f t="shared" ca="1" si="56"/>
        <v>0.5396212640000001</v>
      </c>
      <c r="BB87" s="109">
        <f ca="1">_xll.EURO(UnderlyingPrice,$D87,IntRate,Yield,AX87,$D$6,1,0)</f>
        <v>4.4771993474397864E-2</v>
      </c>
      <c r="BC87" s="109">
        <f ca="1">_xll.EURO(UnderlyingPrice,$D87*(1+$P$8),IntRate,Yield,AY87,$D$6,1,0)</f>
        <v>4.4632215864052194E-2</v>
      </c>
      <c r="BD87" s="109">
        <f ca="1">_xll.EURO(UnderlyingPrice,$D87*(1-$P$8),IntRate,Yield,AZ87,$D$6,1,0)</f>
        <v>4.4912150722054678E-2</v>
      </c>
      <c r="BF87" s="59">
        <f t="shared" ca="1" si="57"/>
        <v>0.43258865411776098</v>
      </c>
      <c r="BG87" s="62">
        <f t="shared" ca="1" si="58"/>
        <v>0.43342135122973019</v>
      </c>
      <c r="BI87" s="96">
        <f t="shared" ca="1" si="59"/>
        <v>1.0344048060781184</v>
      </c>
      <c r="BJ87" s="96">
        <f t="shared" ca="1" si="60"/>
        <v>1.0362075989042412</v>
      </c>
      <c r="BK87" s="96">
        <f t="shared" ca="1" si="61"/>
        <v>1.0326016526573665</v>
      </c>
      <c r="BL87" s="62"/>
      <c r="BM87" s="96">
        <f t="shared" ca="1" si="62"/>
        <v>0.22519976396426775</v>
      </c>
      <c r="BO87" s="58">
        <f t="shared" ca="1" si="63"/>
        <v>9.0367433949056775E-4</v>
      </c>
      <c r="BP87" s="46">
        <f t="shared" ca="1" si="64"/>
        <v>2.0183920110846063E-2</v>
      </c>
    </row>
    <row r="88" spans="3:68" x14ac:dyDescent="0.2">
      <c r="C88" s="56">
        <v>75</v>
      </c>
      <c r="D88" s="63">
        <f t="shared" ca="1" si="65"/>
        <v>4.7000000000000011</v>
      </c>
      <c r="E88" s="45">
        <f t="shared" ca="1" si="44"/>
        <v>0.1185149928605429</v>
      </c>
      <c r="F88" s="45">
        <f t="shared" ca="1" si="36"/>
        <v>0.11873869585911501</v>
      </c>
      <c r="G88" s="45">
        <f t="shared" ca="1" si="37"/>
        <v>0.11829128986197079</v>
      </c>
      <c r="H88" s="45">
        <f t="shared" ca="1" si="38"/>
        <v>0.53616011657936047</v>
      </c>
      <c r="I88" s="45">
        <f t="shared" ca="1" si="41"/>
        <v>0.53613655415917916</v>
      </c>
      <c r="J88" s="45">
        <f t="shared" ca="1" si="39"/>
        <v>0.53611302372401293</v>
      </c>
      <c r="L88" s="58">
        <f ca="1">_xll.EURO(UnderlyingPrice,$D88,IntRate,Yield,$I88,$D$6,L$12,0)</f>
        <v>4.1574003905501256E-2</v>
      </c>
      <c r="M88" s="58">
        <f ca="1">_xll.EURO(UnderlyingPrice,$D88,IntRate,Yield,$I88,$D$6,M$12,0)</f>
        <v>0.53861723709975085</v>
      </c>
      <c r="O88" s="58">
        <f ca="1">_xll.EURO(UnderlyingPrice,$D88*(1+$P$8),IntRate,Yield,$H88,Expiry-Today,O$12,0)</f>
        <v>4.1442609146594145E-2</v>
      </c>
      <c r="P88" s="58">
        <f ca="1">_xll.EURO(UnderlyingPrice,$D88*(1+$P$8),IntRate,Yield,$H88,Expiry-Today,P$12,0)</f>
        <v>0.53942403639546654</v>
      </c>
      <c r="R88" s="58">
        <f ca="1">_xll.EURO(UnderlyingPrice,$D88*(1-$P$8),IntRate,Yield,$J88,Expiry-Today,R$12,0)</f>
        <v>4.1705771028846428E-2</v>
      </c>
      <c r="S88" s="58">
        <f ca="1">_xll.EURO(UnderlyingPrice,$D88*(1-$P$8),IntRate,Yield,$J88,Expiry-Today,S$12,0)</f>
        <v>0.53781081016847132</v>
      </c>
      <c r="U88" s="59">
        <f t="shared" ca="1" si="45"/>
        <v>0.42141742650695468</v>
      </c>
      <c r="V88" s="59"/>
      <c r="W88" s="62">
        <f t="shared" ca="1" si="40"/>
        <v>0.42222861993666105</v>
      </c>
      <c r="Z88" s="59">
        <f t="shared" ca="1" si="46"/>
        <v>0.76493404062967529</v>
      </c>
      <c r="AA88" s="59">
        <f t="shared" ca="1" si="47"/>
        <v>0.11815858434714016</v>
      </c>
      <c r="AB88" s="59">
        <f t="shared" ca="1" si="42"/>
        <v>-1.3961451054920236E-2</v>
      </c>
      <c r="AC88" s="59">
        <f t="shared" ca="1" si="48"/>
        <v>-0.56692306031803019</v>
      </c>
      <c r="AD88" s="60">
        <f t="shared" ca="1" si="43"/>
        <v>0.56726820618326956</v>
      </c>
      <c r="AE88" s="60">
        <f t="shared" ca="1" si="49"/>
        <v>0.43392276107651612</v>
      </c>
      <c r="AF88" s="60"/>
      <c r="AG88" s="96">
        <f t="shared" ca="1" si="50"/>
        <v>1.0648221075071931</v>
      </c>
      <c r="AH88" s="96">
        <f t="shared" ca="1" si="51"/>
        <v>1.066624288271925</v>
      </c>
      <c r="AI88" s="96">
        <f t="shared" ca="1" si="52"/>
        <v>1.0630195662702584</v>
      </c>
      <c r="AJ88" s="62"/>
      <c r="AK88" s="96">
        <f t="shared" ca="1" si="53"/>
        <v>0.22020832816342573</v>
      </c>
      <c r="AL88" s="96"/>
      <c r="AM88" s="94"/>
      <c r="AN88" s="95"/>
      <c r="AX88" s="106">
        <f t="shared" ca="1" si="54"/>
        <v>0.53996000000000011</v>
      </c>
      <c r="AY88" s="106">
        <f t="shared" ca="1" si="55"/>
        <v>0.53997880000000009</v>
      </c>
      <c r="AZ88" s="106">
        <f t="shared" ca="1" si="56"/>
        <v>0.53994120000000001</v>
      </c>
      <c r="BB88" s="109">
        <f ca="1">_xll.EURO(UnderlyingPrice,$D88,IntRate,Yield,AX88,$D$6,1,0)</f>
        <v>4.2436150910790893E-2</v>
      </c>
      <c r="BC88" s="109">
        <f ca="1">_xll.EURO(UnderlyingPrice,$D88*(1+$P$8),IntRate,Yield,AY88,$D$6,1,0)</f>
        <v>4.2302280803486414E-2</v>
      </c>
      <c r="BD88" s="109">
        <f ca="1">_xll.EURO(UnderlyingPrice,$D88*(1-$P$8),IntRate,Yield,AZ88,$D$6,1,0)</f>
        <v>4.2570389767395467E-2</v>
      </c>
      <c r="BF88" s="59">
        <f t="shared" ca="1" si="57"/>
        <v>0.417326052619719</v>
      </c>
      <c r="BG88" s="62">
        <f t="shared" ca="1" si="58"/>
        <v>0.41812937049562277</v>
      </c>
      <c r="BI88" s="96">
        <f t="shared" ca="1" si="59"/>
        <v>1.0651460651839653</v>
      </c>
      <c r="BJ88" s="96">
        <f t="shared" ca="1" si="60"/>
        <v>1.066948858010089</v>
      </c>
      <c r="BK88" s="96">
        <f t="shared" ca="1" si="61"/>
        <v>1.0633429117632143</v>
      </c>
      <c r="BL88" s="62"/>
      <c r="BM88" s="96">
        <f t="shared" ca="1" si="62"/>
        <v>0.21799637673830333</v>
      </c>
      <c r="BO88" s="58">
        <f t="shared" ca="1" si="63"/>
        <v>8.6214700528963739E-4</v>
      </c>
      <c r="BP88" s="46">
        <f t="shared" ca="1" si="64"/>
        <v>2.0316333757555895E-2</v>
      </c>
    </row>
    <row r="89" spans="3:68" x14ac:dyDescent="0.2">
      <c r="C89" s="56">
        <v>76</v>
      </c>
      <c r="D89" s="63">
        <f t="shared" ca="1" si="65"/>
        <v>4.7160000000000011</v>
      </c>
      <c r="E89" s="45">
        <f t="shared" ca="1" si="44"/>
        <v>0.12232270347453622</v>
      </c>
      <c r="F89" s="45">
        <f t="shared" ca="1" si="36"/>
        <v>0.12254716801523102</v>
      </c>
      <c r="G89" s="45">
        <f t="shared" ca="1" si="37"/>
        <v>0.1220982389338412</v>
      </c>
      <c r="H89" s="45">
        <f t="shared" ca="1" si="38"/>
        <v>0.53656608712053511</v>
      </c>
      <c r="I89" s="45">
        <f t="shared" ca="1" si="41"/>
        <v>0.53654191075826274</v>
      </c>
      <c r="J89" s="45">
        <f t="shared" ca="1" si="39"/>
        <v>0.53651776519584848</v>
      </c>
      <c r="L89" s="58">
        <f ca="1">_xll.EURO(UnderlyingPrice,$D89,IntRate,Yield,$I89,$D$6,L$12,0)</f>
        <v>3.9387578196585116E-2</v>
      </c>
      <c r="M89" s="58">
        <f ca="1">_xll.EURO(UnderlyingPrice,$D89,IntRate,Yield,$I89,$D$6,M$12,0)</f>
        <v>0.55240007189506724</v>
      </c>
      <c r="O89" s="58">
        <f ca="1">_xll.EURO(UnderlyingPrice,$D89*(1+$P$8),IntRate,Yield,$H89,Expiry-Today,O$12,0)</f>
        <v>3.9261966747463628E-2</v>
      </c>
      <c r="P89" s="58">
        <f ca="1">_xll.EURO(UnderlyingPrice,$D89*(1+$P$8),IntRate,Yield,$H89,Expiry-Today,P$12,0)</f>
        <v>0.55321584835266968</v>
      </c>
      <c r="R89" s="58">
        <f ca="1">_xll.EURO(UnderlyingPrice,$D89*(1-$P$8),IntRate,Yield,$J89,Expiry-Today,R$12,0)</f>
        <v>3.9513550152392662E-2</v>
      </c>
      <c r="S89" s="58">
        <f ca="1">_xll.EURO(UnderlyingPrice,$D89*(1-$P$8),IntRate,Yield,$J89,Expiry-Today,S$12,0)</f>
        <v>0.55158465594415063</v>
      </c>
      <c r="U89" s="59">
        <f t="shared" ca="1" si="45"/>
        <v>0.40523387221472396</v>
      </c>
      <c r="V89" s="59"/>
      <c r="W89" s="62">
        <f t="shared" ca="1" si="40"/>
        <v>0.40601391365097816</v>
      </c>
      <c r="Z89" s="59">
        <f t="shared" ca="1" si="46"/>
        <v>0.76233884456307766</v>
      </c>
      <c r="AA89" s="59">
        <f t="shared" ca="1" si="47"/>
        <v>0.12155705830625173</v>
      </c>
      <c r="AB89" s="59">
        <f t="shared" ca="1" si="42"/>
        <v>-1.4776118424069482E-2</v>
      </c>
      <c r="AC89" s="59">
        <f t="shared" ca="1" si="48"/>
        <v>-0.60000369901686834</v>
      </c>
      <c r="AD89" s="60">
        <f t="shared" ca="1" si="43"/>
        <v>0.54880960603428164</v>
      </c>
      <c r="AE89" s="60">
        <f t="shared" ca="1" si="49"/>
        <v>0.4183788809492921</v>
      </c>
      <c r="AF89" s="60"/>
      <c r="AG89" s="96">
        <f t="shared" ca="1" si="50"/>
        <v>1.0954484917300935</v>
      </c>
      <c r="AH89" s="96">
        <f t="shared" ca="1" si="51"/>
        <v>1.0972506724948248</v>
      </c>
      <c r="AI89" s="96">
        <f t="shared" ca="1" si="52"/>
        <v>1.0936459504931579</v>
      </c>
      <c r="AJ89" s="62"/>
      <c r="AK89" s="96">
        <f t="shared" ca="1" si="53"/>
        <v>0.21247259743110508</v>
      </c>
      <c r="AL89" s="96"/>
      <c r="AM89" s="94"/>
      <c r="AN89" s="95"/>
      <c r="AX89" s="106">
        <f t="shared" ca="1" si="54"/>
        <v>0.54028000000000009</v>
      </c>
      <c r="AY89" s="106">
        <f t="shared" ca="1" si="55"/>
        <v>0.54029886400000005</v>
      </c>
      <c r="AZ89" s="106">
        <f t="shared" ca="1" si="56"/>
        <v>0.54026113600000003</v>
      </c>
      <c r="BB89" s="109">
        <f ca="1">_xll.EURO(UnderlyingPrice,$D89,IntRate,Yield,AX89,$D$6,1,0)</f>
        <v>4.0207149083433813E-2</v>
      </c>
      <c r="BC89" s="109">
        <f ca="1">_xll.EURO(UnderlyingPrice,$D89*(1+$P$8),IntRate,Yield,AY89,$D$6,1,0)</f>
        <v>4.0079001530990532E-2</v>
      </c>
      <c r="BD89" s="109">
        <f ca="1">_xll.EURO(UnderlyingPrice,$D89*(1-$P$8),IntRate,Yield,AZ89,$D$6,1,0)</f>
        <v>4.0335654542385524E-2</v>
      </c>
      <c r="BF89" s="59">
        <f t="shared" ca="1" si="57"/>
        <v>0.40231109688295735</v>
      </c>
      <c r="BG89" s="62">
        <f t="shared" ca="1" si="58"/>
        <v>0.40308551222025008</v>
      </c>
      <c r="BI89" s="96">
        <f t="shared" ca="1" si="59"/>
        <v>1.0957828508203753</v>
      </c>
      <c r="BJ89" s="96">
        <f t="shared" ca="1" si="60"/>
        <v>1.0975856436464984</v>
      </c>
      <c r="BK89" s="96">
        <f t="shared" ca="1" si="61"/>
        <v>1.0939796973996234</v>
      </c>
      <c r="BL89" s="62"/>
      <c r="BM89" s="96">
        <f t="shared" ca="1" si="62"/>
        <v>0.21086850945469793</v>
      </c>
      <c r="BO89" s="58">
        <f t="shared" ca="1" si="63"/>
        <v>8.1957088684869728E-4</v>
      </c>
      <c r="BP89" s="46">
        <f t="shared" ca="1" si="64"/>
        <v>2.038371049755372E-2</v>
      </c>
    </row>
    <row r="90" spans="3:68" x14ac:dyDescent="0.2">
      <c r="C90" s="56">
        <v>77</v>
      </c>
      <c r="D90" s="63">
        <f t="shared" ca="1" si="65"/>
        <v>4.7320000000000011</v>
      </c>
      <c r="E90" s="45">
        <f t="shared" ca="1" si="44"/>
        <v>0.12613041408852954</v>
      </c>
      <c r="F90" s="45">
        <f t="shared" ca="1" si="36"/>
        <v>0.12635564017134726</v>
      </c>
      <c r="G90" s="45">
        <f t="shared" ca="1" si="37"/>
        <v>0.12590518800571182</v>
      </c>
      <c r="H90" s="45">
        <f t="shared" ca="1" si="38"/>
        <v>0.53698090039990765</v>
      </c>
      <c r="I90" s="45">
        <f t="shared" ca="1" si="41"/>
        <v>0.53695613036440082</v>
      </c>
      <c r="J90" s="45">
        <f t="shared" ca="1" si="39"/>
        <v>0.53693138992525991</v>
      </c>
      <c r="L90" s="58">
        <f ca="1">_xll.EURO(UnderlyingPrice,$D90,IntRate,Yield,$I90,$D$6,L$12,0)</f>
        <v>3.7304899436132355E-2</v>
      </c>
      <c r="M90" s="58">
        <f ca="1">_xll.EURO(UnderlyingPrice,$D90,IntRate,Yield,$I90,$D$6,M$12,0)</f>
        <v>0.56628665363884689</v>
      </c>
      <c r="O90" s="58">
        <f ca="1">_xll.EURO(UnderlyingPrice,$D90*(1+$P$8),IntRate,Yield,$H90,Expiry-Today,O$12,0)</f>
        <v>3.7184871112601159E-2</v>
      </c>
      <c r="P90" s="58">
        <f ca="1">_xll.EURO(UnderlyingPrice,$D90*(1+$P$8),IntRate,Yield,$H90,Expiry-Today,P$12,0)</f>
        <v>0.56711120707414198</v>
      </c>
      <c r="R90" s="58">
        <f ca="1">_xll.EURO(UnderlyingPrice,$D90*(1-$P$8),IntRate,Yield,$J90,Expiry-Today,R$12,0)</f>
        <v>3.7425276519572392E-2</v>
      </c>
      <c r="S90" s="58">
        <f ca="1">_xll.EURO(UnderlyingPrice,$D90*(1-$P$8),IntRate,Yield,$J90,Expiry-Today,S$12,0)</f>
        <v>0.56546244896346121</v>
      </c>
      <c r="U90" s="59">
        <f t="shared" ca="1" si="45"/>
        <v>0.38938309451858705</v>
      </c>
      <c r="V90" s="59"/>
      <c r="W90" s="62">
        <f t="shared" ca="1" si="40"/>
        <v>0.3901326245286067</v>
      </c>
      <c r="Z90" s="59">
        <f t="shared" ca="1" si="46"/>
        <v>0.75976119842761491</v>
      </c>
      <c r="AA90" s="59">
        <f t="shared" ca="1" si="47"/>
        <v>0.12494402174726757</v>
      </c>
      <c r="AB90" s="59">
        <f t="shared" ca="1" si="42"/>
        <v>-1.5611008570381672E-2</v>
      </c>
      <c r="AC90" s="59">
        <f t="shared" ca="1" si="48"/>
        <v>-0.63390551014772989</v>
      </c>
      <c r="AD90" s="60">
        <f t="shared" ca="1" si="43"/>
        <v>0.53051581485471133</v>
      </c>
      <c r="AE90" s="60">
        <f t="shared" ca="1" si="49"/>
        <v>0.40306533127881816</v>
      </c>
      <c r="AF90" s="60"/>
      <c r="AG90" s="96">
        <f t="shared" ca="1" si="50"/>
        <v>1.1259711454098014</v>
      </c>
      <c r="AH90" s="96">
        <f t="shared" ca="1" si="51"/>
        <v>1.1277733261745333</v>
      </c>
      <c r="AI90" s="96">
        <f t="shared" ca="1" si="52"/>
        <v>1.1241686041728665</v>
      </c>
      <c r="AJ90" s="62"/>
      <c r="AK90" s="96">
        <f t="shared" ca="1" si="53"/>
        <v>0.20485436362812107</v>
      </c>
      <c r="AL90" s="96"/>
      <c r="AM90" s="94"/>
      <c r="AN90" s="95"/>
      <c r="AX90" s="106">
        <f t="shared" ca="1" si="54"/>
        <v>0.54060000000000008</v>
      </c>
      <c r="AY90" s="106">
        <f t="shared" ca="1" si="55"/>
        <v>0.54061892800000011</v>
      </c>
      <c r="AZ90" s="106">
        <f t="shared" ca="1" si="56"/>
        <v>0.54058107200000005</v>
      </c>
      <c r="BB90" s="109">
        <f ca="1">_xll.EURO(UnderlyingPrice,$D90,IntRate,Yield,AX90,$D$6,1,0)</f>
        <v>3.8081144519203858E-2</v>
      </c>
      <c r="BC90" s="109">
        <f ca="1">_xll.EURO(UnderlyingPrice,$D90*(1+$P$8),IntRate,Yield,AY90,$D$6,1,0)</f>
        <v>3.7958536136015852E-2</v>
      </c>
      <c r="BD90" s="109">
        <f ca="1">_xll.EURO(UnderlyingPrice,$D90*(1-$P$8),IntRate,Yield,AZ90,$D$6,1,0)</f>
        <v>3.8204100029872512E-2</v>
      </c>
      <c r="BF90" s="59">
        <f t="shared" ca="1" si="57"/>
        <v>0.38756052281493569</v>
      </c>
      <c r="BG90" s="62">
        <f t="shared" ca="1" si="58"/>
        <v>0.38830654452629898</v>
      </c>
      <c r="BI90" s="96">
        <f t="shared" ca="1" si="59"/>
        <v>1.1263158706843517</v>
      </c>
      <c r="BJ90" s="96">
        <f t="shared" ca="1" si="60"/>
        <v>1.1281186635104756</v>
      </c>
      <c r="BK90" s="96">
        <f t="shared" ca="1" si="61"/>
        <v>1.1245127172636005</v>
      </c>
      <c r="BL90" s="62"/>
      <c r="BM90" s="96">
        <f t="shared" ca="1" si="62"/>
        <v>0.20382628501916905</v>
      </c>
      <c r="BO90" s="58">
        <f t="shared" ca="1" si="63"/>
        <v>7.7624508307150286E-4</v>
      </c>
      <c r="BP90" s="46">
        <f t="shared" ca="1" si="64"/>
        <v>2.0383974611898861E-2</v>
      </c>
    </row>
    <row r="91" spans="3:68" x14ac:dyDescent="0.2">
      <c r="C91" s="56">
        <v>78</v>
      </c>
      <c r="D91" s="63">
        <f t="shared" ca="1" si="65"/>
        <v>4.7480000000000011</v>
      </c>
      <c r="E91" s="45">
        <f t="shared" ca="1" si="44"/>
        <v>0.12993812470252286</v>
      </c>
      <c r="F91" s="45">
        <f t="shared" ca="1" si="36"/>
        <v>0.1301641123274635</v>
      </c>
      <c r="G91" s="45">
        <f t="shared" ca="1" si="37"/>
        <v>0.12971213707758222</v>
      </c>
      <c r="H91" s="45">
        <f t="shared" ca="1" si="38"/>
        <v>0.53740415236019823</v>
      </c>
      <c r="I91" s="45">
        <f t="shared" ca="1" si="41"/>
        <v>0.53737880916265091</v>
      </c>
      <c r="J91" s="45">
        <f t="shared" ca="1" si="39"/>
        <v>0.53735349433954527</v>
      </c>
      <c r="L91" s="58">
        <f ca="1">_xll.EURO(UnderlyingPrice,$D91,IntRate,Yield,$I91,$D$6,L$12,0)</f>
        <v>3.5321910190533878E-2</v>
      </c>
      <c r="M91" s="58">
        <f ca="1">_xll.EURO(UnderlyingPrice,$D91,IntRate,Yield,$I91,$D$6,M$12,0)</f>
        <v>0.58027292489748161</v>
      </c>
      <c r="O91" s="58">
        <f ca="1">_xll.EURO(UnderlyingPrice,$D91*(1+$P$8),IntRate,Yield,$H91,Expiry-Today,O$12,0)</f>
        <v>3.520726754803738E-2</v>
      </c>
      <c r="P91" s="58">
        <f ca="1">_xll.EURO(UnderlyingPrice,$D91*(1+$P$8),IntRate,Yield,$H91,Expiry-Today,P$12,0)</f>
        <v>0.58110605786591263</v>
      </c>
      <c r="R91" s="58">
        <f ca="1">_xll.EURO(UnderlyingPrice,$D91*(1-$P$8),IntRate,Yield,$J91,Expiry-Today,R$12,0)</f>
        <v>3.5436889977711661E-2</v>
      </c>
      <c r="S91" s="58">
        <f ca="1">_xll.EURO(UnderlyingPrice,$D91*(1-$P$8),IntRate,Yield,$J91,Expiry-Today,S$12,0)</f>
        <v>0.57944012907373299</v>
      </c>
      <c r="U91" s="59">
        <f t="shared" ca="1" si="45"/>
        <v>0.37388229585324656</v>
      </c>
      <c r="V91" s="59"/>
      <c r="W91" s="62">
        <f t="shared" ca="1" si="40"/>
        <v>0.37460198811750245</v>
      </c>
      <c r="Z91" s="59">
        <f t="shared" ca="1" si="46"/>
        <v>0.75720092480191115</v>
      </c>
      <c r="AA91" s="59">
        <f t="shared" ca="1" si="47"/>
        <v>0.12831955237854881</v>
      </c>
      <c r="AB91" s="59">
        <f t="shared" ca="1" si="42"/>
        <v>-1.6465907522631131E-2</v>
      </c>
      <c r="AC91" s="59">
        <f t="shared" ca="1" si="48"/>
        <v>-0.66861980512791674</v>
      </c>
      <c r="AD91" s="60">
        <f t="shared" ca="1" si="43"/>
        <v>0.5124153229524393</v>
      </c>
      <c r="AE91" s="60">
        <f t="shared" ca="1" si="49"/>
        <v>0.38800135642225703</v>
      </c>
      <c r="AF91" s="60"/>
      <c r="AG91" s="96">
        <f t="shared" ca="1" si="50"/>
        <v>1.1563907688389048</v>
      </c>
      <c r="AH91" s="96">
        <f t="shared" ca="1" si="51"/>
        <v>1.1581929496036383</v>
      </c>
      <c r="AI91" s="96">
        <f t="shared" ca="1" si="52"/>
        <v>1.1545882276019692</v>
      </c>
      <c r="AJ91" s="62"/>
      <c r="AK91" s="96">
        <f t="shared" ca="1" si="53"/>
        <v>0.1973644834479186</v>
      </c>
      <c r="AL91" s="96"/>
      <c r="AM91" s="94"/>
      <c r="AN91" s="95"/>
      <c r="AX91" s="106">
        <f t="shared" ca="1" si="54"/>
        <v>0.54092000000000007</v>
      </c>
      <c r="AY91" s="106">
        <f t="shared" ca="1" si="55"/>
        <v>0.54093899200000006</v>
      </c>
      <c r="AZ91" s="106">
        <f t="shared" ca="1" si="56"/>
        <v>0.54090100800000007</v>
      </c>
      <c r="BB91" s="109">
        <f ca="1">_xll.EURO(UnderlyingPrice,$D91,IntRate,Yield,AX91,$D$6,1,0)</f>
        <v>3.6054361390183032E-2</v>
      </c>
      <c r="BC91" s="109">
        <f ca="1">_xll.EURO(UnderlyingPrice,$D91*(1+$P$8),IntRate,Yield,AY91,$D$6,1,0)</f>
        <v>3.5937110646341086E-2</v>
      </c>
      <c r="BD91" s="109">
        <f ca="1">_xll.EURO(UnderlyingPrice,$D91*(1-$P$8),IntRate,Yield,AZ91,$D$6,1,0)</f>
        <v>3.6171948563678114E-2</v>
      </c>
      <c r="BF91" s="59">
        <f t="shared" ca="1" si="57"/>
        <v>0.37308935329671017</v>
      </c>
      <c r="BG91" s="62">
        <f t="shared" ca="1" si="58"/>
        <v>0.3738075192126199</v>
      </c>
      <c r="BI91" s="96">
        <f t="shared" ca="1" si="59"/>
        <v>1.1567458253063179</v>
      </c>
      <c r="BJ91" s="96">
        <f t="shared" ca="1" si="60"/>
        <v>1.1585486181324427</v>
      </c>
      <c r="BK91" s="96">
        <f t="shared" ca="1" si="61"/>
        <v>1.1549426718855658</v>
      </c>
      <c r="BL91" s="62"/>
      <c r="BM91" s="96">
        <f t="shared" ca="1" si="62"/>
        <v>0.1968790414176235</v>
      </c>
      <c r="BO91" s="58">
        <f t="shared" ca="1" si="63"/>
        <v>7.3245119964915339E-4</v>
      </c>
      <c r="BP91" s="46">
        <f t="shared" ca="1" si="64"/>
        <v>2.0315189935622795E-2</v>
      </c>
    </row>
    <row r="92" spans="3:68" x14ac:dyDescent="0.2">
      <c r="C92" s="56">
        <v>79</v>
      </c>
      <c r="D92" s="63">
        <f t="shared" ca="1" si="65"/>
        <v>4.7640000000000011</v>
      </c>
      <c r="E92" s="45">
        <f t="shared" ca="1" si="44"/>
        <v>0.13374583531651618</v>
      </c>
      <c r="F92" s="45">
        <f t="shared" ca="1" si="36"/>
        <v>0.13397258448357952</v>
      </c>
      <c r="G92" s="45">
        <f t="shared" ca="1" si="37"/>
        <v>0.13351908614945285</v>
      </c>
      <c r="H92" s="45">
        <f t="shared" ca="1" si="38"/>
        <v>0.53783543894412633</v>
      </c>
      <c r="I92" s="45">
        <f t="shared" ca="1" si="41"/>
        <v>0.53780954333806974</v>
      </c>
      <c r="J92" s="45">
        <f t="shared" ca="1" si="39"/>
        <v>0.5377836748660022</v>
      </c>
      <c r="L92" s="58">
        <f ca="1">_xll.EURO(UnderlyingPrice,$D92,IntRate,Yield,$I92,$D$6,L$12,0)</f>
        <v>3.3434642570162154E-2</v>
      </c>
      <c r="M92" s="58">
        <f ca="1">_xll.EURO(UnderlyingPrice,$D92,IntRate,Yield,$I92,$D$6,M$12,0)</f>
        <v>0.59435491778134297</v>
      </c>
      <c r="O92" s="58">
        <f ca="1">_xll.EURO(UnderlyingPrice,$D92*(1+$P$8),IntRate,Yield,$H92,Expiry-Today,O$12,0)</f>
        <v>3.3325191216874273E-2</v>
      </c>
      <c r="P92" s="58">
        <f ca="1">_xll.EURO(UnderlyingPrice,$D92*(1+$P$8),IntRate,Yield,$H92,Expiry-Today,P$12,0)</f>
        <v>0.59519643589108195</v>
      </c>
      <c r="R92" s="58">
        <f ca="1">_xll.EURO(UnderlyingPrice,$D92*(1-$P$8),IntRate,Yield,$J92,Expiry-Today,R$12,0)</f>
        <v>3.3544419603328768E-2</v>
      </c>
      <c r="S92" s="58">
        <f ca="1">_xll.EURO(UnderlyingPrice,$D92*(1-$P$8),IntRate,Yield,$J92,Expiry-Today,S$12,0)</f>
        <v>0.59351372535148172</v>
      </c>
      <c r="U92" s="59">
        <f t="shared" ca="1" si="45"/>
        <v>0.35874630010477543</v>
      </c>
      <c r="V92" s="59"/>
      <c r="W92" s="62">
        <f t="shared" ca="1" si="40"/>
        <v>0.35943685683848386</v>
      </c>
      <c r="Z92" s="59">
        <f t="shared" ca="1" si="46"/>
        <v>0.75465784864808438</v>
      </c>
      <c r="AA92" s="59">
        <f t="shared" ca="1" si="47"/>
        <v>0.13168372712418086</v>
      </c>
      <c r="AB92" s="59">
        <f t="shared" ca="1" si="42"/>
        <v>-1.7340603989315726E-2</v>
      </c>
      <c r="AC92" s="59">
        <f t="shared" ca="1" si="48"/>
        <v>-0.70413800418842487</v>
      </c>
      <c r="AD92" s="60">
        <f t="shared" ca="1" si="43"/>
        <v>0.49453467740079265</v>
      </c>
      <c r="AE92" s="60">
        <f t="shared" ca="1" si="49"/>
        <v>0.3732044757291566</v>
      </c>
      <c r="AF92" s="60"/>
      <c r="AG92" s="96">
        <f t="shared" ca="1" si="50"/>
        <v>1.1867080552422529</v>
      </c>
      <c r="AH92" s="96">
        <f t="shared" ca="1" si="51"/>
        <v>1.1885102360069852</v>
      </c>
      <c r="AI92" s="96">
        <f t="shared" ca="1" si="52"/>
        <v>1.184905514005318</v>
      </c>
      <c r="AJ92" s="62"/>
      <c r="AK92" s="96">
        <f t="shared" ca="1" si="53"/>
        <v>0.19001267617159112</v>
      </c>
      <c r="AL92" s="96"/>
      <c r="AM92" s="94"/>
      <c r="AN92" s="95"/>
      <c r="AX92" s="106">
        <f t="shared" ca="1" si="54"/>
        <v>0.54124000000000005</v>
      </c>
      <c r="AY92" s="106">
        <f t="shared" ca="1" si="55"/>
        <v>0.54125905600000002</v>
      </c>
      <c r="AZ92" s="106">
        <f t="shared" ca="1" si="56"/>
        <v>0.54122094400000009</v>
      </c>
      <c r="BB92" s="109">
        <f ca="1">_xll.EURO(UnderlyingPrice,$D92,IntRate,Yield,AX92,$D$6,1,0)</f>
        <v>3.412309536104785E-2</v>
      </c>
      <c r="BC92" s="109">
        <f ca="1">_xll.EURO(UnderlyingPrice,$D92*(1+$P$8),IntRate,Yield,AY92,$D$6,1,0)</f>
        <v>3.4011022853816519E-2</v>
      </c>
      <c r="BD92" s="109">
        <f ca="1">_xll.EURO(UnderlyingPrice,$D92*(1-$P$8),IntRate,Yield,AZ92,$D$6,1,0)</f>
        <v>3.4235493697635344E-2</v>
      </c>
      <c r="BF92" s="59">
        <f t="shared" ca="1" si="57"/>
        <v>0.35891095404448425</v>
      </c>
      <c r="BG92" s="62">
        <f t="shared" ca="1" si="58"/>
        <v>0.35960182772330618</v>
      </c>
      <c r="BI92" s="96">
        <f t="shared" ca="1" si="59"/>
        <v>1.1870734081465575</v>
      </c>
      <c r="BJ92" s="96">
        <f t="shared" ca="1" si="60"/>
        <v>1.1888762009726817</v>
      </c>
      <c r="BK92" s="96">
        <f t="shared" ca="1" si="61"/>
        <v>1.1852702547258065</v>
      </c>
      <c r="BL92" s="62"/>
      <c r="BM92" s="96">
        <f t="shared" ca="1" si="62"/>
        <v>0.19003534606300992</v>
      </c>
      <c r="BO92" s="58">
        <f t="shared" ca="1" si="63"/>
        <v>6.8845279088569633E-4</v>
      </c>
      <c r="BP92" s="46">
        <f t="shared" ca="1" si="64"/>
        <v>2.0175566829484584E-2</v>
      </c>
    </row>
    <row r="93" spans="3:68" x14ac:dyDescent="0.2">
      <c r="C93" s="56">
        <v>80</v>
      </c>
      <c r="D93" s="63">
        <f t="shared" ca="1" si="65"/>
        <v>4.7800000000000011</v>
      </c>
      <c r="E93" s="45">
        <f t="shared" ca="1" si="44"/>
        <v>0.1375535459305095</v>
      </c>
      <c r="F93" s="45">
        <f t="shared" ca="1" si="36"/>
        <v>0.13778105663969553</v>
      </c>
      <c r="G93" s="45">
        <f t="shared" ca="1" si="37"/>
        <v>0.13732603522132347</v>
      </c>
      <c r="H93" s="45">
        <f t="shared" ca="1" si="38"/>
        <v>0.53827435609441243</v>
      </c>
      <c r="I93" s="45">
        <f t="shared" ca="1" si="41"/>
        <v>0.53824792907571528</v>
      </c>
      <c r="J93" s="45">
        <f t="shared" ca="1" si="39"/>
        <v>0.53822152793192879</v>
      </c>
      <c r="L93" s="58">
        <f ca="1">_xll.EURO(UnderlyingPrice,$D93,IntRate,Yield,$I93,$D$6,L$12,0)</f>
        <v>3.1639222026254465E-2</v>
      </c>
      <c r="M93" s="58">
        <f ca="1">_xll.EURO(UnderlyingPrice,$D93,IntRate,Yield,$I93,$D$6,M$12,0)</f>
        <v>0.60852875774166737</v>
      </c>
      <c r="O93" s="58">
        <f ca="1">_xll.EURO(UnderlyingPrice,$D93*(1+$P$8),IntRate,Yield,$H93,Expiry-Today,O$12,0)</f>
        <v>3.1534770904654286E-2</v>
      </c>
      <c r="P93" s="58">
        <f ca="1">_xll.EURO(UnderlyingPrice,$D93*(1+$P$8),IntRate,Yield,$H93,Expiry-Today,P$12,0)</f>
        <v>0.60937846993519518</v>
      </c>
      <c r="R93" s="58">
        <f ca="1">_xll.EURO(UnderlyingPrice,$D93*(1-$P$8),IntRate,Yield,$J93,Expiry-Today,R$12,0)</f>
        <v>3.1743987530551299E-2</v>
      </c>
      <c r="S93" s="58">
        <f ca="1">_xll.EURO(UnderlyingPrice,$D93*(1-$P$8),IntRate,Yield,$J93,Expiry-Today,S$12,0)</f>
        <v>0.60767935993083722</v>
      </c>
      <c r="U93" s="59">
        <f t="shared" ca="1" si="45"/>
        <v>0.3439876497406858</v>
      </c>
      <c r="V93" s="59"/>
      <c r="W93" s="62">
        <f t="shared" ca="1" si="40"/>
        <v>0.34464979730226786</v>
      </c>
      <c r="Z93" s="59">
        <f t="shared" ca="1" si="46"/>
        <v>0.75213179727185653</v>
      </c>
      <c r="AA93" s="59">
        <f t="shared" ca="1" si="47"/>
        <v>0.1350366221344918</v>
      </c>
      <c r="AB93" s="59">
        <f t="shared" ca="1" si="42"/>
        <v>-1.8234889317493522E-2</v>
      </c>
      <c r="AC93" s="59">
        <f t="shared" ca="1" si="48"/>
        <v>-0.74045163470245356</v>
      </c>
      <c r="AD93" s="60">
        <f t="shared" ca="1" si="43"/>
        <v>0.47689848297183113</v>
      </c>
      <c r="AE93" s="60">
        <f t="shared" ca="1" si="49"/>
        <v>0.35869051311382522</v>
      </c>
      <c r="AF93" s="60"/>
      <c r="AG93" s="96">
        <f t="shared" ca="1" si="50"/>
        <v>1.2169236908717436</v>
      </c>
      <c r="AH93" s="96">
        <f t="shared" ca="1" si="51"/>
        <v>1.2187258716364751</v>
      </c>
      <c r="AI93" s="96">
        <f t="shared" ca="1" si="52"/>
        <v>1.2151211496348093</v>
      </c>
      <c r="AJ93" s="62"/>
      <c r="AK93" s="96">
        <f t="shared" ca="1" si="53"/>
        <v>0.18280755412967456</v>
      </c>
      <c r="AL93" s="96"/>
      <c r="AM93" s="94"/>
      <c r="AN93" s="95"/>
      <c r="AX93" s="106">
        <f t="shared" ca="1" si="54"/>
        <v>0.54156000000000004</v>
      </c>
      <c r="AY93" s="106">
        <f t="shared" ca="1" si="55"/>
        <v>0.54157912000000008</v>
      </c>
      <c r="AZ93" s="106">
        <f t="shared" ca="1" si="56"/>
        <v>0.54154088000000011</v>
      </c>
      <c r="BB93" s="109">
        <f ca="1">_xll.EURO(UnderlyingPrice,$D93,IntRate,Yield,AX93,$D$6,1,0)</f>
        <v>3.2283717011040047E-2</v>
      </c>
      <c r="BC93" s="109">
        <f ca="1">_xll.EURO(UnderlyingPrice,$D93*(1+$P$8),IntRate,Yield,AY93,$D$6,1,0)</f>
        <v>3.2176645714934282E-2</v>
      </c>
      <c r="BD93" s="109">
        <f ca="1">_xll.EURO(UnderlyingPrice,$D93*(1-$P$8),IntRate,Yield,AZ93,$D$6,1,0)</f>
        <v>3.2391103648950259E-2</v>
      </c>
      <c r="BF93" s="59">
        <f t="shared" ca="1" si="57"/>
        <v>0.34503707529475725</v>
      </c>
      <c r="BG93" s="62">
        <f t="shared" ca="1" si="58"/>
        <v>0.34570124291308324</v>
      </c>
      <c r="BI93" s="96">
        <f t="shared" ca="1" si="59"/>
        <v>1.2172993056900359</v>
      </c>
      <c r="BJ93" s="96">
        <f t="shared" ca="1" si="60"/>
        <v>1.2191020985161589</v>
      </c>
      <c r="BK93" s="96">
        <f t="shared" ca="1" si="61"/>
        <v>1.2154961522692851</v>
      </c>
      <c r="BL93" s="62"/>
      <c r="BM93" s="96">
        <f t="shared" ca="1" si="62"/>
        <v>0.18330300320556706</v>
      </c>
      <c r="BO93" s="58">
        <f t="shared" ca="1" si="63"/>
        <v>6.4449498478558187E-4</v>
      </c>
      <c r="BP93" s="46">
        <f t="shared" ca="1" si="64"/>
        <v>1.9963469031932853E-2</v>
      </c>
    </row>
    <row r="94" spans="3:68" x14ac:dyDescent="0.2">
      <c r="C94" s="56">
        <v>81</v>
      </c>
      <c r="D94" s="63">
        <f t="shared" ca="1" si="65"/>
        <v>4.7960000000000012</v>
      </c>
      <c r="E94" s="45">
        <f t="shared" ca="1" si="44"/>
        <v>0.14136125654450282</v>
      </c>
      <c r="F94" s="45">
        <f t="shared" ca="1" si="36"/>
        <v>0.14158952879581177</v>
      </c>
      <c r="G94" s="45">
        <f t="shared" ca="1" si="37"/>
        <v>0.1411329842931941</v>
      </c>
      <c r="H94" s="45">
        <f t="shared" ca="1" si="38"/>
        <v>0.53872049975377612</v>
      </c>
      <c r="I94" s="45">
        <f t="shared" ca="1" si="41"/>
        <v>0.53869356256064438</v>
      </c>
      <c r="J94" s="45">
        <f t="shared" ca="1" si="39"/>
        <v>0.53866664996462277</v>
      </c>
      <c r="L94" s="58">
        <f ca="1">_xll.EURO(UnderlyingPrice,$D94,IntRate,Yield,$I94,$D$6,L$12,0)</f>
        <v>2.9931870564934515E-2</v>
      </c>
      <c r="M94" s="58">
        <f ca="1">_xll.EURO(UnderlyingPrice,$D94,IntRate,Yield,$I94,$D$6,M$12,0)</f>
        <v>0.62279066678458106</v>
      </c>
      <c r="O94" s="58">
        <f ca="1">_xll.EURO(UnderlyingPrice,$D94*(1+$P$8),IntRate,Yield,$H94,Expiry-Today,O$12,0)</f>
        <v>2.9832232202775977E-2</v>
      </c>
      <c r="P94" s="58">
        <f ca="1">_xll.EURO(UnderlyingPrice,$D94*(1+$P$8),IntRate,Yield,$H94,Expiry-Today,P$12,0)</f>
        <v>0.62364838558964975</v>
      </c>
      <c r="R94" s="58">
        <f ca="1">_xll.EURO(UnderlyingPrice,$D94*(1-$P$8),IntRate,Yield,$J94,Expiry-Today,R$12,0)</f>
        <v>3.00318121957871E-2</v>
      </c>
      <c r="S94" s="58">
        <f ca="1">_xll.EURO(UnderlyingPrice,$D94*(1-$P$8),IntRate,Yield,$J94,Expiry-Today,S$12,0)</f>
        <v>0.62193325124820475</v>
      </c>
      <c r="U94" s="59">
        <f t="shared" ca="1" si="45"/>
        <v>0.32961672567515243</v>
      </c>
      <c r="V94" s="59"/>
      <c r="W94" s="62">
        <f t="shared" ca="1" si="40"/>
        <v>0.33025121040542399</v>
      </c>
      <c r="Z94" s="59">
        <f t="shared" ca="1" si="46"/>
        <v>0.74962260028345995</v>
      </c>
      <c r="AA94" s="59">
        <f t="shared" ca="1" si="47"/>
        <v>0.13837831279639498</v>
      </c>
      <c r="AB94" s="59">
        <f t="shared" ca="1" si="42"/>
        <v>-1.9148557452376931E-2</v>
      </c>
      <c r="AC94" s="59">
        <f t="shared" ca="1" si="48"/>
        <v>-0.77755232954467235</v>
      </c>
      <c r="AD94" s="60">
        <f t="shared" ca="1" si="43"/>
        <v>0.45952941245267254</v>
      </c>
      <c r="AE94" s="60">
        <f t="shared" ca="1" si="49"/>
        <v>0.34447363306950296</v>
      </c>
      <c r="AF94" s="60"/>
      <c r="AG94" s="96">
        <f t="shared" ca="1" si="50"/>
        <v>1.2470383550995314</v>
      </c>
      <c r="AH94" s="96">
        <f t="shared" ca="1" si="51"/>
        <v>1.2488405358642636</v>
      </c>
      <c r="AI94" s="96">
        <f t="shared" ca="1" si="52"/>
        <v>1.2452358138625981</v>
      </c>
      <c r="AJ94" s="62"/>
      <c r="AK94" s="96">
        <f t="shared" ca="1" si="53"/>
        <v>0.17575666632518178</v>
      </c>
      <c r="AL94" s="96"/>
      <c r="AM94" s="94"/>
      <c r="AN94" s="95"/>
      <c r="AX94" s="106">
        <f t="shared" ca="1" si="54"/>
        <v>0.54188000000000003</v>
      </c>
      <c r="AY94" s="106">
        <f t="shared" ca="1" si="55"/>
        <v>0.54189918400000003</v>
      </c>
      <c r="AZ94" s="106">
        <f t="shared" ca="1" si="56"/>
        <v>0.54186081600000002</v>
      </c>
      <c r="BB94" s="109">
        <f ca="1">_xll.EURO(UnderlyingPrice,$D94,IntRate,Yield,AX94,$D$6,1,0)</f>
        <v>3.0532674844056529E-2</v>
      </c>
      <c r="BC94" s="109">
        <f ca="1">_xll.EURO(UnderlyingPrice,$D94*(1+$P$8),IntRate,Yield,AY94,$D$6,1,0)</f>
        <v>3.0430430339880021E-2</v>
      </c>
      <c r="BD94" s="109">
        <f ca="1">_xll.EURO(UnderlyingPrice,$D94*(1-$P$8),IntRate,Yield,AZ94,$D$6,1,0)</f>
        <v>3.0635224329346955E-2</v>
      </c>
      <c r="BF94" s="59">
        <f t="shared" ca="1" si="57"/>
        <v>0.33147792085440442</v>
      </c>
      <c r="BG94" s="62">
        <f t="shared" ca="1" si="58"/>
        <v>0.33211598823030442</v>
      </c>
      <c r="BI94" s="96">
        <f t="shared" ca="1" si="59"/>
        <v>1.2474241975396367</v>
      </c>
      <c r="BJ94" s="96">
        <f t="shared" ca="1" si="60"/>
        <v>1.2492269903657609</v>
      </c>
      <c r="BK94" s="96">
        <f t="shared" ca="1" si="61"/>
        <v>1.2456210441188871</v>
      </c>
      <c r="BL94" s="62"/>
      <c r="BM94" s="96">
        <f t="shared" ca="1" si="62"/>
        <v>0.17668907637582704</v>
      </c>
      <c r="BO94" s="58">
        <f t="shared" ca="1" si="63"/>
        <v>6.0080427912201362E-4</v>
      </c>
      <c r="BP94" s="46">
        <f t="shared" ca="1" si="64"/>
        <v>1.967742040913804E-2</v>
      </c>
    </row>
    <row r="95" spans="3:68" x14ac:dyDescent="0.2">
      <c r="C95" s="56">
        <v>82</v>
      </c>
      <c r="D95" s="63">
        <f t="shared" ca="1" si="65"/>
        <v>4.8120000000000012</v>
      </c>
      <c r="E95" s="45">
        <f t="shared" ca="1" si="44"/>
        <v>0.14516896715849614</v>
      </c>
      <c r="F95" s="45">
        <f t="shared" ca="1" si="36"/>
        <v>0.14539800095192779</v>
      </c>
      <c r="G95" s="45">
        <f t="shared" ca="1" si="37"/>
        <v>0.14493993336506472</v>
      </c>
      <c r="H95" s="45">
        <f t="shared" ca="1" si="38"/>
        <v>0.53917346586493742</v>
      </c>
      <c r="I95" s="45">
        <f t="shared" ca="1" si="41"/>
        <v>0.53914603997791488</v>
      </c>
      <c r="J95" s="45">
        <f t="shared" ca="1" si="39"/>
        <v>0.53911863739138199</v>
      </c>
      <c r="L95" s="58">
        <f ca="1">_xll.EURO(UnderlyingPrice,$D95,IntRate,Yield,$I95,$D$6,L$12,0)</f>
        <v>2.8308909405950544E-2</v>
      </c>
      <c r="M95" s="58">
        <f ca="1">_xll.EURO(UnderlyingPrice,$D95,IntRate,Yield,$I95,$D$6,M$12,0)</f>
        <v>0.6371369661298294</v>
      </c>
      <c r="O95" s="58">
        <f ca="1">_xll.EURO(UnderlyingPrice,$D95*(1+$P$8),IntRate,Yield,$H95,Expiry-Today,O$12,0)</f>
        <v>2.821390013763464E-2</v>
      </c>
      <c r="P95" s="58">
        <f ca="1">_xll.EURO(UnderlyingPrice,$D95*(1+$P$8),IntRate,Yield,$H95,Expiry-Today,P$12,0)</f>
        <v>0.63800250788084334</v>
      </c>
      <c r="R95" s="58">
        <f ca="1">_xll.EURO(UnderlyingPrice,$D95*(1-$P$8),IntRate,Yield,$J95,Expiry-Today,R$12,0)</f>
        <v>2.8404211026085369E-2</v>
      </c>
      <c r="S95" s="58">
        <f ca="1">_xll.EURO(UnderlyingPrice,$D95*(1-$P$8),IntRate,Yield,$J95,Expiry-Today,S$12,0)</f>
        <v>0.6362717167306351</v>
      </c>
      <c r="U95" s="59">
        <f t="shared" ca="1" si="45"/>
        <v>0.31564184375772797</v>
      </c>
      <c r="V95" s="59"/>
      <c r="W95" s="62">
        <f t="shared" ca="1" si="40"/>
        <v>0.31624942800482231</v>
      </c>
      <c r="Z95" s="59">
        <f t="shared" ca="1" si="46"/>
        <v>0.74713008955932547</v>
      </c>
      <c r="AA95" s="59">
        <f t="shared" ca="1" si="47"/>
        <v>0.14170887374355959</v>
      </c>
      <c r="AB95" s="59">
        <f t="shared" ca="1" si="42"/>
        <v>-2.0081404897668111E-2</v>
      </c>
      <c r="AC95" s="59">
        <f t="shared" ca="1" si="48"/>
        <v>-0.81543182548058768</v>
      </c>
      <c r="AD95" s="60">
        <f t="shared" ca="1" si="43"/>
        <v>0.44244822568534242</v>
      </c>
      <c r="AE95" s="60">
        <f t="shared" ca="1" si="49"/>
        <v>0.33056638248165454</v>
      </c>
      <c r="AF95" s="60"/>
      <c r="AG95" s="96">
        <f t="shared" ca="1" si="50"/>
        <v>1.2770527205096802</v>
      </c>
      <c r="AH95" s="96">
        <f t="shared" ca="1" si="51"/>
        <v>1.2788549012744119</v>
      </c>
      <c r="AI95" s="96">
        <f t="shared" ca="1" si="52"/>
        <v>1.275250179272748</v>
      </c>
      <c r="AJ95" s="62"/>
      <c r="AK95" s="96">
        <f t="shared" ca="1" si="53"/>
        <v>0.16886653082892286</v>
      </c>
      <c r="AL95" s="96"/>
      <c r="AM95" s="94"/>
      <c r="AN95" s="95"/>
      <c r="AX95" s="106">
        <f t="shared" ca="1" si="54"/>
        <v>0.54220000000000002</v>
      </c>
      <c r="AY95" s="106">
        <f t="shared" ca="1" si="55"/>
        <v>0.5422192480000001</v>
      </c>
      <c r="AZ95" s="106">
        <f t="shared" ca="1" si="56"/>
        <v>0.54218075200000004</v>
      </c>
      <c r="BB95" s="109">
        <f ca="1">_xll.EURO(UnderlyingPrice,$D95,IntRate,Yield,AX95,$D$6,1,0)</f>
        <v>2.8866497901543164E-2</v>
      </c>
      <c r="BC95" s="109">
        <f ca="1">_xll.EURO(UnderlyingPrice,$D95*(1+$P$8),IntRate,Yield,AY95,$D$6,1,0)</f>
        <v>2.8768908584806074E-2</v>
      </c>
      <c r="BD95" s="109">
        <f ca="1">_xll.EURO(UnderlyingPrice,$D95*(1-$P$8),IntRate,Yield,AZ95,$D$6,1,0)</f>
        <v>2.896438197858564E-2</v>
      </c>
      <c r="BF95" s="59">
        <f t="shared" ca="1" si="57"/>
        <v>0.31824220079174714</v>
      </c>
      <c r="BG95" s="62">
        <f t="shared" ca="1" si="58"/>
        <v>0.31885479050944665</v>
      </c>
      <c r="BI95" s="96">
        <f t="shared" ca="1" si="59"/>
        <v>1.2774487565078494</v>
      </c>
      <c r="BJ95" s="96">
        <f t="shared" ca="1" si="60"/>
        <v>1.2792515493339729</v>
      </c>
      <c r="BK95" s="96">
        <f t="shared" ca="1" si="61"/>
        <v>1.2756456030871008</v>
      </c>
      <c r="BL95" s="62"/>
      <c r="BM95" s="96">
        <f t="shared" ca="1" si="62"/>
        <v>0.17019990281468006</v>
      </c>
      <c r="BO95" s="58">
        <f t="shared" ca="1" si="63"/>
        <v>5.5758849559262025E-4</v>
      </c>
      <c r="BP95" s="46">
        <f t="shared" ca="1" si="64"/>
        <v>1.9316111621659943E-2</v>
      </c>
    </row>
    <row r="96" spans="3:68" x14ac:dyDescent="0.2">
      <c r="C96" s="56">
        <v>83</v>
      </c>
      <c r="D96" s="63">
        <f t="shared" ca="1" si="65"/>
        <v>4.8280000000000012</v>
      </c>
      <c r="E96" s="45">
        <f t="shared" ca="1" si="44"/>
        <v>0.14897667777248969</v>
      </c>
      <c r="F96" s="45">
        <f t="shared" ca="1" si="36"/>
        <v>0.14920647310804402</v>
      </c>
      <c r="G96" s="45">
        <f t="shared" ca="1" si="37"/>
        <v>0.14874688243693512</v>
      </c>
      <c r="H96" s="45">
        <f t="shared" ca="1" si="38"/>
        <v>0.53963285037061626</v>
      </c>
      <c r="I96" s="45">
        <f t="shared" ca="1" si="41"/>
        <v>0.53960495751258375</v>
      </c>
      <c r="J96" s="45">
        <f t="shared" ca="1" si="39"/>
        <v>0.53957708663950432</v>
      </c>
      <c r="L96" s="58">
        <f ca="1">_xll.EURO(UnderlyingPrice,$D96,IntRate,Yield,$I96,$D$6,L$12,0)</f>
        <v>2.676676111502746E-2</v>
      </c>
      <c r="M96" s="58">
        <f ca="1">_xll.EURO(UnderlyingPrice,$D96,IntRate,Yield,$I96,$D$6,M$12,0)</f>
        <v>0.65156407834313956</v>
      </c>
      <c r="O96" s="58">
        <f ca="1">_xll.EURO(UnderlyingPrice,$D96*(1+$P$8),IntRate,Yield,$H96,Expiry-Today,O$12,0)</f>
        <v>2.6676201274520805E-2</v>
      </c>
      <c r="P96" s="58">
        <f ca="1">_xll.EURO(UnderlyingPrice,$D96*(1+$P$8),IntRate,Yield,$H96,Expiry-Today,P$12,0)</f>
        <v>0.65243726337406249</v>
      </c>
      <c r="R96" s="58">
        <f ca="1">_xll.EURO(UnderlyingPrice,$D96*(1-$P$8),IntRate,Yield,$J96,Expiry-Today,R$12,0)</f>
        <v>2.6857602600004415E-2</v>
      </c>
      <c r="S96" s="58">
        <f ca="1">_xll.EURO(UnderlyingPrice,$D96*(1-$P$8),IntRate,Yield,$J96,Expiry-Today,S$12,0)</f>
        <v>0.65069117495668616</v>
      </c>
      <c r="U96" s="59">
        <f t="shared" ca="1" si="45"/>
        <v>0.30206938731867017</v>
      </c>
      <c r="V96" s="59"/>
      <c r="W96" s="62">
        <f t="shared" ca="1" si="40"/>
        <v>0.30265084571809941</v>
      </c>
      <c r="Z96" s="59">
        <f t="shared" ca="1" si="46"/>
        <v>0.74465409920453063</v>
      </c>
      <c r="AA96" s="59">
        <f t="shared" ca="1" si="47"/>
        <v>0.1450283788664124</v>
      </c>
      <c r="AB96" s="59">
        <f t="shared" ca="1" si="42"/>
        <v>-2.1033230676619656E-2</v>
      </c>
      <c r="AC96" s="59">
        <f t="shared" ca="1" si="48"/>
        <v>-0.85408196158536143</v>
      </c>
      <c r="AD96" s="60">
        <f t="shared" ca="1" si="43"/>
        <v>0.4256737966568156</v>
      </c>
      <c r="AE96" s="60">
        <f t="shared" ca="1" si="49"/>
        <v>0.31697973760445358</v>
      </c>
      <c r="AF96" s="60"/>
      <c r="AG96" s="96">
        <f t="shared" ca="1" si="50"/>
        <v>1.3069674529882993</v>
      </c>
      <c r="AH96" s="96">
        <f t="shared" ca="1" si="51"/>
        <v>1.3087696337530303</v>
      </c>
      <c r="AI96" s="96">
        <f t="shared" ca="1" si="52"/>
        <v>1.3051649117513644</v>
      </c>
      <c r="AJ96" s="62"/>
      <c r="AK96" s="96">
        <f t="shared" ca="1" si="53"/>
        <v>0.16214268755833935</v>
      </c>
      <c r="AL96" s="96"/>
      <c r="AM96" s="94"/>
      <c r="AN96" s="95"/>
      <c r="AX96" s="106">
        <f t="shared" ca="1" si="54"/>
        <v>0.54252000000000011</v>
      </c>
      <c r="AY96" s="106">
        <f t="shared" ca="1" si="55"/>
        <v>0.54253931200000005</v>
      </c>
      <c r="AZ96" s="106">
        <f t="shared" ca="1" si="56"/>
        <v>0.54250068800000006</v>
      </c>
      <c r="BB96" s="109">
        <f ca="1">_xll.EURO(UnderlyingPrice,$D96,IntRate,Yield,AX96,$D$6,1,0)</f>
        <v>2.7281797993796653E-2</v>
      </c>
      <c r="BC96" s="109">
        <f ca="1">_xll.EURO(UnderlyingPrice,$D96*(1+$P$8),IntRate,Yield,AY96,$D$6,1,0)</f>
        <v>2.7188695263020701E-2</v>
      </c>
      <c r="BD96" s="109">
        <f ca="1">_xll.EURO(UnderlyingPrice,$D96*(1-$P$8),IntRate,Yield,AZ96,$D$6,1,0)</f>
        <v>2.7375185415896175E-2</v>
      </c>
      <c r="BF96" s="59">
        <f t="shared" ca="1" si="57"/>
        <v>0.30533719903689266</v>
      </c>
      <c r="BG96" s="62">
        <f t="shared" ca="1" si="58"/>
        <v>0.3059249477015758</v>
      </c>
      <c r="BI96" s="96">
        <f t="shared" ca="1" si="59"/>
        <v>1.307373648706933</v>
      </c>
      <c r="BJ96" s="96">
        <f t="shared" ca="1" si="60"/>
        <v>1.3091764415330556</v>
      </c>
      <c r="BK96" s="96">
        <f t="shared" ca="1" si="61"/>
        <v>1.3055704952861815</v>
      </c>
      <c r="BL96" s="62"/>
      <c r="BM96" s="96">
        <f t="shared" ca="1" si="62"/>
        <v>0.16384111646518382</v>
      </c>
      <c r="BO96" s="58">
        <f t="shared" ca="1" si="63"/>
        <v>5.150368787691928E-4</v>
      </c>
      <c r="BP96" s="46">
        <f t="shared" ca="1" si="64"/>
        <v>1.8878406726943076E-2</v>
      </c>
    </row>
    <row r="97" spans="3:68" x14ac:dyDescent="0.2">
      <c r="C97" s="56">
        <v>84</v>
      </c>
      <c r="D97" s="63">
        <f t="shared" ca="1" si="65"/>
        <v>4.8440000000000012</v>
      </c>
      <c r="E97" s="45">
        <f t="shared" ca="1" si="44"/>
        <v>0.15278438838648301</v>
      </c>
      <c r="F97" s="45">
        <f t="shared" ca="1" si="36"/>
        <v>0.15301494526416026</v>
      </c>
      <c r="G97" s="45">
        <f t="shared" ca="1" si="37"/>
        <v>0.15255383150880575</v>
      </c>
      <c r="H97" s="45">
        <f t="shared" ca="1" si="38"/>
        <v>0.54009824921353244</v>
      </c>
      <c r="I97" s="45">
        <f t="shared" ca="1" si="41"/>
        <v>0.5400699113497085</v>
      </c>
      <c r="J97" s="45">
        <f t="shared" ca="1" si="39"/>
        <v>0.54004159413628772</v>
      </c>
      <c r="L97" s="58">
        <f ca="1">_xll.EURO(UnderlyingPrice,$D97,IntRate,Yield,$I97,$D$6,L$12,0)</f>
        <v>2.5301951239740827E-2</v>
      </c>
      <c r="M97" s="58">
        <f ca="1">_xll.EURO(UnderlyingPrice,$D97,IntRate,Yield,$I97,$D$6,M$12,0)</f>
        <v>0.66606852897208535</v>
      </c>
      <c r="O97" s="58">
        <f ca="1">_xll.EURO(UnderlyingPrice,$D97*(1+$P$8),IntRate,Yield,$H97,Expiry-Today,O$12,0)</f>
        <v>2.5215665326252967E-2</v>
      </c>
      <c r="P97" s="58">
        <f ca="1">_xll.EURO(UnderlyingPrice,$D97*(1+$P$8),IntRate,Yield,$H97,Expiry-Today,P$12,0)</f>
        <v>0.6669491817821287</v>
      </c>
      <c r="R97" s="58">
        <f ca="1">_xll.EURO(UnderlyingPrice,$D97*(1-$P$8),IntRate,Yield,$J97,Expiry-Today,R$12,0)</f>
        <v>2.5388508310768498E-2</v>
      </c>
      <c r="S97" s="58">
        <f ca="1">_xll.EURO(UnderlyingPrice,$D97*(1-$P$8),IntRate,Yield,$J97,Expiry-Today,S$12,0)</f>
        <v>0.66518814731958198</v>
      </c>
      <c r="U97" s="59">
        <f t="shared" ca="1" si="45"/>
        <v>0.28890391338014249</v>
      </c>
      <c r="V97" s="59"/>
      <c r="W97" s="62">
        <f t="shared" ca="1" si="40"/>
        <v>0.2894600293393067</v>
      </c>
      <c r="Z97" s="59">
        <f t="shared" ca="1" si="46"/>
        <v>0.74219446551599377</v>
      </c>
      <c r="AA97" s="59">
        <f t="shared" ca="1" si="47"/>
        <v>0.14833690132197314</v>
      </c>
      <c r="AB97" s="59">
        <f t="shared" ca="1" si="42"/>
        <v>-2.2003836293804795E-2</v>
      </c>
      <c r="AC97" s="59">
        <f t="shared" ca="1" si="48"/>
        <v>-0.89349467769143898</v>
      </c>
      <c r="AD97" s="60">
        <f t="shared" ca="1" si="43"/>
        <v>0.40922314795835391</v>
      </c>
      <c r="AE97" s="60">
        <f t="shared" ca="1" si="49"/>
        <v>0.30372315557572294</v>
      </c>
      <c r="AF97" s="60"/>
      <c r="AG97" s="96">
        <f t="shared" ca="1" si="50"/>
        <v>1.3367832118121763</v>
      </c>
      <c r="AH97" s="96">
        <f t="shared" ca="1" si="51"/>
        <v>1.338585392576908</v>
      </c>
      <c r="AI97" s="96">
        <f t="shared" ca="1" si="52"/>
        <v>1.3349806705752421</v>
      </c>
      <c r="AJ97" s="62"/>
      <c r="AK97" s="96">
        <f t="shared" ca="1" si="53"/>
        <v>0.15558973829011949</v>
      </c>
      <c r="AL97" s="96"/>
      <c r="AM97" s="94"/>
      <c r="AN97" s="95"/>
      <c r="AX97" s="106">
        <f t="shared" ca="1" si="54"/>
        <v>0.5428400000000001</v>
      </c>
      <c r="AY97" s="106">
        <f t="shared" ca="1" si="55"/>
        <v>0.54285937600000012</v>
      </c>
      <c r="AZ97" s="106">
        <f t="shared" ca="1" si="56"/>
        <v>0.54282062400000008</v>
      </c>
      <c r="BB97" s="109">
        <f ca="1">_xll.EURO(UnderlyingPrice,$D97,IntRate,Yield,AX97,$D$6,1,0)</f>
        <v>2.5775271566059799E-2</v>
      </c>
      <c r="BC97" s="109">
        <f ca="1">_xll.EURO(UnderlyingPrice,$D97*(1+$P$8),IntRate,Yield,AY97,$D$6,1,0)</f>
        <v>2.5686489991535055E-2</v>
      </c>
      <c r="BD97" s="109">
        <f ca="1">_xll.EURO(UnderlyingPrice,$D97*(1-$P$8),IntRate,Yield,AZ97,$D$6,1,0)</f>
        <v>2.5864327925641195E-2</v>
      </c>
      <c r="BF97" s="59">
        <f t="shared" ca="1" si="57"/>
        <v>0.29276883932825343</v>
      </c>
      <c r="BG97" s="62">
        <f t="shared" ca="1" si="58"/>
        <v>0.29333239494780705</v>
      </c>
      <c r="BI97" s="96">
        <f t="shared" ca="1" si="59"/>
        <v>1.3371995336375804</v>
      </c>
      <c r="BJ97" s="96">
        <f t="shared" ca="1" si="60"/>
        <v>1.3390023264637037</v>
      </c>
      <c r="BK97" s="96">
        <f t="shared" ca="1" si="61"/>
        <v>1.3353963802168298</v>
      </c>
      <c r="BL97" s="62"/>
      <c r="BM97" s="96">
        <f t="shared" ca="1" si="62"/>
        <v>0.15761767079684325</v>
      </c>
      <c r="BO97" s="58">
        <f t="shared" ca="1" si="63"/>
        <v>4.7332032631897114E-4</v>
      </c>
      <c r="BP97" s="46">
        <f t="shared" ca="1" si="64"/>
        <v>1.8363349736428263E-2</v>
      </c>
    </row>
    <row r="98" spans="3:68" x14ac:dyDescent="0.2">
      <c r="C98" s="56">
        <v>85</v>
      </c>
      <c r="D98" s="63">
        <f t="shared" ca="1" si="65"/>
        <v>4.8600000000000012</v>
      </c>
      <c r="E98" s="45">
        <f t="shared" ca="1" si="44"/>
        <v>0.15659209900047633</v>
      </c>
      <c r="F98" s="45">
        <f t="shared" ca="1" si="36"/>
        <v>0.15682341742027628</v>
      </c>
      <c r="G98" s="45">
        <f t="shared" ca="1" si="37"/>
        <v>0.15636078058067615</v>
      </c>
      <c r="H98" s="45">
        <f t="shared" ca="1" si="38"/>
        <v>0.54056925833640612</v>
      </c>
      <c r="I98" s="45">
        <f t="shared" ca="1" si="41"/>
        <v>0.54054049767434664</v>
      </c>
      <c r="J98" s="45">
        <f t="shared" ca="1" si="39"/>
        <v>0.54051175630902992</v>
      </c>
      <c r="L98" s="58">
        <f ca="1">_xll.EURO(UnderlyingPrice,$D98,IntRate,Yield,$I98,$D$6,L$12,0)</f>
        <v>2.3911109479427595E-2</v>
      </c>
      <c r="M98" s="58">
        <f ca="1">_xll.EURO(UnderlyingPrice,$D98,IntRate,Yield,$I98,$D$6,M$12,0)</f>
        <v>0.68064694771600598</v>
      </c>
      <c r="O98" s="58">
        <f ca="1">_xll.EURO(UnderlyingPrice,$D98*(1+$P$8),IntRate,Yield,$H98,Expiry-Today,O$12,0)</f>
        <v>2.382892629714839E-2</v>
      </c>
      <c r="P98" s="58">
        <f ca="1">_xll.EURO(UnderlyingPrice,$D98*(1+$P$8),IntRate,Yield,$H98,Expiry-Today,P$12,0)</f>
        <v>0.68153489710935844</v>
      </c>
      <c r="R98" s="58">
        <f ca="1">_xll.EURO(UnderlyingPrice,$D98*(1-$P$8),IntRate,Yield,$J98,Expiry-Today,R$12,0)</f>
        <v>2.3993553562188186E-2</v>
      </c>
      <c r="S98" s="58">
        <f ca="1">_xll.EURO(UnderlyingPrice,$D98*(1-$P$8),IntRate,Yield,$J98,Expiry-Today,S$12,0)</f>
        <v>0.67975925922313341</v>
      </c>
      <c r="U98" s="59">
        <f t="shared" ca="1" si="45"/>
        <v>0.2761482850956708</v>
      </c>
      <c r="V98" s="59"/>
      <c r="W98" s="62">
        <f t="shared" ca="1" si="40"/>
        <v>0.27667984753330194</v>
      </c>
      <c r="Z98" s="59">
        <f t="shared" ca="1" si="46"/>
        <v>0.73975102694639383</v>
      </c>
      <c r="AA98" s="59">
        <f t="shared" ca="1" si="47"/>
        <v>0.15163451354352969</v>
      </c>
      <c r="AB98" s="59">
        <f t="shared" ca="1" si="42"/>
        <v>-2.2993025697582891E-2</v>
      </c>
      <c r="AC98" s="59">
        <f t="shared" ca="1" si="48"/>
        <v>-0.93366201286441253</v>
      </c>
      <c r="AD98" s="60">
        <f t="shared" ca="1" si="43"/>
        <v>0.39311149193147854</v>
      </c>
      <c r="AE98" s="60">
        <f t="shared" ca="1" si="49"/>
        <v>0.29080462986074024</v>
      </c>
      <c r="AF98" s="60"/>
      <c r="AG98" s="96">
        <f t="shared" ca="1" si="50"/>
        <v>1.3665006497359689</v>
      </c>
      <c r="AH98" s="96">
        <f t="shared" ca="1" si="51"/>
        <v>1.3683028305006999</v>
      </c>
      <c r="AI98" s="96">
        <f t="shared" ca="1" si="52"/>
        <v>1.3646981084990335</v>
      </c>
      <c r="AJ98" s="62"/>
      <c r="AK98" s="96">
        <f t="shared" ca="1" si="53"/>
        <v>0.14921140197665567</v>
      </c>
      <c r="AL98" s="96"/>
      <c r="AM98" s="94"/>
      <c r="AN98" s="95"/>
      <c r="AX98" s="106">
        <f t="shared" ca="1" si="54"/>
        <v>0.54316000000000009</v>
      </c>
      <c r="AY98" s="106">
        <f t="shared" ca="1" si="55"/>
        <v>0.54317944000000007</v>
      </c>
      <c r="AZ98" s="106">
        <f t="shared" ca="1" si="56"/>
        <v>0.54314056000000011</v>
      </c>
      <c r="BB98" s="109">
        <f ca="1">_xll.EURO(UnderlyingPrice,$D98,IntRate,Yield,AX98,$D$6,1,0)</f>
        <v>2.4343701216389679E-2</v>
      </c>
      <c r="BC98" s="109">
        <f ca="1">_xll.EURO(UnderlyingPrice,$D98*(1+$P$8),IntRate,Yield,AY98,$D$6,1,0)</f>
        <v>2.4259078690002378E-2</v>
      </c>
      <c r="BD98" s="109">
        <f ca="1">_xll.EURO(UnderlyingPrice,$D98*(1-$P$8),IntRate,Yield,AZ98,$D$6,1,0)</f>
        <v>2.4428588794136397E-2</v>
      </c>
      <c r="BF98" s="59">
        <f t="shared" ca="1" si="57"/>
        <v>0.28054175284087463</v>
      </c>
      <c r="BG98" s="62">
        <f t="shared" ca="1" si="58"/>
        <v>0.28108177233781173</v>
      </c>
      <c r="BI98" s="96">
        <f t="shared" ca="1" si="59"/>
        <v>1.3669270642761393</v>
      </c>
      <c r="BJ98" s="96">
        <f t="shared" ca="1" si="60"/>
        <v>1.3687298571022624</v>
      </c>
      <c r="BK98" s="96">
        <f t="shared" ca="1" si="61"/>
        <v>1.3651239108553876</v>
      </c>
      <c r="BL98" s="62"/>
      <c r="BM98" s="96">
        <f t="shared" ca="1" si="62"/>
        <v>0.15153386324000057</v>
      </c>
      <c r="BO98" s="58">
        <f t="shared" ca="1" si="63"/>
        <v>4.3259173696208464E-4</v>
      </c>
      <c r="BP98" s="46">
        <f t="shared" ca="1" si="64"/>
        <v>1.7770171146811366E-2</v>
      </c>
    </row>
    <row r="99" spans="3:68" x14ac:dyDescent="0.2">
      <c r="C99" s="56">
        <v>86</v>
      </c>
      <c r="D99" s="63">
        <f t="shared" ca="1" si="65"/>
        <v>4.8760000000000012</v>
      </c>
      <c r="E99" s="45">
        <f t="shared" ca="1" si="44"/>
        <v>0.16039980961446965</v>
      </c>
      <c r="F99" s="45">
        <f t="shared" ca="1" si="36"/>
        <v>0.16063188957639252</v>
      </c>
      <c r="G99" s="45">
        <f t="shared" ca="1" si="37"/>
        <v>0.16016772965254678</v>
      </c>
      <c r="H99" s="45">
        <f t="shared" ca="1" si="38"/>
        <v>0.5410454736819571</v>
      </c>
      <c r="I99" s="45">
        <f t="shared" ca="1" si="41"/>
        <v>0.54101631267155514</v>
      </c>
      <c r="J99" s="45">
        <f t="shared" ca="1" si="39"/>
        <v>0.54098716958502902</v>
      </c>
      <c r="L99" s="58">
        <f ca="1">_xll.EURO(UnderlyingPrice,$D99,IntRate,Yield,$I99,$D$6,L$12,0)</f>
        <v>2.2590970420000522E-2</v>
      </c>
      <c r="M99" s="58">
        <f ca="1">_xll.EURO(UnderlyingPrice,$D99,IntRate,Yield,$I99,$D$6,M$12,0)</f>
        <v>0.69529606916081077</v>
      </c>
      <c r="O99" s="58">
        <f ca="1">_xll.EURO(UnderlyingPrice,$D99*(1+$P$8),IntRate,Yield,$H99,Expiry-Today,O$12,0)</f>
        <v>2.2512723193235995E-2</v>
      </c>
      <c r="P99" s="58">
        <f ca="1">_xll.EURO(UnderlyingPrice,$D99*(1+$P$8),IntRate,Yield,$H99,Expiry-Today,P$12,0)</f>
        <v>0.69619114836177953</v>
      </c>
      <c r="R99" s="58">
        <f ca="1">_xll.EURO(UnderlyingPrice,$D99*(1-$P$8),IntRate,Yield,$J99,Expiry-Today,R$12,0)</f>
        <v>2.2669468528129344E-2</v>
      </c>
      <c r="S99" s="58">
        <f ca="1">_xll.EURO(UnderlyingPrice,$D99*(1-$P$8),IntRate,Yield,$J99,Expiry-Today,S$12,0)</f>
        <v>0.69440124084120702</v>
      </c>
      <c r="U99" s="59">
        <f t="shared" ca="1" si="45"/>
        <v>0.26380378200359206</v>
      </c>
      <c r="V99" s="59"/>
      <c r="W99" s="62">
        <f t="shared" ca="1" si="40"/>
        <v>0.26431158230142682</v>
      </c>
      <c r="Z99" s="59">
        <f t="shared" ca="1" si="46"/>
        <v>0.73732362406880103</v>
      </c>
      <c r="AA99" s="59">
        <f t="shared" ca="1" si="47"/>
        <v>0.15492128725015236</v>
      </c>
      <c r="AB99" s="59">
        <f t="shared" ca="1" si="42"/>
        <v>-2.4000605243244221E-2</v>
      </c>
      <c r="AC99" s="59">
        <f t="shared" ca="1" si="48"/>
        <v>-0.97457610390646543</v>
      </c>
      <c r="AD99" s="60">
        <f t="shared" ca="1" si="43"/>
        <v>0.37735227782158293</v>
      </c>
      <c r="AE99" s="60">
        <f t="shared" ca="1" si="49"/>
        <v>0.27823074903402656</v>
      </c>
      <c r="AF99" s="60"/>
      <c r="AG99" s="96">
        <f t="shared" ca="1" si="50"/>
        <v>1.3961204130779445</v>
      </c>
      <c r="AH99" s="96">
        <f t="shared" ca="1" si="51"/>
        <v>1.3979225938426767</v>
      </c>
      <c r="AI99" s="96">
        <f t="shared" ca="1" si="52"/>
        <v>1.3943178718410103</v>
      </c>
      <c r="AJ99" s="62"/>
      <c r="AK99" s="96">
        <f t="shared" ca="1" si="53"/>
        <v>0.14301055945018537</v>
      </c>
      <c r="AL99" s="96"/>
      <c r="AM99" s="94"/>
      <c r="AN99" s="95"/>
      <c r="AX99" s="106">
        <f t="shared" ca="1" si="54"/>
        <v>0.54348000000000007</v>
      </c>
      <c r="AY99" s="106">
        <f t="shared" ca="1" si="55"/>
        <v>0.54349950400000002</v>
      </c>
      <c r="AZ99" s="106">
        <f t="shared" ca="1" si="56"/>
        <v>0.54346049600000002</v>
      </c>
      <c r="BB99" s="109">
        <f ca="1">_xll.EURO(UnderlyingPrice,$D99,IntRate,Yield,AX99,$D$6,1,0)</f>
        <v>2.298395688273086E-2</v>
      </c>
      <c r="BC99" s="109">
        <f ca="1">_xll.EURO(UnderlyingPrice,$D99*(1+$P$8),IntRate,Yield,AY99,$D$6,1,0)</f>
        <v>2.290333474953099E-2</v>
      </c>
      <c r="BD99" s="109">
        <f ca="1">_xll.EURO(UnderlyingPrice,$D99*(1-$P$8),IntRate,Yield,AZ99,$D$6,1,0)</f>
        <v>2.3064834515010402E-2</v>
      </c>
      <c r="BF99" s="59">
        <f t="shared" ca="1" si="57"/>
        <v>0.26865934703939043</v>
      </c>
      <c r="BG99" s="62">
        <f t="shared" ca="1" si="58"/>
        <v>0.26917649389530945</v>
      </c>
      <c r="BI99" s="96">
        <f t="shared" ca="1" si="59"/>
        <v>1.3965568871603822</v>
      </c>
      <c r="BJ99" s="96">
        <f t="shared" ca="1" si="60"/>
        <v>1.3983596799865061</v>
      </c>
      <c r="BK99" s="96">
        <f t="shared" ca="1" si="61"/>
        <v>1.3947537337396316</v>
      </c>
      <c r="BL99" s="62"/>
      <c r="BM99" s="96">
        <f t="shared" ca="1" si="62"/>
        <v>0.14559336100710457</v>
      </c>
      <c r="BO99" s="58">
        <f t="shared" ca="1" si="63"/>
        <v>3.929864627303381E-4</v>
      </c>
      <c r="BP99" s="46">
        <f t="shared" ca="1" si="64"/>
        <v>1.709829446406641E-2</v>
      </c>
    </row>
    <row r="100" spans="3:68" x14ac:dyDescent="0.2">
      <c r="C100" s="56">
        <v>87</v>
      </c>
      <c r="D100" s="63">
        <f t="shared" ca="1" si="65"/>
        <v>4.8920000000000012</v>
      </c>
      <c r="E100" s="45">
        <f t="shared" ca="1" si="44"/>
        <v>0.16420752022846297</v>
      </c>
      <c r="F100" s="45">
        <f t="shared" ca="1" si="36"/>
        <v>0.16444036173250876</v>
      </c>
      <c r="G100" s="45">
        <f t="shared" ca="1" si="37"/>
        <v>0.16397467872441718</v>
      </c>
      <c r="H100" s="45">
        <f t="shared" ca="1" si="38"/>
        <v>0.54152649119290519</v>
      </c>
      <c r="I100" s="45">
        <f t="shared" ca="1" si="41"/>
        <v>0.54149695252639174</v>
      </c>
      <c r="J100" s="45">
        <f t="shared" ca="1" si="39"/>
        <v>0.54146743039158252</v>
      </c>
      <c r="L100" s="58">
        <f ca="1">_xll.EURO(UnderlyingPrice,$D100,IntRate,Yield,$I100,$D$6,L$12,0)</f>
        <v>2.1338373864567883E-2</v>
      </c>
      <c r="M100" s="58">
        <f ca="1">_xll.EURO(UnderlyingPrice,$D100,IntRate,Yield,$I100,$D$6,M$12,0)</f>
        <v>0.71001273310961066</v>
      </c>
      <c r="O100" s="58">
        <f ca="1">_xll.EURO(UnderlyingPrice,$D100*(1+$P$8),IntRate,Yield,$H100,Expiry-Today,O$12,0)</f>
        <v>2.1263900329665131E-2</v>
      </c>
      <c r="P100" s="58">
        <f ca="1">_xll.EURO(UnderlyingPrice,$D100*(1+$P$8),IntRate,Yield,$H100,Expiry-Today,P$12,0)</f>
        <v>0.7109147798545421</v>
      </c>
      <c r="R100" s="58">
        <f ca="1">_xll.EURO(UnderlyingPrice,$D100*(1-$P$8),IntRate,Yield,$J100,Expiry-Today,R$12,0)</f>
        <v>2.1413088506416489E-2</v>
      </c>
      <c r="S100" s="58">
        <f ca="1">_xll.EURO(UnderlyingPrice,$D100*(1-$P$8),IntRate,Yield,$J100,Expiry-Today,S$12,0)</f>
        <v>0.70911092747162652</v>
      </c>
      <c r="U100" s="59">
        <f t="shared" ca="1" si="45"/>
        <v>0.25187022709014067</v>
      </c>
      <c r="V100" s="59"/>
      <c r="W100" s="62">
        <f t="shared" ca="1" si="40"/>
        <v>0.25235505628917904</v>
      </c>
      <c r="Z100" s="59">
        <f t="shared" ca="1" si="46"/>
        <v>0.73491209954200198</v>
      </c>
      <c r="AA100" s="59">
        <f t="shared" ca="1" si="47"/>
        <v>0.15819729345605318</v>
      </c>
      <c r="AB100" s="59">
        <f t="shared" ca="1" si="42"/>
        <v>-2.5026383656820608E-2</v>
      </c>
      <c r="AC100" s="59">
        <f t="shared" ca="1" si="48"/>
        <v>-1.0162291838868558</v>
      </c>
      <c r="AD100" s="60">
        <f t="shared" ca="1" si="43"/>
        <v>0.36195724426869602</v>
      </c>
      <c r="AE100" s="60">
        <f t="shared" ca="1" si="49"/>
        <v>0.26600675832994464</v>
      </c>
      <c r="AF100" s="60"/>
      <c r="AG100" s="96">
        <f t="shared" ca="1" si="50"/>
        <v>1.4256431418043267</v>
      </c>
      <c r="AH100" s="96">
        <f t="shared" ca="1" si="51"/>
        <v>1.4274453225690595</v>
      </c>
      <c r="AI100" s="96">
        <f t="shared" ca="1" si="52"/>
        <v>1.4238406005673914</v>
      </c>
      <c r="AJ100" s="62"/>
      <c r="AK100" s="96">
        <f t="shared" ca="1" si="53"/>
        <v>0.13698930844546242</v>
      </c>
      <c r="AL100" s="96"/>
      <c r="AM100" s="94"/>
      <c r="AN100" s="95"/>
      <c r="AX100" s="106">
        <f t="shared" ca="1" si="54"/>
        <v>0.54380000000000006</v>
      </c>
      <c r="AY100" s="106">
        <f t="shared" ca="1" si="55"/>
        <v>0.54381956800000009</v>
      </c>
      <c r="AZ100" s="106">
        <f t="shared" ca="1" si="56"/>
        <v>0.54378043200000004</v>
      </c>
      <c r="BB100" s="109">
        <f ca="1">_xll.EURO(UnderlyingPrice,$D100,IntRate,Yield,AX100,$D$6,1,0)</f>
        <v>2.1692996716926427E-2</v>
      </c>
      <c r="BC100" s="109">
        <f ca="1">_xll.EURO(UnderlyingPrice,$D100*(1+$P$8),IntRate,Yield,AY100,$D$6,1,0)</f>
        <v>2.1616219889140142E-2</v>
      </c>
      <c r="BD100" s="109">
        <f ca="1">_xll.EURO(UnderlyingPrice,$D100*(1-$P$8),IntRate,Yield,AZ100,$D$6,1,0)</f>
        <v>2.1770019680802943E-2</v>
      </c>
      <c r="BF100" s="59">
        <f t="shared" ca="1" si="57"/>
        <v>0.25712387804679887</v>
      </c>
      <c r="BG100" s="62">
        <f t="shared" ca="1" si="58"/>
        <v>0.25761882008614695</v>
      </c>
      <c r="BI100" s="96">
        <f t="shared" ca="1" si="59"/>
        <v>1.4260896424738789</v>
      </c>
      <c r="BJ100" s="96">
        <f t="shared" ca="1" si="60"/>
        <v>1.4278924353000035</v>
      </c>
      <c r="BK100" s="96">
        <f t="shared" ca="1" si="61"/>
        <v>1.4242864890531273</v>
      </c>
      <c r="BL100" s="62"/>
      <c r="BM100" s="96">
        <f t="shared" ca="1" si="62"/>
        <v>0.13979922955902846</v>
      </c>
      <c r="BO100" s="58">
        <f t="shared" ca="1" si="63"/>
        <v>3.5462285235854374E-4</v>
      </c>
      <c r="BP100" s="46">
        <f t="shared" ca="1" si="64"/>
        <v>1.6347342738582616E-2</v>
      </c>
    </row>
    <row r="101" spans="3:68" x14ac:dyDescent="0.2">
      <c r="C101" s="56">
        <v>88</v>
      </c>
      <c r="D101" s="63">
        <f t="shared" ca="1" si="65"/>
        <v>4.9080000000000013</v>
      </c>
      <c r="E101" s="45">
        <f t="shared" ca="1" si="44"/>
        <v>0.16801523084245629</v>
      </c>
      <c r="F101" s="45">
        <f t="shared" ca="1" si="36"/>
        <v>0.16824883388862477</v>
      </c>
      <c r="G101" s="45">
        <f t="shared" ca="1" si="37"/>
        <v>0.1677816277962878</v>
      </c>
      <c r="H101" s="45">
        <f t="shared" ca="1" si="38"/>
        <v>0.54201190681197042</v>
      </c>
      <c r="I101" s="45">
        <f t="shared" ca="1" si="41"/>
        <v>0.54198201342391339</v>
      </c>
      <c r="J101" s="45">
        <f t="shared" ca="1" si="39"/>
        <v>0.54195213515598861</v>
      </c>
      <c r="L101" s="58">
        <f ca="1">_xll.EURO(UnderlyingPrice,$D101,IntRate,Yield,$I101,$D$6,L$12,0)</f>
        <v>2.0150264790564087E-2</v>
      </c>
      <c r="M101" s="58">
        <f ca="1">_xll.EURO(UnderlyingPrice,$D101,IntRate,Yield,$I101,$D$6,M$12,0)</f>
        <v>0.7247938845398405</v>
      </c>
      <c r="O101" s="58">
        <f ca="1">_xll.EURO(UnderlyingPrice,$D101*(1+$P$8),IntRate,Yield,$H101,Expiry-Today,O$12,0)</f>
        <v>2.0079407266028193E-2</v>
      </c>
      <c r="P101" s="58">
        <f ca="1">_xll.EURO(UnderlyingPrice,$D101*(1+$P$8),IntRate,Yield,$H101,Expiry-Today,P$12,0)</f>
        <v>0.72570274114724054</v>
      </c>
      <c r="R101" s="58">
        <f ca="1">_xll.EURO(UnderlyingPrice,$D101*(1-$P$8),IntRate,Yield,$J101,Expiry-Today,R$12,0)</f>
        <v>2.0221353897838579E-2</v>
      </c>
      <c r="S101" s="58">
        <f ca="1">_xll.EURO(UnderlyingPrice,$D101*(1-$P$8),IntRate,Yield,$J101,Expiry-Today,S$12,0)</f>
        <v>0.72388525951518057</v>
      </c>
      <c r="U101" s="59">
        <f t="shared" ca="1" si="45"/>
        <v>0.2403461036336757</v>
      </c>
      <c r="V101" s="59"/>
      <c r="W101" s="62">
        <f t="shared" ca="1" si="40"/>
        <v>0.24080874985535478</v>
      </c>
      <c r="Z101" s="59">
        <f t="shared" ca="1" si="46"/>
        <v>0.73251629807650243</v>
      </c>
      <c r="AA101" s="59">
        <f t="shared" ca="1" si="47"/>
        <v>0.16146260247979227</v>
      </c>
      <c r="AB101" s="59">
        <f t="shared" ca="1" si="42"/>
        <v>-2.607017199954742E-2</v>
      </c>
      <c r="AC101" s="59">
        <f t="shared" ca="1" si="48"/>
        <v>-1.0586135806988497</v>
      </c>
      <c r="AD101" s="60">
        <f t="shared" ca="1" si="43"/>
        <v>0.34693647647791404</v>
      </c>
      <c r="AE101" s="60">
        <f t="shared" ca="1" si="49"/>
        <v>0.25413662341730714</v>
      </c>
      <c r="AF101" s="60"/>
      <c r="AG101" s="96">
        <f t="shared" ca="1" si="50"/>
        <v>1.4550694696122586</v>
      </c>
      <c r="AH101" s="96">
        <f t="shared" ca="1" si="51"/>
        <v>1.4568716503769905</v>
      </c>
      <c r="AI101" s="96">
        <f t="shared" ca="1" si="52"/>
        <v>1.4532669283753239</v>
      </c>
      <c r="AJ101" s="62"/>
      <c r="AK101" s="96">
        <f t="shared" ca="1" si="53"/>
        <v>0.13114901440317936</v>
      </c>
      <c r="AL101" s="96"/>
      <c r="AM101" s="94"/>
      <c r="AN101" s="95"/>
      <c r="AX101" s="106">
        <f t="shared" ca="1" si="54"/>
        <v>0.54412000000000005</v>
      </c>
      <c r="AY101" s="106">
        <f t="shared" ca="1" si="55"/>
        <v>0.54413963200000004</v>
      </c>
      <c r="AZ101" s="106">
        <f t="shared" ca="1" si="56"/>
        <v>0.54410036800000006</v>
      </c>
      <c r="BB101" s="109">
        <f ca="1">_xll.EURO(UnderlyingPrice,$D101,IntRate,Yield,AX101,$D$6,1,0)</f>
        <v>2.0467867663588379E-2</v>
      </c>
      <c r="BC101" s="109">
        <f ca="1">_xll.EURO(UnderlyingPrice,$D101*(1+$P$8),IntRate,Yield,AY101,$D$6,1,0)</f>
        <v>2.0394784717815639E-2</v>
      </c>
      <c r="BD101" s="109">
        <f ca="1">_xll.EURO(UnderlyingPrice,$D101*(1-$P$8),IntRate,Yield,AZ101,$D$6,1,0)</f>
        <v>2.0541187578680231E-2</v>
      </c>
      <c r="BF101" s="59">
        <f t="shared" ca="1" si="57"/>
        <v>0.24593651873337399</v>
      </c>
      <c r="BG101" s="62">
        <f t="shared" ca="1" si="58"/>
        <v>0.24640992603827591</v>
      </c>
      <c r="BI101" s="96">
        <f t="shared" ca="1" si="59"/>
        <v>1.4555259641289908</v>
      </c>
      <c r="BJ101" s="96">
        <f t="shared" ca="1" si="60"/>
        <v>1.4573287569551145</v>
      </c>
      <c r="BK101" s="96">
        <f t="shared" ca="1" si="61"/>
        <v>1.4537228107082398</v>
      </c>
      <c r="BL101" s="62"/>
      <c r="BM101" s="96">
        <f t="shared" ca="1" si="62"/>
        <v>0.13415395950996575</v>
      </c>
      <c r="BO101" s="58">
        <f t="shared" ca="1" si="63"/>
        <v>3.1760287302429191E-4</v>
      </c>
      <c r="BP101" s="46">
        <f t="shared" ca="1" si="64"/>
        <v>1.5517145129352986E-2</v>
      </c>
    </row>
    <row r="102" spans="3:68" x14ac:dyDescent="0.2">
      <c r="C102" s="56">
        <v>89</v>
      </c>
      <c r="D102" s="63">
        <f t="shared" ca="1" si="65"/>
        <v>4.9240000000000013</v>
      </c>
      <c r="E102" s="45">
        <f t="shared" ca="1" si="44"/>
        <v>0.17182294145644961</v>
      </c>
      <c r="F102" s="45">
        <f t="shared" ca="1" si="36"/>
        <v>0.17205730604474079</v>
      </c>
      <c r="G102" s="45">
        <f t="shared" ca="1" si="37"/>
        <v>0.17158857686815843</v>
      </c>
      <c r="H102" s="45">
        <f t="shared" ca="1" si="38"/>
        <v>0.54250131648187283</v>
      </c>
      <c r="I102" s="45">
        <f t="shared" ca="1" si="41"/>
        <v>0.54247109154917783</v>
      </c>
      <c r="J102" s="45">
        <f t="shared" ca="1" si="39"/>
        <v>0.54244088030554494</v>
      </c>
      <c r="L102" s="58">
        <f ca="1">_xll.EURO(UnderlyingPrice,$D102,IntRate,Yield,$I102,$D$6,L$12,0)</f>
        <v>1.9023692963677397E-2</v>
      </c>
      <c r="M102" s="58">
        <f ca="1">_xll.EURO(UnderlyingPrice,$D102,IntRate,Yield,$I102,$D$6,M$12,0)</f>
        <v>0.73963657321718745</v>
      </c>
      <c r="O102" s="58">
        <f ca="1">_xll.EURO(UnderlyingPrice,$D102*(1+$P$8),IntRate,Yield,$H102,Expiry-Today,O$12,0)</f>
        <v>1.8956298399900651E-2</v>
      </c>
      <c r="P102" s="58">
        <f ca="1">_xll.EURO(UnderlyingPrice,$D102*(1+$P$8),IntRate,Yield,$H102,Expiry-Today,P$12,0)</f>
        <v>0.74055208663744532</v>
      </c>
      <c r="R102" s="58">
        <f ca="1">_xll.EURO(UnderlyingPrice,$D102*(1-$P$8),IntRate,Yield,$J102,Expiry-Today,R$12,0)</f>
        <v>1.9091309840532367E-2</v>
      </c>
      <c r="S102" s="58">
        <f ca="1">_xll.EURO(UnderlyingPrice,$D102*(1-$P$8),IntRate,Yield,$J102,Expiry-Today,S$12,0)</f>
        <v>0.73872128211000687</v>
      </c>
      <c r="U102" s="59">
        <f t="shared" ca="1" si="45"/>
        <v>0.22922866876294118</v>
      </c>
      <c r="V102" s="59"/>
      <c r="W102" s="62">
        <f t="shared" ca="1" si="40"/>
        <v>0.22966991484889951</v>
      </c>
      <c r="Z102" s="59">
        <f t="shared" ca="1" si="46"/>
        <v>0.73013606640119288</v>
      </c>
      <c r="AA102" s="59">
        <f t="shared" ca="1" si="47"/>
        <v>0.16471728395333432</v>
      </c>
      <c r="AB102" s="59">
        <f t="shared" ca="1" si="42"/>
        <v>-2.7131783632963369E-2</v>
      </c>
      <c r="AC102" s="59">
        <f t="shared" ca="1" si="48"/>
        <v>-1.1017217156425516</v>
      </c>
      <c r="AD102" s="60">
        <f t="shared" ca="1" si="43"/>
        <v>0.33229846742896807</v>
      </c>
      <c r="AE102" s="60">
        <f t="shared" ca="1" si="49"/>
        <v>0.24262309587973166</v>
      </c>
      <c r="AF102" s="60"/>
      <c r="AG102" s="96">
        <f t="shared" ca="1" si="50"/>
        <v>1.4844000240114197</v>
      </c>
      <c r="AH102" s="96">
        <f t="shared" ca="1" si="51"/>
        <v>1.4862022047761507</v>
      </c>
      <c r="AI102" s="96">
        <f t="shared" ca="1" si="52"/>
        <v>1.4825974827744859</v>
      </c>
      <c r="AJ102" s="62"/>
      <c r="AK102" s="96">
        <f t="shared" ca="1" si="53"/>
        <v>0.12549036072059686</v>
      </c>
      <c r="AL102" s="96"/>
      <c r="AM102" s="94"/>
      <c r="AN102" s="95"/>
      <c r="AX102" s="106">
        <f t="shared" ca="1" si="54"/>
        <v>0.54444000000000004</v>
      </c>
      <c r="AY102" s="106">
        <f t="shared" ca="1" si="55"/>
        <v>0.5444596960000001</v>
      </c>
      <c r="AZ102" s="106">
        <f t="shared" ca="1" si="56"/>
        <v>0.54442030400000008</v>
      </c>
      <c r="BB102" s="109">
        <f ca="1">_xll.EURO(UnderlyingPrice,$D102,IntRate,Yield,AX102,$D$6,1,0)</f>
        <v>1.9305705761799019E-2</v>
      </c>
      <c r="BC102" s="109">
        <f ca="1">_xll.EURO(UnderlyingPrice,$D102*(1+$P$8),IntRate,Yield,AY102,$D$6,1,0)</f>
        <v>1.9236169020156513E-2</v>
      </c>
      <c r="BD102" s="109">
        <f ca="1">_xll.EURO(UnderlyingPrice,$D102*(1-$P$8),IntRate,Yield,AZ102,$D$6,1,0)</f>
        <v>1.9375470508224746E-2</v>
      </c>
      <c r="BF102" s="59">
        <f t="shared" ca="1" si="57"/>
        <v>0.23509742812560544</v>
      </c>
      <c r="BG102" s="62">
        <f t="shared" ca="1" si="58"/>
        <v>0.23554997108429868</v>
      </c>
      <c r="BI102" s="96">
        <f t="shared" ca="1" si="59"/>
        <v>1.4848664798485138</v>
      </c>
      <c r="BJ102" s="96">
        <f t="shared" ca="1" si="60"/>
        <v>1.4866692726746369</v>
      </c>
      <c r="BK102" s="96">
        <f t="shared" ca="1" si="61"/>
        <v>1.4830633264277637</v>
      </c>
      <c r="BL102" s="62"/>
      <c r="BM102" s="96">
        <f t="shared" ca="1" si="62"/>
        <v>0.12865949497997439</v>
      </c>
      <c r="BO102" s="58">
        <f t="shared" ca="1" si="63"/>
        <v>2.820127981216225E-4</v>
      </c>
      <c r="BP102" s="46">
        <f t="shared" ca="1" si="64"/>
        <v>1.4607743513819247E-2</v>
      </c>
    </row>
    <row r="103" spans="3:68" x14ac:dyDescent="0.2">
      <c r="C103" s="56">
        <v>90</v>
      </c>
      <c r="D103" s="63">
        <f t="shared" ca="1" si="65"/>
        <v>4.9400000000000013</v>
      </c>
      <c r="E103" s="45">
        <f t="shared" ca="1" si="44"/>
        <v>0.17563065207044293</v>
      </c>
      <c r="F103" s="45">
        <f t="shared" ca="1" si="36"/>
        <v>0.17586577820085703</v>
      </c>
      <c r="G103" s="45">
        <f t="shared" ca="1" si="37"/>
        <v>0.17539552594002905</v>
      </c>
      <c r="H103" s="45">
        <f t="shared" ca="1" si="38"/>
        <v>0.54299431614533211</v>
      </c>
      <c r="I103" s="45">
        <f t="shared" ca="1" si="41"/>
        <v>0.54296378308724214</v>
      </c>
      <c r="J103" s="45">
        <f t="shared" ca="1" si="39"/>
        <v>0.54293326226754945</v>
      </c>
      <c r="L103" s="58">
        <f ca="1">_xll.EURO(UnderlyingPrice,$D103,IntRate,Yield,$I103,$D$6,L$12,0)</f>
        <v>1.7955812238232949E-2</v>
      </c>
      <c r="M103" s="58">
        <f ca="1">_xll.EURO(UnderlyingPrice,$D103,IntRate,Yield,$I103,$D$6,M$12,0)</f>
        <v>0.75453795299597592</v>
      </c>
      <c r="O103" s="58">
        <f ca="1">_xll.EURO(UnderlyingPrice,$D103*(1+$P$8),IntRate,Yield,$H103,Expiry-Today,O$12,0)</f>
        <v>1.7891732248251468E-2</v>
      </c>
      <c r="P103" s="58">
        <f ca="1">_xll.EURO(UnderlyingPrice,$D103*(1+$P$8),IntRate,Yield,$H103,Expiry-Today,P$12,0)</f>
        <v>0.75545997484212934</v>
      </c>
      <c r="R103" s="58">
        <f ca="1">_xll.EURO(UnderlyingPrice,$D103*(1-$P$8),IntRate,Yield,$J103,Expiry-Today,R$12,0)</f>
        <v>1.8020105529410579E-2</v>
      </c>
      <c r="S103" s="58">
        <f ca="1">_xll.EURO(UnderlyingPrice,$D103*(1-$P$8),IntRate,Yield,$J103,Expiry-Today,S$12,0)</f>
        <v>0.75361614445101788</v>
      </c>
      <c r="U103" s="59">
        <f t="shared" ca="1" si="45"/>
        <v>0.21851406775051799</v>
      </c>
      <c r="V103" s="59"/>
      <c r="W103" s="62">
        <f t="shared" ca="1" si="40"/>
        <v>0.21893468912236508</v>
      </c>
      <c r="Z103" s="59">
        <f t="shared" ca="1" si="46"/>
        <v>0.72777125323066272</v>
      </c>
      <c r="AA103" s="59">
        <f t="shared" ca="1" si="47"/>
        <v>0.16796140683095837</v>
      </c>
      <c r="AB103" s="59">
        <f t="shared" ca="1" si="42"/>
        <v>-2.8211034184634706E-2</v>
      </c>
      <c r="AC103" s="59">
        <f t="shared" ca="1" si="48"/>
        <v>-1.1455461020330917</v>
      </c>
      <c r="AD103" s="60">
        <f t="shared" ca="1" si="43"/>
        <v>0.3180501825048494</v>
      </c>
      <c r="AE103" s="60">
        <f t="shared" ca="1" si="49"/>
        <v>0.23146777991179524</v>
      </c>
      <c r="AF103" s="60"/>
      <c r="AG103" s="96">
        <f t="shared" ca="1" si="50"/>
        <v>1.5136354264043186</v>
      </c>
      <c r="AH103" s="96">
        <f t="shared" ca="1" si="51"/>
        <v>1.5154376071690507</v>
      </c>
      <c r="AI103" s="96">
        <f t="shared" ca="1" si="52"/>
        <v>1.5118328851673857</v>
      </c>
      <c r="AJ103" s="62"/>
      <c r="AK103" s="96">
        <f t="shared" ca="1" si="53"/>
        <v>0.12001340061895586</v>
      </c>
      <c r="AL103" s="96"/>
      <c r="AM103" s="94"/>
      <c r="AN103" s="95"/>
      <c r="AX103" s="106">
        <f t="shared" ca="1" si="54"/>
        <v>0.54476000000000002</v>
      </c>
      <c r="AY103" s="106">
        <f t="shared" ca="1" si="55"/>
        <v>0.54477976000000006</v>
      </c>
      <c r="AZ103" s="106">
        <f t="shared" ca="1" si="56"/>
        <v>0.5447402400000001</v>
      </c>
      <c r="BB103" s="109">
        <f ca="1">_xll.EURO(UnderlyingPrice,$D103,IntRate,Yield,AX103,$D$6,1,0)</f>
        <v>1.8203736187557384E-2</v>
      </c>
      <c r="BC103" s="109">
        <f ca="1">_xll.EURO(UnderlyingPrice,$D103*(1+$P$8),IntRate,Yield,AY103,$D$6,1,0)</f>
        <v>1.8137601783552337E-2</v>
      </c>
      <c r="BD103" s="109">
        <f ca="1">_xll.EURO(UnderlyingPrice,$D103*(1-$P$8),IntRate,Yield,AZ103,$D$6,1,0)</f>
        <v>1.8270089839190318E-2</v>
      </c>
      <c r="BF103" s="59">
        <f t="shared" ca="1" si="57"/>
        <v>0.22460582443385949</v>
      </c>
      <c r="BG103" s="62">
        <f t="shared" ca="1" si="58"/>
        <v>0.22503817192970163</v>
      </c>
      <c r="BI103" s="96">
        <f t="shared" ca="1" si="59"/>
        <v>1.5141118112459993</v>
      </c>
      <c r="BJ103" s="96">
        <f t="shared" ca="1" si="60"/>
        <v>1.515914604072123</v>
      </c>
      <c r="BK103" s="96">
        <f t="shared" ca="1" si="61"/>
        <v>1.5123086578252498</v>
      </c>
      <c r="BL103" s="62"/>
      <c r="BM103" s="96">
        <f t="shared" ca="1" si="62"/>
        <v>0.1233172646760012</v>
      </c>
      <c r="BO103" s="58">
        <f t="shared" ca="1" si="63"/>
        <v>2.4792394932443562E-4</v>
      </c>
      <c r="BP103" s="46">
        <f t="shared" ca="1" si="64"/>
        <v>1.3619399159052666E-2</v>
      </c>
    </row>
    <row r="104" spans="3:68" x14ac:dyDescent="0.2">
      <c r="C104" s="56">
        <v>91</v>
      </c>
      <c r="D104" s="63">
        <f t="shared" ca="1" si="65"/>
        <v>4.9560000000000013</v>
      </c>
      <c r="E104" s="45">
        <f t="shared" ca="1" si="44"/>
        <v>0.17943836268443625</v>
      </c>
      <c r="F104" s="45">
        <f t="shared" ca="1" si="36"/>
        <v>0.17967425035697304</v>
      </c>
      <c r="G104" s="45">
        <f t="shared" ca="1" si="37"/>
        <v>0.17920247501189945</v>
      </c>
      <c r="H104" s="45">
        <f t="shared" ca="1" si="38"/>
        <v>0.54349050174506819</v>
      </c>
      <c r="I104" s="45">
        <f t="shared" ca="1" si="41"/>
        <v>0.54345968422316382</v>
      </c>
      <c r="J104" s="45">
        <f t="shared" ca="1" si="39"/>
        <v>0.54342887746930013</v>
      </c>
      <c r="L104" s="58">
        <f ca="1">_xll.EURO(UnderlyingPrice,$D104,IntRate,Yield,$I104,$D$6,L$12,0)</f>
        <v>1.6943879572920095E-2</v>
      </c>
      <c r="M104" s="58">
        <f ca="1">_xll.EURO(UnderlyingPrice,$D104,IntRate,Yield,$I104,$D$6,M$12,0)</f>
        <v>0.76949528083489538</v>
      </c>
      <c r="O104" s="58">
        <f ca="1">_xll.EURO(UnderlyingPrice,$D104*(1+$P$8),IntRate,Yield,$H104,Expiry-Today,O$12,0)</f>
        <v>1.6882970445600387E-2</v>
      </c>
      <c r="P104" s="58">
        <f ca="1">_xll.EURO(UnderlyingPrice,$D104*(1+$P$8),IntRate,Yield,$H104,Expiry-Today,P$12,0)</f>
        <v>0.77042366739581292</v>
      </c>
      <c r="R104" s="58">
        <f ca="1">_xll.EURO(UnderlyingPrice,$D104*(1-$P$8),IntRate,Yield,$J104,Expiry-Today,R$12,0)</f>
        <v>1.7004993249532863E-2</v>
      </c>
      <c r="S104" s="58">
        <f ca="1">_xll.EURO(UnderlyingPrice,$D104*(1-$P$8),IntRate,Yield,$J104,Expiry-Today,S$12,0)</f>
        <v>0.76856709882327134</v>
      </c>
      <c r="U104" s="59">
        <f t="shared" ca="1" si="45"/>
        <v>0.20819744528600143</v>
      </c>
      <c r="V104" s="59"/>
      <c r="W104" s="62">
        <f t="shared" ca="1" si="40"/>
        <v>0.20859820801927881</v>
      </c>
      <c r="Z104" s="59">
        <f t="shared" ca="1" si="46"/>
        <v>0.72542170923314653</v>
      </c>
      <c r="AA104" s="59">
        <f t="shared" ca="1" si="47"/>
        <v>0.17119503939802322</v>
      </c>
      <c r="AB104" s="59">
        <f t="shared" ca="1" si="42"/>
        <v>-2.9307741514490723E-2</v>
      </c>
      <c r="AC104" s="59">
        <f t="shared" ca="1" si="48"/>
        <v>-1.1900793438336332</v>
      </c>
      <c r="AD104" s="60">
        <f t="shared" ca="1" si="43"/>
        <v>0.30419712694291889</v>
      </c>
      <c r="AE104" s="60">
        <f t="shared" ca="1" si="49"/>
        <v>0.22067119977074467</v>
      </c>
      <c r="AF104" s="60"/>
      <c r="AG104" s="96">
        <f t="shared" ca="1" si="50"/>
        <v>1.5427762921652854</v>
      </c>
      <c r="AH104" s="96">
        <f t="shared" ca="1" si="51"/>
        <v>1.5445784729300169</v>
      </c>
      <c r="AI104" s="96">
        <f t="shared" ca="1" si="52"/>
        <v>1.5409737509283516</v>
      </c>
      <c r="AJ104" s="62"/>
      <c r="AK104" s="96">
        <f t="shared" ca="1" si="53"/>
        <v>0.11471760856631413</v>
      </c>
      <c r="AL104" s="96"/>
      <c r="AM104" s="94"/>
      <c r="AN104" s="95"/>
      <c r="AX104" s="106">
        <f t="shared" ca="1" si="54"/>
        <v>0.54508000000000001</v>
      </c>
      <c r="AY104" s="106">
        <f t="shared" ca="1" si="55"/>
        <v>0.54509982400000001</v>
      </c>
      <c r="AZ104" s="106">
        <f t="shared" ca="1" si="56"/>
        <v>0.54506017600000012</v>
      </c>
      <c r="BB104" s="109">
        <f ca="1">_xll.EURO(UnderlyingPrice,$D104,IntRate,Yield,AX104,$D$6,1,0)</f>
        <v>1.7159273054755009E-2</v>
      </c>
      <c r="BC104" s="109">
        <f ca="1">_xll.EURO(UnderlyingPrice,$D104*(1+$P$8),IntRate,Yield,AY104,$D$6,1,0)</f>
        <v>1.7096400984681626E-2</v>
      </c>
      <c r="BD104" s="109">
        <f ca="1">_xll.EURO(UnderlyingPrice,$D104*(1-$P$8),IntRate,Yield,AZ104,$D$6,1,0)</f>
        <v>1.7222355826987557E-2</v>
      </c>
      <c r="BF104" s="59">
        <f t="shared" ca="1" si="57"/>
        <v>0.21446004822729861</v>
      </c>
      <c r="BG104" s="62">
        <f t="shared" ca="1" si="58"/>
        <v>0.21487286594938115</v>
      </c>
      <c r="BI104" s="96">
        <f t="shared" ca="1" si="59"/>
        <v>1.5432625739047716</v>
      </c>
      <c r="BJ104" s="96">
        <f t="shared" ca="1" si="60"/>
        <v>1.5450653667308949</v>
      </c>
      <c r="BK104" s="96">
        <f t="shared" ca="1" si="61"/>
        <v>1.5414594204840215</v>
      </c>
      <c r="BL104" s="62"/>
      <c r="BM104" s="96">
        <f t="shared" ca="1" si="62"/>
        <v>0.11812820832462356</v>
      </c>
      <c r="BO104" s="58">
        <f t="shared" ca="1" si="63"/>
        <v>2.1539348183491347E-4</v>
      </c>
      <c r="BP104" s="46">
        <f t="shared" ca="1" si="64"/>
        <v>1.255259946896327E-2</v>
      </c>
    </row>
    <row r="105" spans="3:68" x14ac:dyDescent="0.2">
      <c r="C105" s="56">
        <v>92</v>
      </c>
      <c r="D105" s="63">
        <f t="shared" ca="1" si="65"/>
        <v>4.9720000000000013</v>
      </c>
      <c r="E105" s="45">
        <f t="shared" ca="1" si="44"/>
        <v>0.18324607329842957</v>
      </c>
      <c r="F105" s="45">
        <f t="shared" ca="1" si="36"/>
        <v>0.18348272251308928</v>
      </c>
      <c r="G105" s="45">
        <f t="shared" ca="1" si="37"/>
        <v>0.18300942408377008</v>
      </c>
      <c r="H105" s="45">
        <f t="shared" ca="1" si="38"/>
        <v>0.54398946922380143</v>
      </c>
      <c r="I105" s="45">
        <f t="shared" ca="1" si="41"/>
        <v>0.54395839114200029</v>
      </c>
      <c r="J105" s="45">
        <f t="shared" ca="1" si="39"/>
        <v>0.5439273223380946</v>
      </c>
      <c r="L105" s="58">
        <f ca="1">_xll.EURO(UnderlyingPrice,$D105,IntRate,Yield,$I105,$D$6,L$12,0)</f>
        <v>1.5985253789816689E-2</v>
      </c>
      <c r="M105" s="58">
        <f ca="1">_xll.EURO(UnderlyingPrice,$D105,IntRate,Yield,$I105,$D$6,M$12,0)</f>
        <v>0.78450591555602367</v>
      </c>
      <c r="O105" s="58">
        <f ca="1">_xll.EURO(UnderlyingPrice,$D105*(1+$P$8),IntRate,Yield,$H105,Expiry-Today,O$12,0)</f>
        <v>1.5927376486855493E-2</v>
      </c>
      <c r="P105" s="58">
        <f ca="1">_xll.EURO(UnderlyingPrice,$D105*(1+$P$8),IntRate,Yield,$H105,Expiry-Today,P$12,0)</f>
        <v>0.7854405277934009</v>
      </c>
      <c r="R105" s="58">
        <f ca="1">_xll.EURO(UnderlyingPrice,$D105*(1-$P$8),IntRate,Yield,$J105,Expiry-Today,R$12,0)</f>
        <v>1.6043327151384956E-2</v>
      </c>
      <c r="S105" s="58">
        <f ca="1">_xll.EURO(UnderlyingPrice,$D105*(1-$P$8),IntRate,Yield,$J105,Expiry-Today,S$12,0)</f>
        <v>0.78357149937725534</v>
      </c>
      <c r="U105" s="59">
        <f t="shared" ca="1" si="45"/>
        <v>0.19827304735916043</v>
      </c>
      <c r="V105" s="59"/>
      <c r="W105" s="62">
        <f t="shared" ca="1" si="40"/>
        <v>0.19865470645341943</v>
      </c>
      <c r="Z105" s="59">
        <f t="shared" ca="1" si="46"/>
        <v>0.72308728699908964</v>
      </c>
      <c r="AA105" s="59">
        <f t="shared" ca="1" si="47"/>
        <v>0.17441824927959187</v>
      </c>
      <c r="AB105" s="59">
        <f t="shared" ca="1" si="42"/>
        <v>-3.0421725681757852E-2</v>
      </c>
      <c r="AC105" s="59">
        <f t="shared" ca="1" si="48"/>
        <v>-1.2353141343126892</v>
      </c>
      <c r="AD105" s="60">
        <f t="shared" ca="1" si="43"/>
        <v>0.29074341553800703</v>
      </c>
      <c r="AE105" s="60">
        <f t="shared" ca="1" si="49"/>
        <v>0.21023286755422646</v>
      </c>
      <c r="AF105" s="60"/>
      <c r="AG105" s="96">
        <f t="shared" ca="1" si="50"/>
        <v>1.5718232307181932</v>
      </c>
      <c r="AH105" s="96">
        <f t="shared" ca="1" si="51"/>
        <v>1.5736254114829256</v>
      </c>
      <c r="AI105" s="96">
        <f t="shared" ca="1" si="52"/>
        <v>1.5700206894812603</v>
      </c>
      <c r="AJ105" s="62"/>
      <c r="AK105" s="96">
        <f t="shared" ca="1" si="53"/>
        <v>0.10960192769707135</v>
      </c>
      <c r="AL105" s="96"/>
      <c r="AM105" s="94"/>
      <c r="AN105" s="95"/>
      <c r="AX105" s="106">
        <f t="shared" ca="1" si="54"/>
        <v>0.54540000000000011</v>
      </c>
      <c r="AY105" s="106">
        <f t="shared" ca="1" si="55"/>
        <v>0.54541988800000007</v>
      </c>
      <c r="AZ105" s="106">
        <f t="shared" ca="1" si="56"/>
        <v>0.54538011200000003</v>
      </c>
      <c r="BB105" s="109">
        <f ca="1">_xll.EURO(UnderlyingPrice,$D105,IntRate,Yield,AX105,$D$6,1,0)</f>
        <v>1.6169718992200877E-2</v>
      </c>
      <c r="BC105" s="109">
        <f ca="1">_xll.EURO(UnderlyingPrice,$D105*(1+$P$8),IntRate,Yield,AY105,$D$6,1,0)</f>
        <v>1.6109973152864554E-2</v>
      </c>
      <c r="BD105" s="109">
        <f ca="1">_xll.EURO(UnderlyingPrice,$D105*(1-$P$8),IntRate,Yield,AZ105,$D$6,1,0)</f>
        <v>1.6229667203426223E-2</v>
      </c>
      <c r="BF105" s="59">
        <f t="shared" ca="1" si="57"/>
        <v>0.20465763648947932</v>
      </c>
      <c r="BG105" s="62">
        <f t="shared" ca="1" si="58"/>
        <v>0.20505158538579235</v>
      </c>
      <c r="BI105" s="96">
        <f t="shared" ca="1" si="59"/>
        <v>1.5723193774556785</v>
      </c>
      <c r="BJ105" s="96">
        <f t="shared" ca="1" si="60"/>
        <v>1.5741221702818027</v>
      </c>
      <c r="BK105" s="96">
        <f t="shared" ca="1" si="61"/>
        <v>1.5705162240349291</v>
      </c>
      <c r="BL105" s="62"/>
      <c r="BM105" s="96">
        <f t="shared" ca="1" si="62"/>
        <v>0.11309280979128208</v>
      </c>
      <c r="BO105" s="58">
        <f t="shared" ca="1" si="63"/>
        <v>1.8446520238418751E-4</v>
      </c>
      <c r="BP105" s="46">
        <f t="shared" ca="1" si="64"/>
        <v>1.1408064819998443E-2</v>
      </c>
    </row>
    <row r="106" spans="3:68" x14ac:dyDescent="0.2">
      <c r="C106" s="56">
        <v>93</v>
      </c>
      <c r="D106" s="63">
        <f t="shared" ca="1" si="65"/>
        <v>4.9880000000000013</v>
      </c>
      <c r="E106" s="45">
        <f t="shared" ca="1" si="44"/>
        <v>0.18705378391242289</v>
      </c>
      <c r="F106" s="45">
        <f t="shared" ca="1" si="36"/>
        <v>0.18729119466920552</v>
      </c>
      <c r="G106" s="45">
        <f t="shared" ca="1" si="37"/>
        <v>0.18681637315564048</v>
      </c>
      <c r="H106" s="45">
        <f t="shared" ca="1" si="38"/>
        <v>0.5444908145242513</v>
      </c>
      <c r="I106" s="45">
        <f t="shared" ca="1" si="41"/>
        <v>0.54445950002880861</v>
      </c>
      <c r="J106" s="45">
        <f t="shared" ca="1" si="39"/>
        <v>0.54442819330123082</v>
      </c>
      <c r="L106" s="58">
        <f ca="1">_xll.EURO(UnderlyingPrice,$D106,IntRate,Yield,$I106,$D$6,L$12,0)</f>
        <v>1.5077394103626907E-2</v>
      </c>
      <c r="M106" s="58">
        <f ca="1">_xll.EURO(UnderlyingPrice,$D106,IntRate,Yield,$I106,$D$6,M$12,0)</f>
        <v>0.79956731637406753</v>
      </c>
      <c r="O106" s="58">
        <f ca="1">_xll.EURO(UnderlyingPrice,$D106*(1+$P$8),IntRate,Yield,$H106,Expiry-Today,O$12,0)</f>
        <v>1.5022414241714799E-2</v>
      </c>
      <c r="P106" s="58">
        <f ca="1">_xll.EURO(UnderlyingPrice,$D106*(1+$P$8),IntRate,Yield,$H106,Expiry-Today,P$12,0)</f>
        <v>0.80050801990459464</v>
      </c>
      <c r="R106" s="58">
        <f ca="1">_xll.EURO(UnderlyingPrice,$D106*(1-$P$8),IntRate,Yield,$J106,Expiry-Today,R$12,0)</f>
        <v>1.5132561795026256E-2</v>
      </c>
      <c r="S106" s="58">
        <f ca="1">_xll.EURO(UnderlyingPrice,$D106*(1-$P$8),IntRate,Yield,$J106,Expiry-Today,S$12,0)</f>
        <v>0.79862680067302794</v>
      </c>
      <c r="U106" s="59">
        <f t="shared" ca="1" si="45"/>
        <v>0.18873432489126415</v>
      </c>
      <c r="V106" s="59"/>
      <c r="W106" s="62">
        <f t="shared" ca="1" si="40"/>
        <v>0.18909762273962527</v>
      </c>
      <c r="Z106" s="59">
        <f t="shared" ca="1" si="46"/>
        <v>0.72076784101031954</v>
      </c>
      <c r="AA106" s="59">
        <f t="shared" ca="1" si="47"/>
        <v>0.17763110344891719</v>
      </c>
      <c r="AB106" s="59">
        <f t="shared" ca="1" si="42"/>
        <v>-3.155280891247992E-2</v>
      </c>
      <c r="AC106" s="59">
        <f t="shared" ca="1" si="48"/>
        <v>-1.2812432547252397</v>
      </c>
      <c r="AD106" s="60">
        <f t="shared" ca="1" si="43"/>
        <v>0.27769184405525948</v>
      </c>
      <c r="AE106" s="60">
        <f t="shared" ca="1" si="49"/>
        <v>0.20015135090588371</v>
      </c>
      <c r="AF106" s="60"/>
      <c r="AG106" s="96">
        <f t="shared" ca="1" si="50"/>
        <v>1.6007768456129292</v>
      </c>
      <c r="AH106" s="96">
        <f t="shared" ca="1" si="51"/>
        <v>1.6025790263776623</v>
      </c>
      <c r="AI106" s="96">
        <f t="shared" ca="1" si="52"/>
        <v>1.598974304375995</v>
      </c>
      <c r="AJ106" s="62"/>
      <c r="AK106" s="96">
        <f t="shared" ca="1" si="53"/>
        <v>0.10466481928858723</v>
      </c>
      <c r="AL106" s="96"/>
      <c r="AM106" s="94"/>
      <c r="AN106" s="95"/>
      <c r="AX106" s="106">
        <f t="shared" ca="1" si="54"/>
        <v>0.54572000000000009</v>
      </c>
      <c r="AY106" s="106">
        <f t="shared" ca="1" si="55"/>
        <v>0.54573995200000003</v>
      </c>
      <c r="AZ106" s="106">
        <f t="shared" ca="1" si="56"/>
        <v>0.54570004800000005</v>
      </c>
      <c r="BB106" s="109">
        <f ca="1">_xll.EURO(UnderlyingPrice,$D106,IntRate,Yield,AX106,$D$6,1,0)</f>
        <v>1.5232564513924685E-2</v>
      </c>
      <c r="BC106" s="109">
        <f ca="1">_xll.EURO(UnderlyingPrice,$D106*(1+$P$8),IntRate,Yield,AY106,$D$6,1,0)</f>
        <v>1.5175812727493521E-2</v>
      </c>
      <c r="BD106" s="109">
        <f ca="1">_xll.EURO(UnderlyingPrice,$D106*(1-$P$8),IntRate,Yield,AZ106,$D$6,1,0)</f>
        <v>1.5289510559922559E-2</v>
      </c>
      <c r="BF106" s="59">
        <f t="shared" ca="1" si="57"/>
        <v>0.19519538020999305</v>
      </c>
      <c r="BG106" s="62">
        <f t="shared" ca="1" si="58"/>
        <v>0.19557111505144903</v>
      </c>
      <c r="BI106" s="96">
        <f t="shared" ca="1" si="59"/>
        <v>1.601282825653586</v>
      </c>
      <c r="BJ106" s="96">
        <f t="shared" ca="1" si="60"/>
        <v>1.6030856184797111</v>
      </c>
      <c r="BK106" s="96">
        <f t="shared" ca="1" si="61"/>
        <v>1.5994796722328357</v>
      </c>
      <c r="BL106" s="62"/>
      <c r="BM106" s="96">
        <f t="shared" ca="1" si="62"/>
        <v>0.10821112186260955</v>
      </c>
      <c r="BO106" s="58">
        <f t="shared" ca="1" si="63"/>
        <v>1.5517041029777801E-4</v>
      </c>
      <c r="BP106" s="46">
        <f t="shared" ca="1" si="64"/>
        <v>1.0186755497141053E-2</v>
      </c>
    </row>
    <row r="107" spans="3:68" x14ac:dyDescent="0.2">
      <c r="C107" s="56">
        <v>94</v>
      </c>
      <c r="D107" s="63">
        <f t="shared" ca="1" si="65"/>
        <v>5.0040000000000013</v>
      </c>
      <c r="E107" s="45">
        <f t="shared" ca="1" si="44"/>
        <v>0.19086149452641643</v>
      </c>
      <c r="F107" s="45">
        <f t="shared" ca="1" si="36"/>
        <v>0.19109966682532153</v>
      </c>
      <c r="G107" s="45">
        <f t="shared" ca="1" si="37"/>
        <v>0.1906233222275111</v>
      </c>
      <c r="H107" s="45">
        <f t="shared" ca="1" si="38"/>
        <v>0.54499413358913784</v>
      </c>
      <c r="I107" s="45">
        <f t="shared" ca="1" si="41"/>
        <v>0.54496260706864641</v>
      </c>
      <c r="J107" s="45">
        <f t="shared" ca="1" si="39"/>
        <v>0.54493108678600677</v>
      </c>
      <c r="L107" s="58">
        <f ca="1">_xll.EURO(UnderlyingPrice,$D107,IntRate,Yield,$I107,$D$6,L$12,0)</f>
        <v>1.4217858446912923E-2</v>
      </c>
      <c r="M107" s="58">
        <f ca="1">_xll.EURO(UnderlyingPrice,$D107,IntRate,Yield,$I107,$D$6,M$12,0)</f>
        <v>0.81467704122158668</v>
      </c>
      <c r="O107" s="58">
        <f ca="1">_xll.EURO(UnderlyingPrice,$D107*(1+$P$8),IntRate,Yield,$H107,Expiry-Today,O$12,0)</f>
        <v>1.4165646266374232E-2</v>
      </c>
      <c r="P107" s="58">
        <f ca="1">_xll.EURO(UnderlyingPrice,$D107*(1+$P$8),IntRate,Yield,$H107,Expiry-Today,P$12,0)</f>
        <v>0.81562370628558822</v>
      </c>
      <c r="R107" s="58">
        <f ca="1">_xll.EURO(UnderlyingPrice,$D107*(1-$P$8),IntRate,Yield,$J107,Expiry-Today,R$12,0)</f>
        <v>1.4270250488911396E-2</v>
      </c>
      <c r="S107" s="58">
        <f ca="1">_xll.EURO(UnderlyingPrice,$D107*(1-$P$8),IntRate,Yield,$J107,Expiry-Today,S$12,0)</f>
        <v>0.81373055601904554</v>
      </c>
      <c r="U107" s="59">
        <f t="shared" ca="1" si="45"/>
        <v>0.17957402641180265</v>
      </c>
      <c r="V107" s="59"/>
      <c r="W107" s="62">
        <f t="shared" ca="1" si="40"/>
        <v>0.1799196914489099</v>
      </c>
      <c r="Z107" s="59">
        <f t="shared" ca="1" si="46"/>
        <v>0.71846322760980685</v>
      </c>
      <c r="AA107" s="59">
        <f t="shared" ca="1" si="47"/>
        <v>0.18083366823579206</v>
      </c>
      <c r="AB107" s="59">
        <f t="shared" ca="1" si="42"/>
        <v>-3.2700815567612507E-2</v>
      </c>
      <c r="AC107" s="59">
        <f t="shared" ca="1" si="48"/>
        <v>-1.3278595730171603</v>
      </c>
      <c r="AD107" s="60">
        <f t="shared" ca="1" si="43"/>
        <v>0.26504396184046375</v>
      </c>
      <c r="AE107" s="60">
        <f t="shared" ca="1" si="49"/>
        <v>0.19042434028239008</v>
      </c>
      <c r="AF107" s="60"/>
      <c r="AG107" s="96">
        <f t="shared" ca="1" si="50"/>
        <v>1.6296377346006445</v>
      </c>
      <c r="AH107" s="96">
        <f t="shared" ca="1" si="51"/>
        <v>1.6314399153653754</v>
      </c>
      <c r="AI107" s="96">
        <f t="shared" ca="1" si="52"/>
        <v>1.6278351933637096</v>
      </c>
      <c r="AJ107" s="62"/>
      <c r="AK107" s="96">
        <f t="shared" ca="1" si="53"/>
        <v>9.9904307249692154E-2</v>
      </c>
      <c r="AL107" s="96"/>
      <c r="AM107" s="94"/>
      <c r="AN107" s="95"/>
      <c r="AX107" s="106">
        <f t="shared" ca="1" si="54"/>
        <v>0.54604000000000008</v>
      </c>
      <c r="AY107" s="106">
        <f t="shared" ca="1" si="55"/>
        <v>0.54606001600000009</v>
      </c>
      <c r="AZ107" s="106">
        <f t="shared" ca="1" si="56"/>
        <v>0.54601998400000007</v>
      </c>
      <c r="BB107" s="109">
        <f ca="1">_xll.EURO(UnderlyingPrice,$D107,IntRate,Yield,AX107,$D$6,1,0)</f>
        <v>1.4345387199578508E-2</v>
      </c>
      <c r="BC107" s="109">
        <f ca="1">_xll.EURO(UnderlyingPrice,$D107*(1+$P$8),IntRate,Yield,AY107,$D$6,1,0)</f>
        <v>1.4291501226369518E-2</v>
      </c>
      <c r="BD107" s="109">
        <f ca="1">_xll.EURO(UnderlyingPrice,$D107*(1-$P$8),IntRate,Yield,AZ107,$D$6,1,0)</f>
        <v>1.4399459540013704E-2</v>
      </c>
      <c r="BF107" s="59">
        <f t="shared" ca="1" si="57"/>
        <v>0.18606939608886242</v>
      </c>
      <c r="BG107" s="62">
        <f t="shared" ca="1" si="58"/>
        <v>0.18642756417134493</v>
      </c>
      <c r="BI107" s="96">
        <f t="shared" ca="1" si="59"/>
        <v>1.6301535164526557</v>
      </c>
      <c r="BJ107" s="96">
        <f t="shared" ca="1" si="60"/>
        <v>1.6319563092787785</v>
      </c>
      <c r="BK107" s="96">
        <f t="shared" ca="1" si="61"/>
        <v>1.6283503630319047</v>
      </c>
      <c r="BL107" s="62"/>
      <c r="BM107" s="96">
        <f t="shared" ca="1" si="62"/>
        <v>0.10348279949233002</v>
      </c>
      <c r="BO107" s="58">
        <f t="shared" ca="1" si="63"/>
        <v>1.2752875266558439E-4</v>
      </c>
      <c r="BP107" s="46">
        <f t="shared" ca="1" si="64"/>
        <v>8.8898787388137848E-3</v>
      </c>
    </row>
    <row r="108" spans="3:68" x14ac:dyDescent="0.2">
      <c r="C108" s="56">
        <v>95</v>
      </c>
      <c r="D108" s="63">
        <f t="shared" ca="1" si="65"/>
        <v>5.0200000000000014</v>
      </c>
      <c r="E108" s="45">
        <f t="shared" ca="1" si="44"/>
        <v>0.19466920514040975</v>
      </c>
      <c r="F108" s="45">
        <f t="shared" ca="1" si="36"/>
        <v>0.19490813898143777</v>
      </c>
      <c r="G108" s="45">
        <f t="shared" ca="1" si="37"/>
        <v>0.19443027129938151</v>
      </c>
      <c r="H108" s="45">
        <f t="shared" ca="1" si="38"/>
        <v>0.54549902236118086</v>
      </c>
      <c r="I108" s="45">
        <f t="shared" ca="1" si="41"/>
        <v>0.54546730844657088</v>
      </c>
      <c r="J108" s="45">
        <f t="shared" ca="1" si="39"/>
        <v>0.54543559921972007</v>
      </c>
      <c r="L108" s="58">
        <f ca="1">_xll.EURO(UnderlyingPrice,$D108,IntRate,Yield,$I108,$D$6,L$12,0)</f>
        <v>1.340430161588213E-2</v>
      </c>
      <c r="M108" s="58">
        <f ca="1">_xll.EURO(UnderlyingPrice,$D108,IntRate,Yield,$I108,$D$6,M$12,0)</f>
        <v>0.82983274489478864</v>
      </c>
      <c r="O108" s="58">
        <f ca="1">_xll.EURO(UnderlyingPrice,$D108*(1+$P$8),IntRate,Yield,$H108,Expiry-Today,O$12,0)</f>
        <v>1.3354731937067155E-2</v>
      </c>
      <c r="P108" s="58">
        <f ca="1">_xll.EURO(UnderlyingPrice,$D108*(1+$P$8),IntRate,Yield,$H108,Expiry-Today,P$12,0)</f>
        <v>0.83078524631261441</v>
      </c>
      <c r="R108" s="58">
        <f ca="1">_xll.EURO(UnderlyingPrice,$D108*(1-$P$8),IntRate,Yield,$J108,Expiry-Today,R$12,0)</f>
        <v>1.3454043447995445E-2</v>
      </c>
      <c r="S108" s="58">
        <f ca="1">_xll.EURO(UnderlyingPrice,$D108*(1-$P$8),IntRate,Yield,$J108,Expiry-Today,S$12,0)</f>
        <v>0.8288804156302616</v>
      </c>
      <c r="U108" s="59">
        <f t="shared" ca="1" si="45"/>
        <v>0.1707842914586403</v>
      </c>
      <c r="V108" s="59"/>
      <c r="W108" s="62">
        <f t="shared" ca="1" si="40"/>
        <v>0.17111303698840311</v>
      </c>
      <c r="Z108" s="59">
        <f t="shared" ca="1" si="46"/>
        <v>0.71617330497200682</v>
      </c>
      <c r="AA108" s="59">
        <f t="shared" ca="1" si="47"/>
        <v>0.18402600933476518</v>
      </c>
      <c r="AB108" s="59">
        <f t="shared" ca="1" si="42"/>
        <v>-3.3865572111679079E-2</v>
      </c>
      <c r="AC108" s="59">
        <f t="shared" ca="1" si="48"/>
        <v>-1.3751560425524643</v>
      </c>
      <c r="AD108" s="60">
        <f t="shared" ca="1" si="43"/>
        <v>0.25280014514692378</v>
      </c>
      <c r="AE108" s="60">
        <f t="shared" ca="1" si="49"/>
        <v>0.18104871544727544</v>
      </c>
      <c r="AF108" s="60"/>
      <c r="AG108" s="96">
        <f t="shared" ca="1" si="50"/>
        <v>1.6584064897077944</v>
      </c>
      <c r="AH108" s="96">
        <f t="shared" ca="1" si="51"/>
        <v>1.6602086704725261</v>
      </c>
      <c r="AI108" s="96">
        <f t="shared" ca="1" si="52"/>
        <v>1.6566039484708583</v>
      </c>
      <c r="AJ108" s="62"/>
      <c r="AK108" s="96">
        <f t="shared" ca="1" si="53"/>
        <v>9.5318024001226492E-2</v>
      </c>
      <c r="AL108" s="96"/>
      <c r="AM108" s="94"/>
      <c r="AN108" s="95"/>
      <c r="AX108" s="106">
        <f t="shared" ca="1" si="54"/>
        <v>0.54636000000000007</v>
      </c>
      <c r="AY108" s="106">
        <f t="shared" ca="1" si="55"/>
        <v>0.54638008000000005</v>
      </c>
      <c r="AZ108" s="106">
        <f t="shared" ca="1" si="56"/>
        <v>0.54633992000000009</v>
      </c>
      <c r="BB108" s="109">
        <f ca="1">_xll.EURO(UnderlyingPrice,$D108,IntRate,Yield,AX108,$D$6,1,0)</f>
        <v>1.350585070132998E-2</v>
      </c>
      <c r="BC108" s="109">
        <f ca="1">_xll.EURO(UnderlyingPrice,$D108*(1+$P$8),IntRate,Yield,AY108,$D$6,1,0)</f>
        <v>1.3454706241320613E-2</v>
      </c>
      <c r="BD108" s="109">
        <f ca="1">_xll.EURO(UnderlyingPrice,$D108*(1-$P$8),IntRate,Yield,AZ108,$D$6,1,0)</f>
        <v>1.3557173857560445E-2</v>
      </c>
      <c r="BF108" s="59">
        <f t="shared" ca="1" si="57"/>
        <v>0.17727518322935143</v>
      </c>
      <c r="BG108" s="62">
        <f t="shared" ca="1" si="58"/>
        <v>0.1776164231848929</v>
      </c>
      <c r="BI108" s="96">
        <f t="shared" ca="1" si="59"/>
        <v>1.6589320420804081</v>
      </c>
      <c r="BJ108" s="96">
        <f t="shared" ca="1" si="60"/>
        <v>1.6607348349065316</v>
      </c>
      <c r="BK108" s="96">
        <f t="shared" ca="1" si="61"/>
        <v>1.6571288886596558</v>
      </c>
      <c r="BL108" s="62"/>
      <c r="BM108" s="96">
        <f t="shared" ca="1" si="62"/>
        <v>9.890712543601235E-2</v>
      </c>
      <c r="BO108" s="58">
        <f t="shared" ca="1" si="63"/>
        <v>1.0154908544784957E-4</v>
      </c>
      <c r="BP108" s="46">
        <f t="shared" ca="1" si="64"/>
        <v>7.5188958987862644E-3</v>
      </c>
    </row>
    <row r="109" spans="3:68" x14ac:dyDescent="0.2">
      <c r="C109" s="56">
        <v>96</v>
      </c>
      <c r="D109" s="63">
        <f t="shared" ca="1" si="65"/>
        <v>5.0360000000000014</v>
      </c>
      <c r="E109" s="45">
        <f t="shared" ca="1" si="44"/>
        <v>0.19847691575440307</v>
      </c>
      <c r="F109" s="45">
        <f t="shared" ca="1" si="36"/>
        <v>0.19871661113755401</v>
      </c>
      <c r="G109" s="45">
        <f t="shared" ca="1" si="37"/>
        <v>0.19823722037125213</v>
      </c>
      <c r="H109" s="45">
        <f t="shared" ca="1" si="38"/>
        <v>0.54600507678310073</v>
      </c>
      <c r="I109" s="45">
        <f t="shared" ca="1" si="41"/>
        <v>0.54597320034763941</v>
      </c>
      <c r="J109" s="45">
        <f t="shared" ca="1" si="39"/>
        <v>0.5459413270296688</v>
      </c>
      <c r="L109" s="58">
        <f ca="1">_xll.EURO(UnderlyingPrice,$D109,IntRate,Yield,$I109,$D$6,L$12,0)</f>
        <v>1.2634473260034529E-2</v>
      </c>
      <c r="M109" s="58">
        <f ca="1">_xll.EURO(UnderlyingPrice,$D109,IntRate,Yield,$I109,$D$6,M$12,0)</f>
        <v>0.84503217704317457</v>
      </c>
      <c r="O109" s="58">
        <f ca="1">_xll.EURO(UnderlyingPrice,$D109*(1+$P$8),IntRate,Yield,$H109,Expiry-Today,O$12,0)</f>
        <v>1.2587425428685128E-2</v>
      </c>
      <c r="P109" s="58">
        <f ca="1">_xll.EURO(UnderlyingPrice,$D109*(1+$P$8),IntRate,Yield,$H109,Expiry-Today,P$12,0)</f>
        <v>0.84599039416056554</v>
      </c>
      <c r="R109" s="58">
        <f ca="1">_xll.EURO(UnderlyingPrice,$D109*(1-$P$8),IntRate,Yield,$J109,Expiry-Today,R$12,0)</f>
        <v>1.2681685794474706E-2</v>
      </c>
      <c r="S109" s="58">
        <f ca="1">_xll.EURO(UnderlyingPrice,$D109*(1-$P$8),IntRate,Yield,$J109,Expiry-Today,S$12,0)</f>
        <v>0.84407412462887299</v>
      </c>
      <c r="U109" s="59">
        <f t="shared" ca="1" si="45"/>
        <v>0.16235673718821897</v>
      </c>
      <c r="V109" s="59"/>
      <c r="W109" s="62">
        <f t="shared" ca="1" si="40"/>
        <v>0.1626692603782714</v>
      </c>
      <c r="Z109" s="59">
        <f t="shared" ca="1" si="46"/>
        <v>0.7138979330737637</v>
      </c>
      <c r="AA109" s="59">
        <f t="shared" ca="1" si="47"/>
        <v>0.18720819181322806</v>
      </c>
      <c r="AB109" s="59">
        <f t="shared" ca="1" si="42"/>
        <v>-3.5046907081978391E-2</v>
      </c>
      <c r="AC109" s="59">
        <f t="shared" ca="1" si="48"/>
        <v>-1.4231257008629286</v>
      </c>
      <c r="AD109" s="60">
        <f t="shared" ca="1" si="43"/>
        <v>0.24095967073023547</v>
      </c>
      <c r="AE109" s="60">
        <f t="shared" ca="1" si="49"/>
        <v>0.17202061088844978</v>
      </c>
      <c r="AF109" s="60"/>
      <c r="AG109" s="96">
        <f t="shared" ca="1" si="50"/>
        <v>1.6870836973090153</v>
      </c>
      <c r="AH109" s="96">
        <f t="shared" ca="1" si="51"/>
        <v>1.6888858780737477</v>
      </c>
      <c r="AI109" s="96">
        <f t="shared" ca="1" si="52"/>
        <v>1.6852811560720802</v>
      </c>
      <c r="AJ109" s="62"/>
      <c r="AK109" s="96">
        <f t="shared" ca="1" si="53"/>
        <v>9.0903253553091895E-2</v>
      </c>
      <c r="AL109" s="96"/>
      <c r="AM109" s="94"/>
      <c r="AN109" s="95"/>
      <c r="AX109" s="106">
        <f t="shared" ca="1" si="54"/>
        <v>0.54668000000000005</v>
      </c>
      <c r="AY109" s="106">
        <f t="shared" ca="1" si="55"/>
        <v>0.54670014400000011</v>
      </c>
      <c r="AZ109" s="106">
        <f t="shared" ca="1" si="56"/>
        <v>0.54665985600000011</v>
      </c>
      <c r="BB109" s="109">
        <f ca="1">_xll.EURO(UnderlyingPrice,$D109,IntRate,Yield,AX109,$D$6,1,0)</f>
        <v>1.2711703593125845E-2</v>
      </c>
      <c r="BC109" s="109">
        <f ca="1">_xll.EURO(UnderlyingPrice,$D109*(1+$P$8),IntRate,Yield,AY109,$D$6,1,0)</f>
        <v>1.2663180276978381E-2</v>
      </c>
      <c r="BD109" s="109">
        <f ca="1">_xll.EURO(UnderlyingPrice,$D109*(1-$P$8),IntRate,Yield,AZ109,$D$6,1,0)</f>
        <v>1.2760398156542285E-2</v>
      </c>
      <c r="BF109" s="59">
        <f t="shared" ca="1" si="57"/>
        <v>0.16880768728885795</v>
      </c>
      <c r="BG109" s="62">
        <f t="shared" ca="1" si="58"/>
        <v>0.16913262802030249</v>
      </c>
      <c r="BI109" s="96">
        <f t="shared" ca="1" si="59"/>
        <v>1.6876189891106257</v>
      </c>
      <c r="BJ109" s="96">
        <f t="shared" ca="1" si="60"/>
        <v>1.6894217819367499</v>
      </c>
      <c r="BK109" s="96">
        <f t="shared" ca="1" si="61"/>
        <v>1.6858158356898743</v>
      </c>
      <c r="BL109" s="62"/>
      <c r="BM109" s="96">
        <f t="shared" ca="1" si="62"/>
        <v>9.4483040666316104E-2</v>
      </c>
      <c r="BO109" s="58">
        <f t="shared" ca="1" si="63"/>
        <v>7.7230333091315995E-5</v>
      </c>
      <c r="BP109" s="46">
        <f t="shared" ca="1" si="64"/>
        <v>6.0755297293967839E-3</v>
      </c>
    </row>
    <row r="110" spans="3:68" x14ac:dyDescent="0.2">
      <c r="C110" s="56">
        <v>97</v>
      </c>
      <c r="D110" s="63">
        <f t="shared" ca="1" si="65"/>
        <v>5.0520000000000014</v>
      </c>
      <c r="E110" s="45">
        <f t="shared" ca="1" si="44"/>
        <v>0.20228462636839639</v>
      </c>
      <c r="F110" s="45">
        <f t="shared" ca="1" si="36"/>
        <v>0.20252508329367003</v>
      </c>
      <c r="G110" s="45">
        <f t="shared" ca="1" si="37"/>
        <v>0.20204416944312253</v>
      </c>
      <c r="H110" s="45">
        <f t="shared" ca="1" si="38"/>
        <v>0.54651189279761681</v>
      </c>
      <c r="I110" s="45">
        <f t="shared" ca="1" si="41"/>
        <v>0.54647987895690953</v>
      </c>
      <c r="J110" s="45">
        <f t="shared" ca="1" si="39"/>
        <v>0.54644786664315059</v>
      </c>
      <c r="L110" s="58">
        <f ca="1">_xll.EURO(UnderlyingPrice,$D110,IntRate,Yield,$I110,$D$6,L$12,0)</f>
        <v>1.1906215737666981E-2</v>
      </c>
      <c r="M110" s="58">
        <f ca="1">_xll.EURO(UnderlyingPrice,$D110,IntRate,Yield,$I110,$D$6,M$12,0)</f>
        <v>0.86027318002503961</v>
      </c>
      <c r="O110" s="58">
        <f ca="1">_xll.EURO(UnderlyingPrice,$D110*(1+$P$8),IntRate,Yield,$H110,Expiry-Today,O$12,0)</f>
        <v>1.1861573560428718E-2</v>
      </c>
      <c r="P110" s="58">
        <f ca="1">_xll.EURO(UnderlyingPrice,$D110*(1+$P$8),IntRate,Yield,$H110,Expiry-Today,P$12,0)</f>
        <v>0.86123699664864395</v>
      </c>
      <c r="R110" s="58">
        <f ca="1">_xll.EURO(UnderlyingPrice,$D110*(1-$P$8),IntRate,Yield,$J110,Expiry-Today,R$12,0)</f>
        <v>1.195101542320659E-2</v>
      </c>
      <c r="S110" s="58">
        <f ca="1">_xll.EURO(UnderlyingPrice,$D110*(1-$P$8),IntRate,Yield,$J110,Expiry-Today,S$12,0)</f>
        <v>0.85930952090973634</v>
      </c>
      <c r="U110" s="59">
        <f t="shared" ca="1" si="45"/>
        <v>0.1542825373695588</v>
      </c>
      <c r="V110" s="59"/>
      <c r="W110" s="62">
        <f t="shared" ca="1" si="40"/>
        <v>0.15457951839777584</v>
      </c>
      <c r="Z110" s="59">
        <f t="shared" ca="1" si="46"/>
        <v>0.71163697366577083</v>
      </c>
      <c r="AA110" s="59">
        <f t="shared" ca="1" si="47"/>
        <v>0.190380280119372</v>
      </c>
      <c r="AB110" s="59">
        <f t="shared" ca="1" si="42"/>
        <v>-3.6244651058330551E-2</v>
      </c>
      <c r="AC110" s="59">
        <f t="shared" ca="1" si="48"/>
        <v>-1.4717616684195927</v>
      </c>
      <c r="AD110" s="60">
        <f t="shared" ca="1" si="43"/>
        <v>0.22952078929526029</v>
      </c>
      <c r="AE110" s="60">
        <f t="shared" ca="1" si="49"/>
        <v>0.16333547988745808</v>
      </c>
      <c r="AF110" s="60"/>
      <c r="AG110" s="96">
        <f t="shared" ca="1" si="50"/>
        <v>1.7156699381988323</v>
      </c>
      <c r="AH110" s="96">
        <f t="shared" ca="1" si="51"/>
        <v>1.717472118963564</v>
      </c>
      <c r="AI110" s="96">
        <f t="shared" ca="1" si="52"/>
        <v>1.7138673969618963</v>
      </c>
      <c r="AJ110" s="62"/>
      <c r="AK110" s="96">
        <f t="shared" ca="1" si="53"/>
        <v>8.6656971226548224E-2</v>
      </c>
      <c r="AL110" s="96"/>
      <c r="AM110" s="94"/>
      <c r="AN110" s="95"/>
      <c r="AX110" s="106">
        <f t="shared" ca="1" si="54"/>
        <v>0.54700000000000004</v>
      </c>
      <c r="AY110" s="106">
        <f t="shared" ca="1" si="55"/>
        <v>0.54702020800000006</v>
      </c>
      <c r="AZ110" s="106">
        <f t="shared" ca="1" si="56"/>
        <v>0.54697979200000002</v>
      </c>
      <c r="BB110" s="109">
        <f ca="1">_xll.EURO(UnderlyingPrice,$D110,IntRate,Yield,AX110,$D$6,1,0)</f>
        <v>1.1960778077677675E-2</v>
      </c>
      <c r="BC110" s="109">
        <f ca="1">_xll.EURO(UnderlyingPrice,$D110*(1+$P$8),IntRate,Yield,AY110,$D$6,1,0)</f>
        <v>1.1914759448045181E-2</v>
      </c>
      <c r="BD110" s="109">
        <f ca="1">_xll.EURO(UnderlyingPrice,$D110*(1-$P$8),IntRate,Yield,AZ110,$D$6,1,0)</f>
        <v>1.2006960727797222E-2</v>
      </c>
      <c r="BF110" s="59">
        <f t="shared" ca="1" si="57"/>
        <v>0.16066135376314356</v>
      </c>
      <c r="BG110" s="62">
        <f t="shared" ca="1" si="58"/>
        <v>0.16097061348137745</v>
      </c>
      <c r="BI110" s="96">
        <f t="shared" ca="1" si="59"/>
        <v>1.7162149385350844</v>
      </c>
      <c r="BJ110" s="96">
        <f t="shared" ca="1" si="60"/>
        <v>1.7180177313612079</v>
      </c>
      <c r="BK110" s="96">
        <f t="shared" ca="1" si="61"/>
        <v>1.7144117851143321</v>
      </c>
      <c r="BL110" s="62"/>
      <c r="BM110" s="96">
        <f t="shared" ca="1" si="62"/>
        <v>9.0209169369897563E-2</v>
      </c>
      <c r="BO110" s="58">
        <f t="shared" ca="1" si="63"/>
        <v>5.4562340010694266E-5</v>
      </c>
      <c r="BP110" s="46">
        <f t="shared" ca="1" si="64"/>
        <v>4.5617717891216136E-3</v>
      </c>
    </row>
    <row r="111" spans="3:68" x14ac:dyDescent="0.2">
      <c r="C111" s="56">
        <v>98</v>
      </c>
      <c r="D111" s="63">
        <f t="shared" ca="1" si="65"/>
        <v>5.0680000000000014</v>
      </c>
      <c r="E111" s="45">
        <f t="shared" ca="1" si="44"/>
        <v>0.20609233698238971</v>
      </c>
      <c r="F111" s="45">
        <f t="shared" ca="1" si="36"/>
        <v>0.20633355544978627</v>
      </c>
      <c r="G111" s="45">
        <f t="shared" ca="1" si="37"/>
        <v>0.20585111851499316</v>
      </c>
      <c r="H111" s="45">
        <f t="shared" ca="1" si="38"/>
        <v>0.54701906634744923</v>
      </c>
      <c r="I111" s="45">
        <f t="shared" ca="1" si="41"/>
        <v>0.54698694045943819</v>
      </c>
      <c r="J111" s="45">
        <f t="shared" ca="1" si="39"/>
        <v>0.54695481448746375</v>
      </c>
      <c r="L111" s="58">
        <f ca="1">_xll.EURO(UnderlyingPrice,$D111,IntRate,Yield,$I111,$D$6,L$12,0)</f>
        <v>1.1217461857902872E-2</v>
      </c>
      <c r="M111" s="58">
        <f ca="1">_xll.EURO(UnderlyingPrice,$D111,IntRate,Yield,$I111,$D$6,M$12,0)</f>
        <v>0.87555368664950883</v>
      </c>
      <c r="O111" s="58">
        <f ca="1">_xll.EURO(UnderlyingPrice,$D111*(1+$P$8),IntRate,Yield,$H111,Expiry-Today,O$12,0)</f>
        <v>1.1175113529100028E-2</v>
      </c>
      <c r="P111" s="58">
        <f ca="1">_xll.EURO(UnderlyingPrice,$D111*(1+$P$8),IntRate,Yield,$H111,Expiry-Today,P$12,0)</f>
        <v>0.87652299097364939</v>
      </c>
      <c r="R111" s="58">
        <f ca="1">_xll.EURO(UnderlyingPrice,$D111*(1-$P$8),IntRate,Yield,$J111,Expiry-Today,R$12,0)</f>
        <v>1.1259960752536574E-2</v>
      </c>
      <c r="S111" s="58">
        <f ca="1">_xll.EURO(UnderlyingPrice,$D111*(1-$P$8),IntRate,Yield,$J111,Expiry-Today,S$12,0)</f>
        <v>0.87458453289119875</v>
      </c>
      <c r="U111" s="59">
        <f t="shared" ca="1" si="45"/>
        <v>0.14655249660137762</v>
      </c>
      <c r="V111" s="59"/>
      <c r="W111" s="62">
        <f t="shared" ca="1" si="40"/>
        <v>0.14683459794525297</v>
      </c>
      <c r="Z111" s="59">
        <f t="shared" ca="1" si="46"/>
        <v>0.70939029024456857</v>
      </c>
      <c r="AA111" s="59">
        <f t="shared" ca="1" si="47"/>
        <v>0.19354233809001992</v>
      </c>
      <c r="AB111" s="59">
        <f t="shared" ca="1" si="42"/>
        <v>-3.7458636633351576E-2</v>
      </c>
      <c r="AC111" s="59">
        <f t="shared" ca="1" si="48"/>
        <v>-1.5210571474257177</v>
      </c>
      <c r="AD111" s="60">
        <f t="shared" ca="1" si="43"/>
        <v>0.21848079841279794</v>
      </c>
      <c r="AE111" s="60">
        <f t="shared" ca="1" si="49"/>
        <v>0.1549881569989198</v>
      </c>
      <c r="AF111" s="60"/>
      <c r="AG111" s="96">
        <f t="shared" ca="1" si="50"/>
        <v>1.7441657876622381</v>
      </c>
      <c r="AH111" s="96">
        <f t="shared" ca="1" si="51"/>
        <v>1.7459679684269707</v>
      </c>
      <c r="AI111" s="96">
        <f t="shared" ca="1" si="52"/>
        <v>1.7423632464253027</v>
      </c>
      <c r="AJ111" s="62"/>
      <c r="AK111" s="96">
        <f t="shared" ca="1" si="53"/>
        <v>8.2575881528973563E-2</v>
      </c>
      <c r="AL111" s="96"/>
      <c r="AM111" s="94"/>
      <c r="AN111" s="95"/>
      <c r="AX111" s="106">
        <f t="shared" ca="1" si="54"/>
        <v>0.54732000000000003</v>
      </c>
      <c r="AY111" s="106">
        <f t="shared" ca="1" si="55"/>
        <v>0.54734027200000013</v>
      </c>
      <c r="AZ111" s="106">
        <f t="shared" ca="1" si="56"/>
        <v>0.54729972800000004</v>
      </c>
      <c r="BB111" s="109">
        <f ca="1">_xll.EURO(UnderlyingPrice,$D111,IntRate,Yield,AX111,$D$6,1,0)</f>
        <v>1.1250988565925935E-2</v>
      </c>
      <c r="BC111" s="109">
        <f ca="1">_xll.EURO(UnderlyingPrice,$D111*(1+$P$8),IntRate,Yield,AY111,$D$6,1,0)</f>
        <v>1.1207362049797553E-2</v>
      </c>
      <c r="BD111" s="109">
        <f ca="1">_xll.EURO(UnderlyingPrice,$D111*(1-$P$8),IntRate,Yield,AZ111,$D$6,1,0)</f>
        <v>1.1294772097489414E-2</v>
      </c>
      <c r="BF111" s="59">
        <f t="shared" ca="1" si="57"/>
        <v>0.15283018655273406</v>
      </c>
      <c r="BG111" s="62">
        <f t="shared" ca="1" si="58"/>
        <v>0.15312437192665174</v>
      </c>
      <c r="BI111" s="96">
        <f t="shared" ca="1" si="59"/>
        <v>1.7447204658341571</v>
      </c>
      <c r="BJ111" s="96">
        <f t="shared" ca="1" si="60"/>
        <v>1.7465232586602815</v>
      </c>
      <c r="BK111" s="96">
        <f t="shared" ca="1" si="61"/>
        <v>1.7429173124134054</v>
      </c>
      <c r="BL111" s="62"/>
      <c r="BM111" s="96">
        <f t="shared" ca="1" si="62"/>
        <v>8.6083847489027462E-2</v>
      </c>
      <c r="BO111" s="58">
        <f t="shared" ca="1" si="63"/>
        <v>3.352670802306279E-5</v>
      </c>
      <c r="BP111" s="46">
        <f t="shared" ca="1" si="64"/>
        <v>2.9798899738108131E-3</v>
      </c>
    </row>
    <row r="112" spans="3:68" x14ac:dyDescent="0.2">
      <c r="C112" s="56">
        <v>99</v>
      </c>
      <c r="D112" s="63">
        <f t="shared" ca="1" si="65"/>
        <v>5.0840000000000014</v>
      </c>
      <c r="E112" s="45">
        <f t="shared" ca="1" si="44"/>
        <v>0.20990004759638303</v>
      </c>
      <c r="F112" s="45">
        <f t="shared" ca="1" si="36"/>
        <v>0.21014202760590228</v>
      </c>
      <c r="G112" s="45">
        <f t="shared" ca="1" si="37"/>
        <v>0.20965806758686378</v>
      </c>
      <c r="H112" s="45">
        <f t="shared" ca="1" si="38"/>
        <v>0.54752619337531816</v>
      </c>
      <c r="I112" s="45">
        <f t="shared" ca="1" si="41"/>
        <v>0.54749398104028313</v>
      </c>
      <c r="J112" s="45">
        <f t="shared" ca="1" si="39"/>
        <v>0.54746176698990567</v>
      </c>
      <c r="L112" s="58">
        <f ca="1">_xll.EURO(UnderlyingPrice,$D112,IntRate,Yield,$I112,$D$6,L$12,0)</f>
        <v>1.0566232528580161E-2</v>
      </c>
      <c r="M112" s="58">
        <f ca="1">_xll.EURO(UnderlyingPrice,$D112,IntRate,Yield,$I112,$D$6,M$12,0)</f>
        <v>0.89087171782441832</v>
      </c>
      <c r="O112" s="58">
        <f ca="1">_xll.EURO(UnderlyingPrice,$D112*(1+$P$8),IntRate,Yield,$H112,Expiry-Today,O$12,0)</f>
        <v>1.0526070549318589E-2</v>
      </c>
      <c r="P112" s="58">
        <f ca="1">_xll.EURO(UnderlyingPrice,$D112*(1+$P$8),IntRate,Yield,$H112,Expiry-Today,P$12,0)</f>
        <v>0.89184640235019952</v>
      </c>
      <c r="R112" s="58">
        <f ca="1">_xll.EURO(UnderlyingPrice,$D112*(1-$P$8),IntRate,Yield,$J112,Expiry-Today,R$12,0)</f>
        <v>1.0606538379923175E-2</v>
      </c>
      <c r="S112" s="58">
        <f ca="1">_xll.EURO(UnderlyingPrice,$D112*(1-$P$8),IntRate,Yield,$J112,Expiry-Today,S$12,0)</f>
        <v>0.88989717717071803</v>
      </c>
      <c r="U112" s="59">
        <f t="shared" ca="1" si="45"/>
        <v>0.13915712629210233</v>
      </c>
      <c r="V112" s="59"/>
      <c r="W112" s="62">
        <f t="shared" ca="1" si="40"/>
        <v>0.13942499216438159</v>
      </c>
      <c r="Z112" s="59">
        <f t="shared" ca="1" si="46"/>
        <v>0.70715774802507358</v>
      </c>
      <c r="AA112" s="59">
        <f t="shared" ca="1" si="47"/>
        <v>0.19669442895833489</v>
      </c>
      <c r="AB112" s="59">
        <f t="shared" ca="1" si="42"/>
        <v>-3.868869838324545E-2</v>
      </c>
      <c r="AC112" s="59">
        <f t="shared" ca="1" si="48"/>
        <v>-1.5710054206307602</v>
      </c>
      <c r="AD112" s="60">
        <f t="shared" ca="1" si="43"/>
        <v>0.20783611455669998</v>
      </c>
      <c r="AE112" s="60">
        <f t="shared" ca="1" si="49"/>
        <v>0.14697291872819718</v>
      </c>
      <c r="AF112" s="60"/>
      <c r="AG112" s="96">
        <f t="shared" ca="1" si="50"/>
        <v>1.7725718155441603</v>
      </c>
      <c r="AH112" s="96">
        <f t="shared" ca="1" si="51"/>
        <v>1.7743739963088923</v>
      </c>
      <c r="AI112" s="96">
        <f t="shared" ca="1" si="52"/>
        <v>1.7707692743072261</v>
      </c>
      <c r="AJ112" s="62"/>
      <c r="AK112" s="96">
        <f t="shared" ca="1" si="53"/>
        <v>7.8656457816838957E-2</v>
      </c>
      <c r="AL112" s="96"/>
      <c r="AM112" s="94"/>
      <c r="AN112" s="95"/>
      <c r="AX112" s="106">
        <f t="shared" ca="1" si="54"/>
        <v>0.54764000000000013</v>
      </c>
      <c r="AY112" s="106">
        <f t="shared" ca="1" si="55"/>
        <v>0.54766033600000008</v>
      </c>
      <c r="AZ112" s="106">
        <f t="shared" ca="1" si="56"/>
        <v>0.54761966400000006</v>
      </c>
      <c r="BB112" s="109">
        <f ca="1">_xll.EURO(UnderlyingPrice,$D112,IntRate,Yield,AX112,$D$6,1,0)</f>
        <v>1.0580330143147021E-2</v>
      </c>
      <c r="BC112" s="109">
        <f ca="1">_xll.EURO(UnderlyingPrice,$D112*(1+$P$8),IntRate,Yield,AY112,$D$6,1,0)</f>
        <v>1.0538987015964563E-2</v>
      </c>
      <c r="BD112" s="109">
        <f ca="1">_xll.EURO(UnderlyingPrice,$D112*(1-$P$8),IntRate,Yield,AZ112,$D$6,1,0)</f>
        <v>1.0621823501483468E-2</v>
      </c>
      <c r="BF112" s="59">
        <f t="shared" ca="1" si="57"/>
        <v>0.1453078002279595</v>
      </c>
      <c r="BG112" s="62">
        <f t="shared" ca="1" si="58"/>
        <v>0.14558750563503539</v>
      </c>
      <c r="BI112" s="96">
        <f t="shared" ca="1" si="59"/>
        <v>1.7731361410463033</v>
      </c>
      <c r="BJ112" s="96">
        <f t="shared" ca="1" si="60"/>
        <v>1.7749389338724271</v>
      </c>
      <c r="BK112" s="96">
        <f t="shared" ca="1" si="61"/>
        <v>1.7713329876255528</v>
      </c>
      <c r="BL112" s="62"/>
      <c r="BM112" s="96">
        <f t="shared" ca="1" si="62"/>
        <v>8.2105148327168392E-2</v>
      </c>
      <c r="BO112" s="58">
        <f t="shared" ca="1" si="63"/>
        <v>1.4097614566860317E-5</v>
      </c>
      <c r="BP112" s="46">
        <f t="shared" ca="1" si="64"/>
        <v>1.3324361693941539E-3</v>
      </c>
    </row>
    <row r="113" spans="3:68" x14ac:dyDescent="0.2">
      <c r="C113" s="51">
        <v>100</v>
      </c>
      <c r="D113" s="110">
        <f t="shared" ca="1" si="65"/>
        <v>5.1000000000000014</v>
      </c>
      <c r="E113" s="111">
        <f t="shared" ca="1" si="44"/>
        <v>0.21370775821037635</v>
      </c>
      <c r="F113" s="111">
        <f t="shared" ca="1" si="36"/>
        <v>0.2139504997620183</v>
      </c>
      <c r="G113" s="111">
        <f t="shared" ca="1" si="37"/>
        <v>0.21346501665873441</v>
      </c>
      <c r="H113" s="111">
        <f t="shared" ca="1" si="38"/>
        <v>0.54803286982394317</v>
      </c>
      <c r="I113" s="111">
        <f t="shared" ca="1" si="41"/>
        <v>0.54800059688450142</v>
      </c>
      <c r="J113" s="111">
        <f t="shared" ca="1" si="39"/>
        <v>0.54796832057777445</v>
      </c>
      <c r="K113" s="52"/>
      <c r="L113" s="112">
        <f ca="1">_xll.EURO(UnderlyingPrice,$D113,IntRate,Yield,$I113,$D$6,L$12,0)</f>
        <v>9.9506343280112985E-3</v>
      </c>
      <c r="M113" s="112">
        <f ca="1">_xll.EURO(UnderlyingPrice,$D113,IntRate,Yield,$I113,$D$6,M$12,0)</f>
        <v>0.90622538012808329</v>
      </c>
      <c r="N113" s="52"/>
      <c r="O113" s="112">
        <f ca="1">_xll.EURO(UnderlyingPrice,$D113*(1+$P$8),IntRate,Yield,$H113,Expiry-Today,O$12,0)</f>
        <v>9.9125554186050568E-3</v>
      </c>
      <c r="P113" s="112">
        <f ca="1">_xll.EURO(UnderlyingPrice,$D113*(1+$P$8),IntRate,Yield,$H113,Expiry-Today,P$12,0)</f>
        <v>0.90720534157582122</v>
      </c>
      <c r="Q113" s="52"/>
      <c r="R113" s="112">
        <f ca="1">_xll.EURO(UnderlyingPrice,$D113*(1-$P$8),IntRate,Yield,$J113,Expiry-Today,R$12,0)</f>
        <v>9.9888506604229044E-3</v>
      </c>
      <c r="S113" s="112">
        <f ca="1">_xll.EURO(UnderlyingPrice,$D113*(1-$P$8),IntRate,Yield,$J113,Expiry-Today,S$12,0)</f>
        <v>0.90524555610335034</v>
      </c>
      <c r="T113" s="52"/>
      <c r="U113" s="113">
        <f t="shared" ca="1" si="45"/>
        <v>0.13208670257989558</v>
      </c>
      <c r="V113" s="113"/>
      <c r="W113" s="114">
        <f ca="1">U113/$D$9</f>
        <v>0.13234095847570063</v>
      </c>
      <c r="Z113" s="59">
        <f t="shared" ca="1" si="46"/>
        <v>0.70493921391362235</v>
      </c>
      <c r="AA113" s="59">
        <f t="shared" ca="1" si="47"/>
        <v>0.19983661536140734</v>
      </c>
      <c r="AB113" s="59">
        <f t="shared" ca="1" si="42"/>
        <v>-3.9934672839103062E-2</v>
      </c>
      <c r="AC113" s="59">
        <f t="shared" ca="1" si="48"/>
        <v>-1.6215998501649278</v>
      </c>
      <c r="AD113" s="60">
        <f t="shared" ca="1" si="43"/>
        <v>0.19758234394513347</v>
      </c>
      <c r="AE113" s="60">
        <f t="shared" ca="1" si="49"/>
        <v>0.13928354222389336</v>
      </c>
      <c r="AF113" s="60"/>
      <c r="AG113" s="96">
        <f t="shared" ca="1" si="50"/>
        <v>1.8008885863178365</v>
      </c>
      <c r="AH113" s="96">
        <f t="shared" ca="1" si="51"/>
        <v>1.8026907670825676</v>
      </c>
      <c r="AI113" s="96">
        <f t="shared" ca="1" si="52"/>
        <v>1.799086045080903</v>
      </c>
      <c r="AJ113" s="62"/>
      <c r="AK113" s="96">
        <f t="shared" ca="1" si="53"/>
        <v>7.489497252929847E-2</v>
      </c>
      <c r="AL113" s="96"/>
      <c r="AM113" s="94"/>
      <c r="AN113" s="95"/>
      <c r="AX113" s="106">
        <f t="shared" ca="1" si="54"/>
        <v>0.54796000000000011</v>
      </c>
      <c r="AY113" s="106">
        <f t="shared" ca="1" si="55"/>
        <v>0.54798040000000003</v>
      </c>
      <c r="AZ113" s="106">
        <f t="shared" ca="1" si="56"/>
        <v>0.54793960000000008</v>
      </c>
      <c r="BB113" s="109">
        <f ca="1">_xll.EURO(UnderlyingPrice,$D113,IntRate,Yield,AX113,$D$6,1,0)</f>
        <v>9.9468769352276665E-3</v>
      </c>
      <c r="BC113" s="109">
        <f ca="1">_xll.EURO(UnderlyingPrice,$D113*(1+$P$8),IntRate,Yield,AY113,$D$6,1,0)</f>
        <v>9.907712277487879E-3</v>
      </c>
      <c r="BD113" s="109">
        <f ca="1">_xll.EURO(UnderlyingPrice,$D113*(1-$P$8),IntRate,Yield,AZ113,$D$6,1,0)</f>
        <v>9.9861852591691391E-3</v>
      </c>
      <c r="BF113" s="59">
        <f t="shared" ca="1" si="57"/>
        <v>0.13808746797881125</v>
      </c>
      <c r="BG113" s="62">
        <f t="shared" ca="1" si="58"/>
        <v>0.13835327484797105</v>
      </c>
      <c r="BI113" s="96">
        <f t="shared" ca="1" si="59"/>
        <v>1.8014625288364687</v>
      </c>
      <c r="BJ113" s="96">
        <f t="shared" ca="1" si="60"/>
        <v>1.8032653216625916</v>
      </c>
      <c r="BK113" s="96">
        <f t="shared" ca="1" si="61"/>
        <v>1.7996593754157189</v>
      </c>
      <c r="BL113" s="62"/>
      <c r="BM113" s="96">
        <f t="shared" ca="1" si="62"/>
        <v>7.827090626618087E-2</v>
      </c>
      <c r="BO113" s="58">
        <f t="shared" ca="1" si="63"/>
        <v>-3.7573927836320742E-6</v>
      </c>
      <c r="BP113" s="46">
        <f t="shared" ca="1" si="64"/>
        <v>-3.7774598078367338E-4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-0.16706330318895768</v>
      </c>
      <c r="F114" s="45">
        <f t="shared" ref="F114:F164" ca="1" si="66">+D114*(1+$P$8)/UnderlyingPrice-1</f>
        <v>-0.16689671584959542</v>
      </c>
      <c r="G114" s="45">
        <f t="shared" ref="G114:G164" ca="1" si="67">+D114*(1-$P$8)/UnderlyingPrice-1</f>
        <v>-0.16722989052831982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0.56047091989300268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0.56053344238772285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0.56059604058924717</v>
      </c>
      <c r="L114" s="58"/>
      <c r="M114" s="58"/>
      <c r="O114" s="58"/>
      <c r="P114" s="58"/>
      <c r="R114" s="59">
        <f ca="1">(1/($D114*SQRT(2*PI()*T/365.25*$I$114^2)))</f>
        <v>0.97157339535477716</v>
      </c>
      <c r="S114" s="59">
        <f ca="1">LN($D114/UnderlyingPrice)+0.5*T/365.25*$I$114^2</f>
        <v>-0.17591582168848044</v>
      </c>
      <c r="T114" s="59">
        <f t="shared" ref="T114:T164" ca="1" si="71">-(S114^2)</f>
        <v>-3.0946376320333244E-2</v>
      </c>
      <c r="U114" s="59">
        <f ca="1">T114/(2*T/365.25*$I$114^2)</f>
        <v>-1.1242088292214385</v>
      </c>
      <c r="V114" s="59"/>
      <c r="W114" s="104">
        <f ca="1">(Alpha1*R114)*EXP(Gamma2^2*U114)</f>
        <v>0.26678456086014213</v>
      </c>
      <c r="Z114" s="59">
        <f ca="1">(1/($D114*SQRT(2*PI()*T/365.25*ATMImpVol^2)))</f>
        <v>1.0271971402741356</v>
      </c>
      <c r="AA114" s="59">
        <f ca="1">LN($D114/UnderlyingPrice)+0.5*T/365.25*ATMImpVol^2</f>
        <v>-0.17664095587350506</v>
      </c>
      <c r="AB114" s="59">
        <f t="shared" ca="1" si="42"/>
        <v>-3.1202027291905562E-2</v>
      </c>
      <c r="AC114" s="59">
        <f t="shared" ca="1" si="48"/>
        <v>-1.2669993062232501</v>
      </c>
      <c r="AD114" s="60">
        <f t="shared" ca="1" si="43"/>
        <v>0.2816755770706022</v>
      </c>
      <c r="AE114" s="60">
        <f t="shared" ca="1" si="49"/>
        <v>0.28933634725198942</v>
      </c>
      <c r="AF114" s="60"/>
      <c r="AG114" s="96">
        <f t="shared" ca="1" si="50"/>
        <v>-1.5918538288569399</v>
      </c>
      <c r="AH114" s="96">
        <f t="shared" ca="1" si="51"/>
        <v>-1.5900516480922073</v>
      </c>
      <c r="AI114" s="96">
        <f t="shared" ca="1" si="52"/>
        <v>-1.593656370093874</v>
      </c>
      <c r="AJ114" s="62"/>
      <c r="AK114" s="96">
        <f t="shared" ca="1" si="53"/>
        <v>0.10361364483350305</v>
      </c>
      <c r="AL114" s="62"/>
      <c r="AM114" s="94"/>
      <c r="AN114" s="95"/>
      <c r="AX114" s="106">
        <f t="shared" ca="1" si="54"/>
        <v>0.53002500000000008</v>
      </c>
      <c r="AY114" s="106">
        <f t="shared" ca="1" si="55"/>
        <v>0.53001625000000008</v>
      </c>
      <c r="AZ114" s="106">
        <f t="shared" ca="1" si="56"/>
        <v>0.53003375000000008</v>
      </c>
      <c r="BB114" s="109">
        <f ca="1">_xll.EURO(UnderlyingPrice,$D114,IntRate,Yield,AX114,$D$6,1,0)</f>
        <v>0.70944992905487014</v>
      </c>
      <c r="BC114" s="109">
        <f ca="1">_xll.EURO(UnderlyingPrice,$D114*(1+$P$8),IntRate,Yield,AY114,$D$6,1,0)</f>
        <v>0.70878950623910475</v>
      </c>
      <c r="BD114" s="109">
        <f ca="1">_xll.EURO(UnderlyingPrice,$D114*(1-$P$8),IntRate,Yield,AZ114,$D$6,1,0)</f>
        <v>0.71011048891580852</v>
      </c>
      <c r="BF114" s="59">
        <f t="shared" ca="1" si="57"/>
        <v>0.27968402650536028</v>
      </c>
      <c r="BG114" s="62">
        <f t="shared" ca="1" si="58"/>
        <v>0.28022239495057505</v>
      </c>
      <c r="BI114" s="96">
        <f t="shared" ca="1" si="59"/>
        <v>-1.5924321384793101</v>
      </c>
      <c r="BJ114" s="96">
        <f t="shared" ca="1" si="60"/>
        <v>-1.5906293456531857</v>
      </c>
      <c r="BK114" s="96">
        <f t="shared" ca="1" si="61"/>
        <v>-1.5942352919000604</v>
      </c>
      <c r="BL114" s="62"/>
      <c r="BM114" s="96">
        <f t="shared" ca="1" si="62"/>
        <v>0.10879567416481116</v>
      </c>
      <c r="BO114" s="58"/>
    </row>
    <row r="115" spans="3:68" x14ac:dyDescent="0.2">
      <c r="C115" s="97">
        <v>1</v>
      </c>
      <c r="D115" s="63">
        <f ca="1">+D114-LTFactor*(ROUNDUP(MAX(StrikeRange),1)-ROUNDDOWN(MIN(StrikeRange),1))/100</f>
        <v>3.484</v>
      </c>
      <c r="E115" s="45">
        <f t="shared" ca="1" si="44"/>
        <v>-0.170871013802951</v>
      </c>
      <c r="F115" s="45">
        <f t="shared" ca="1" si="66"/>
        <v>-0.17070518800571155</v>
      </c>
      <c r="G115" s="45">
        <f t="shared" ca="1" si="67"/>
        <v>-0.17103683960019034</v>
      </c>
      <c r="H115" s="45">
        <f t="shared" ca="1" si="68"/>
        <v>0.56191926905637457</v>
      </c>
      <c r="I115" s="45">
        <f t="shared" ca="1" si="69"/>
        <v>0.5619832368469645</v>
      </c>
      <c r="J115" s="45">
        <f t="shared" ca="1" si="70"/>
        <v>0.5620472804196408</v>
      </c>
      <c r="L115" s="58"/>
      <c r="M115" s="58"/>
      <c r="O115" s="58"/>
      <c r="P115" s="58"/>
      <c r="R115" s="59">
        <f t="shared" ref="R115:R139" ca="1" si="72">(1/($D115*SQRT(2*PI()*T/365.25*$I$114^2)))</f>
        <v>0.97603527087879438</v>
      </c>
      <c r="S115" s="59">
        <f t="shared" ref="S115:S139" ca="1" si="73">LN($D115/UnderlyingPrice)+0.5*T/365.25*$I$114^2</f>
        <v>-0.18049773119359205</v>
      </c>
      <c r="T115" s="59">
        <f t="shared" ca="1" si="71"/>
        <v>-3.257943096603421E-2</v>
      </c>
      <c r="U115" s="59">
        <f t="shared" ref="U115:U139" ca="1" si="74">T115/(2*T/365.25*$I$114^2)</f>
        <v>-1.183533851068725</v>
      </c>
      <c r="V115" s="59"/>
      <c r="W115" s="104">
        <f t="shared" ref="W115:W139" ca="1" si="75">(Alpha1*R115)*EXP(Gamma2^2*U115)</f>
        <v>0.25319926785255192</v>
      </c>
      <c r="Z115" s="59">
        <f t="shared" ref="Z115:Z164" ca="1" si="76">(1/(D115*SQRT(2*PI()*T/365.25*ATMImpVol^2)))</f>
        <v>1.0319144635360147</v>
      </c>
      <c r="AA115" s="59">
        <f t="shared" ref="AA115:AA164" ca="1" si="77">LN(D115/UnderlyingPrice)+0.5*T/365.25*ATMImpVol^2</f>
        <v>-0.18122286537861668</v>
      </c>
      <c r="AB115" s="59">
        <f t="shared" ca="1" si="42"/>
        <v>-3.2841726936036222E-2</v>
      </c>
      <c r="AC115" s="59">
        <f t="shared" ca="1" si="48"/>
        <v>-1.3335814642379313</v>
      </c>
      <c r="AD115" s="60">
        <f t="shared" ca="1" si="43"/>
        <v>0.26353173963342452</v>
      </c>
      <c r="AE115" s="60">
        <f t="shared" ca="1" si="49"/>
        <v>0.27194221372853794</v>
      </c>
      <c r="AF115" s="60"/>
      <c r="AG115" s="96">
        <f t="shared" ca="1" si="50"/>
        <v>-1.6331451033131938</v>
      </c>
      <c r="AH115" s="96">
        <f t="shared" ca="1" si="51"/>
        <v>-1.6313429225484615</v>
      </c>
      <c r="AI115" s="96">
        <f t="shared" ca="1" si="52"/>
        <v>-1.6349476445501276</v>
      </c>
      <c r="AJ115" s="62"/>
      <c r="AK115" s="96">
        <f t="shared" ca="1" si="53"/>
        <v>9.7887853630936966E-2</v>
      </c>
      <c r="AL115" s="62"/>
      <c r="AM115" s="94"/>
      <c r="AN115" s="95"/>
      <c r="AX115" s="106">
        <f t="shared" ca="1" si="54"/>
        <v>0.53022500000000006</v>
      </c>
      <c r="AY115" s="106">
        <f t="shared" ca="1" si="55"/>
        <v>0.53021629000000003</v>
      </c>
      <c r="AZ115" s="106">
        <f t="shared" ca="1" si="56"/>
        <v>0.53023371000000008</v>
      </c>
      <c r="BB115" s="109">
        <f ca="1">_xll.EURO(UnderlyingPrice,$D115,IntRate,Yield,AX115,$D$6,1,0)</f>
        <v>0.72458195237288292</v>
      </c>
      <c r="BC115" s="109">
        <f ca="1">_xll.EURO(UnderlyingPrice,$D115*(1+$P$8),IntRate,Yield,AY115,$D$6,1,0)</f>
        <v>0.72392152024846856</v>
      </c>
      <c r="BD115" s="109">
        <f ca="1">_xll.EURO(UnderlyingPrice,$D115*(1-$P$8),IntRate,Yield,AZ115,$D$6,1,0)</f>
        <v>0.72524251213490887</v>
      </c>
      <c r="BF115" s="59">
        <f t="shared" ca="1" si="57"/>
        <v>0.26288292896250776</v>
      </c>
      <c r="BG115" s="62">
        <f t="shared" ca="1" si="58"/>
        <v>0.26338895669497225</v>
      </c>
      <c r="BI115" s="96">
        <f t="shared" ca="1" si="59"/>
        <v>-1.6337374363872661</v>
      </c>
      <c r="BJ115" s="96">
        <f t="shared" ca="1" si="60"/>
        <v>-1.6319346435611419</v>
      </c>
      <c r="BK115" s="96">
        <f t="shared" ca="1" si="61"/>
        <v>-1.6355405898080162</v>
      </c>
      <c r="BL115" s="62"/>
      <c r="BM115" s="96">
        <f t="shared" ca="1" si="62"/>
        <v>0.1017926571612901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3.468</v>
      </c>
      <c r="E116" s="45">
        <f t="shared" ca="1" si="44"/>
        <v>-0.17467872441694432</v>
      </c>
      <c r="F116" s="45">
        <f t="shared" ca="1" si="66"/>
        <v>-0.17451366016182768</v>
      </c>
      <c r="G116" s="45">
        <f t="shared" ca="1" si="67"/>
        <v>-0.17484378867206096</v>
      </c>
      <c r="H116" s="45">
        <f t="shared" ca="1" si="68"/>
        <v>0.56340757336851044</v>
      </c>
      <c r="I116" s="45">
        <f t="shared" ca="1" si="69"/>
        <v>0.5634729880638446</v>
      </c>
      <c r="J116" s="45">
        <f t="shared" ca="1" si="70"/>
        <v>0.56353847860567485</v>
      </c>
      <c r="L116" s="58"/>
      <c r="M116" s="58"/>
      <c r="O116" s="58"/>
      <c r="P116" s="58"/>
      <c r="R116" s="59">
        <f t="shared" ca="1" si="72"/>
        <v>0.98053831711122263</v>
      </c>
      <c r="S116" s="59">
        <f t="shared" ca="1" si="73"/>
        <v>-0.18510073126555299</v>
      </c>
      <c r="T116" s="59">
        <f t="shared" ca="1" si="71"/>
        <v>-3.4262280715042462E-2</v>
      </c>
      <c r="U116" s="59">
        <f t="shared" ca="1" si="74"/>
        <v>-1.2446678115203436</v>
      </c>
      <c r="V116" s="59"/>
      <c r="W116" s="104">
        <f t="shared" ca="1" si="75"/>
        <v>0.23989465229734436</v>
      </c>
      <c r="Z116" s="59">
        <f t="shared" ca="1" si="76"/>
        <v>1.0366753145788565</v>
      </c>
      <c r="AA116" s="59">
        <f t="shared" ca="1" si="77"/>
        <v>-0.18582586545057761</v>
      </c>
      <c r="AB116" s="59">
        <f t="shared" ca="1" si="42"/>
        <v>-3.4531252270456177E-2</v>
      </c>
      <c r="AC116" s="59">
        <f t="shared" ca="1" si="48"/>
        <v>-1.4021868598595169</v>
      </c>
      <c r="AD116" s="60">
        <f t="shared" ca="1" si="43"/>
        <v>0.24605828016732678</v>
      </c>
      <c r="AE116" s="60">
        <f t="shared" ca="1" si="49"/>
        <v>0.2550825449971959</v>
      </c>
      <c r="AF116" s="60"/>
      <c r="AG116" s="96">
        <f t="shared" ca="1" si="50"/>
        <v>-1.674626441842787</v>
      </c>
      <c r="AH116" s="96">
        <f t="shared" ca="1" si="51"/>
        <v>-1.6728242610780546</v>
      </c>
      <c r="AI116" s="96">
        <f t="shared" ca="1" si="52"/>
        <v>-1.6764289830797221</v>
      </c>
      <c r="AJ116" s="62"/>
      <c r="AK116" s="96">
        <f t="shared" ca="1" si="53"/>
        <v>9.2318315119150646E-2</v>
      </c>
      <c r="AL116" s="62"/>
      <c r="AM116" s="94"/>
      <c r="AN116" s="95"/>
      <c r="AX116" s="106">
        <f t="shared" ca="1" si="54"/>
        <v>0.53042500000000004</v>
      </c>
      <c r="AY116" s="106">
        <f t="shared" ca="1" si="55"/>
        <v>0.5304163300000001</v>
      </c>
      <c r="AZ116" s="106">
        <f t="shared" ca="1" si="56"/>
        <v>0.53043367000000008</v>
      </c>
      <c r="BB116" s="109">
        <f ca="1">_xll.EURO(UnderlyingPrice,$D116,IntRate,Yield,AX116,$D$6,1,0)</f>
        <v>0.73978128526833409</v>
      </c>
      <c r="BC116" s="109">
        <f ca="1">_xll.EURO(UnderlyingPrice,$D116*(1+$P$8),IntRate,Yield,AY116,$D$6,1,0)</f>
        <v>0.73912105528291949</v>
      </c>
      <c r="BD116" s="109">
        <f ca="1">_xll.EURO(UnderlyingPrice,$D116*(1-$P$8),IntRate,Yield,AZ116,$D$6,1,0)</f>
        <v>0.74044163389983897</v>
      </c>
      <c r="BF116" s="59">
        <f t="shared" ca="1" si="57"/>
        <v>0.24662395760950268</v>
      </c>
      <c r="BG116" s="62">
        <f t="shared" ca="1" si="58"/>
        <v>0.24709868817695751</v>
      </c>
      <c r="BI116" s="96">
        <f t="shared" ca="1" si="59"/>
        <v>-1.6752328629186239</v>
      </c>
      <c r="BJ116" s="96">
        <f t="shared" ca="1" si="60"/>
        <v>-1.6734300700924998</v>
      </c>
      <c r="BK116" s="96">
        <f t="shared" ca="1" si="61"/>
        <v>-1.6770360163393754</v>
      </c>
      <c r="BL116" s="62"/>
      <c r="BM116" s="96">
        <f t="shared" ca="1" si="62"/>
        <v>9.5058349950744706E-2</v>
      </c>
      <c r="BO116" s="58"/>
    </row>
    <row r="117" spans="3:68" x14ac:dyDescent="0.2">
      <c r="C117" s="97"/>
      <c r="D117" s="63">
        <f t="shared" ca="1" si="78"/>
        <v>3.452</v>
      </c>
      <c r="E117" s="45">
        <f t="shared" ca="1" si="44"/>
        <v>-0.17848643503093764</v>
      </c>
      <c r="F117" s="45">
        <f t="shared" ca="1" si="66"/>
        <v>-0.17832213231794392</v>
      </c>
      <c r="G117" s="45">
        <f t="shared" ca="1" si="67"/>
        <v>-0.17865073774393148</v>
      </c>
      <c r="H117" s="45">
        <f t="shared" ca="1" si="68"/>
        <v>0.56493623688669004</v>
      </c>
      <c r="I117" s="45">
        <f t="shared" ca="1" si="69"/>
        <v>0.56500309985330566</v>
      </c>
      <c r="J117" s="45">
        <f t="shared" ca="1" si="70"/>
        <v>0.56507003872005168</v>
      </c>
      <c r="L117" s="58"/>
      <c r="M117" s="58"/>
      <c r="O117" s="58"/>
      <c r="P117" s="58"/>
      <c r="R117" s="59">
        <f t="shared" ca="1" si="72"/>
        <v>0.98508310653004627</v>
      </c>
      <c r="S117" s="59">
        <f t="shared" ca="1" si="73"/>
        <v>-0.18972501696266686</v>
      </c>
      <c r="T117" s="59">
        <f t="shared" ca="1" si="71"/>
        <v>-3.5995582061484226E-2</v>
      </c>
      <c r="U117" s="59">
        <f t="shared" ca="1" si="74"/>
        <v>-1.3076345594588064</v>
      </c>
      <c r="V117" s="59"/>
      <c r="W117" s="104">
        <f t="shared" ca="1" si="75"/>
        <v>0.2268951520720881</v>
      </c>
      <c r="Z117" s="59">
        <f t="shared" ca="1" si="76"/>
        <v>1.0414802986556995</v>
      </c>
      <c r="AA117" s="59">
        <f t="shared" ca="1" si="77"/>
        <v>-0.19045015114769148</v>
      </c>
      <c r="AB117" s="59">
        <f t="shared" ca="1" si="42"/>
        <v>-3.6271260072178534E-2</v>
      </c>
      <c r="AC117" s="59">
        <f t="shared" ca="1" si="48"/>
        <v>-1.4728421623813879</v>
      </c>
      <c r="AD117" s="60">
        <f t="shared" ca="1" si="43"/>
        <v>0.22927292739907559</v>
      </c>
      <c r="AE117" s="60">
        <f t="shared" ca="1" si="49"/>
        <v>0.23878323690125575</v>
      </c>
      <c r="AF117" s="60"/>
      <c r="AG117" s="96">
        <f t="shared" ca="1" si="50"/>
        <v>-1.7162996022730925</v>
      </c>
      <c r="AH117" s="96">
        <f t="shared" ca="1" si="51"/>
        <v>-1.7144974215083615</v>
      </c>
      <c r="AI117" s="96">
        <f t="shared" ca="1" si="52"/>
        <v>-1.7181021435100277</v>
      </c>
      <c r="AJ117" s="62"/>
      <c r="AK117" s="96">
        <f t="shared" ca="1" si="53"/>
        <v>8.6912895317954458E-2</v>
      </c>
      <c r="AL117" s="62"/>
      <c r="AM117" s="94"/>
      <c r="AN117" s="95"/>
      <c r="AX117" s="106">
        <f t="shared" ca="1" si="54"/>
        <v>0.53062500000000012</v>
      </c>
      <c r="AY117" s="106">
        <f t="shared" ca="1" si="55"/>
        <v>0.53061637000000006</v>
      </c>
      <c r="AZ117" s="106">
        <f t="shared" ca="1" si="56"/>
        <v>0.53063363000000008</v>
      </c>
      <c r="BB117" s="109">
        <f ca="1">_xll.EURO(UnderlyingPrice,$D117,IntRate,Yield,AX117,$D$6,1,0)</f>
        <v>0.75504376589134603</v>
      </c>
      <c r="BC117" s="109">
        <f ca="1">_xll.EURO(UnderlyingPrice,$D117*(1+$P$8),IntRate,Yield,AY117,$D$6,1,0)</f>
        <v>0.7543839408465729</v>
      </c>
      <c r="BD117" s="109">
        <f ca="1">_xll.EURO(UnderlyingPrice,$D117*(1-$P$8),IntRate,Yield,AZ117,$D$6,1,0)</f>
        <v>0.75570370100848638</v>
      </c>
      <c r="BF117" s="59">
        <f t="shared" ca="1" si="57"/>
        <v>0.23092807807885932</v>
      </c>
      <c r="BG117" s="62">
        <f t="shared" ca="1" si="58"/>
        <v>0.23137259538614061</v>
      </c>
      <c r="BI117" s="96">
        <f t="shared" ca="1" si="59"/>
        <v>-1.7169201764977549</v>
      </c>
      <c r="BJ117" s="96">
        <f t="shared" ca="1" si="60"/>
        <v>-1.715117383671632</v>
      </c>
      <c r="BK117" s="96">
        <f t="shared" ca="1" si="61"/>
        <v>-1.7187233299185063</v>
      </c>
      <c r="BL117" s="62"/>
      <c r="BM117" s="96">
        <f t="shared" ca="1" si="62"/>
        <v>8.8597904083045076E-2</v>
      </c>
      <c r="BO117" s="58"/>
    </row>
    <row r="118" spans="3:68" x14ac:dyDescent="0.2">
      <c r="C118" s="97"/>
      <c r="D118" s="63">
        <f t="shared" ca="1" si="78"/>
        <v>3.4359999999999999</v>
      </c>
      <c r="E118" s="45">
        <f t="shared" ca="1" si="44"/>
        <v>-0.18229414564493096</v>
      </c>
      <c r="F118" s="45">
        <f t="shared" ca="1" si="66"/>
        <v>-0.18213060447406004</v>
      </c>
      <c r="G118" s="45">
        <f t="shared" ca="1" si="67"/>
        <v>-0.18245768681580199</v>
      </c>
      <c r="H118" s="45">
        <f t="shared" ca="1" si="68"/>
        <v>0.56650566366819355</v>
      </c>
      <c r="I118" s="45">
        <f t="shared" ca="1" si="69"/>
        <v>0.56657397603029036</v>
      </c>
      <c r="J118" s="45">
        <f t="shared" ca="1" si="70"/>
        <v>0.56664236433547333</v>
      </c>
      <c r="L118" s="58"/>
      <c r="M118" s="58"/>
      <c r="O118" s="58"/>
      <c r="P118" s="58"/>
      <c r="R118" s="59">
        <f t="shared" ca="1" si="72"/>
        <v>0.98967022227640289</v>
      </c>
      <c r="S118" s="59">
        <f t="shared" ca="1" si="73"/>
        <v>-0.19437078606183941</v>
      </c>
      <c r="T118" s="59">
        <f t="shared" ca="1" si="71"/>
        <v>-3.7780002474297344E-2</v>
      </c>
      <c r="U118" s="59">
        <f t="shared" ca="1" si="74"/>
        <v>-1.3724583424556349</v>
      </c>
      <c r="V118" s="59"/>
      <c r="W118" s="104">
        <f t="shared" ca="1" si="75"/>
        <v>0.2142231447354187</v>
      </c>
      <c r="Z118" s="59">
        <f t="shared" ca="1" si="76"/>
        <v>1.0463300322932114</v>
      </c>
      <c r="AA118" s="59">
        <f t="shared" ca="1" si="77"/>
        <v>-0.19509592024686404</v>
      </c>
      <c r="AB118" s="59">
        <f t="shared" ca="1" si="42"/>
        <v>-3.8062418096970731E-2</v>
      </c>
      <c r="AC118" s="59">
        <f t="shared" ca="1" si="48"/>
        <v>-1.5455744869036683</v>
      </c>
      <c r="AD118" s="60">
        <f t="shared" ca="1" si="43"/>
        <v>0.21318936153997425</v>
      </c>
      <c r="AE118" s="60">
        <f t="shared" ca="1" si="49"/>
        <v>0.22306643154469039</v>
      </c>
      <c r="AF118" s="60"/>
      <c r="AG118" s="96">
        <f t="shared" ca="1" si="50"/>
        <v>-1.7581663669309957</v>
      </c>
      <c r="AH118" s="96">
        <f t="shared" ca="1" si="51"/>
        <v>-1.7563641861662649</v>
      </c>
      <c r="AI118" s="96">
        <f t="shared" ca="1" si="52"/>
        <v>-1.7599689081679304</v>
      </c>
      <c r="AJ118" s="62"/>
      <c r="AK118" s="96">
        <f t="shared" ca="1" si="53"/>
        <v>8.167850114053829E-2</v>
      </c>
      <c r="AL118" s="62"/>
      <c r="AM118" s="94"/>
      <c r="AN118" s="95"/>
      <c r="AX118" s="106">
        <f t="shared" ca="1" si="54"/>
        <v>0.5308250000000001</v>
      </c>
      <c r="AY118" s="106">
        <f t="shared" ca="1" si="55"/>
        <v>0.53081641000000013</v>
      </c>
      <c r="AZ118" s="106">
        <f t="shared" ca="1" si="56"/>
        <v>0.53083359000000008</v>
      </c>
      <c r="BB118" s="109">
        <f ca="1">_xll.EURO(UnderlyingPrice,$D118,IntRate,Yield,AX118,$D$6,1,0)</f>
        <v>0.7703653764690408</v>
      </c>
      <c r="BC118" s="109">
        <f ca="1">_xll.EURO(UnderlyingPrice,$D118*(1+$P$8),IntRate,Yield,AY118,$D$6,1,0)</f>
        <v>0.76970615042158785</v>
      </c>
      <c r="BD118" s="109">
        <f ca="1">_xll.EURO(UnderlyingPrice,$D118*(1-$P$8),IntRate,Yield,AZ118,$D$6,1,0)</f>
        <v>0.77102470443273763</v>
      </c>
      <c r="BF118" s="59">
        <f t="shared" ca="1" si="57"/>
        <v>0.21581275446317461</v>
      </c>
      <c r="BG118" s="62">
        <f t="shared" ca="1" si="58"/>
        <v>0.21622817603204147</v>
      </c>
      <c r="BI118" s="96">
        <f t="shared" ca="1" si="59"/>
        <v>-1.7588011600568625</v>
      </c>
      <c r="BJ118" s="96">
        <f t="shared" ca="1" si="60"/>
        <v>-1.7569983672307399</v>
      </c>
      <c r="BK118" s="96">
        <f t="shared" ca="1" si="61"/>
        <v>-1.7606043134776137</v>
      </c>
      <c r="BL118" s="62"/>
      <c r="BM118" s="96">
        <f t="shared" ca="1" si="62"/>
        <v>8.2414984803525965E-2</v>
      </c>
      <c r="BO118" s="58"/>
    </row>
    <row r="119" spans="3:68" x14ac:dyDescent="0.2">
      <c r="C119" s="97"/>
      <c r="D119" s="63">
        <f t="shared" ca="1" si="78"/>
        <v>3.42</v>
      </c>
      <c r="E119" s="45">
        <f t="shared" ca="1" si="44"/>
        <v>-0.18610185625892428</v>
      </c>
      <c r="F119" s="45">
        <f t="shared" ca="1" si="66"/>
        <v>-0.18593907663017606</v>
      </c>
      <c r="G119" s="45">
        <f t="shared" ca="1" si="67"/>
        <v>-0.18626463588767261</v>
      </c>
      <c r="H119" s="45">
        <f t="shared" ca="1" si="68"/>
        <v>0.56811625777030095</v>
      </c>
      <c r="I119" s="45">
        <f t="shared" ca="1" si="69"/>
        <v>0.56818602040974142</v>
      </c>
      <c r="J119" s="45">
        <f t="shared" ca="1" si="70"/>
        <v>0.56825585902464193</v>
      </c>
      <c r="L119" s="58"/>
      <c r="M119" s="58"/>
      <c r="O119" s="58"/>
      <c r="P119" s="58"/>
      <c r="R119" s="59">
        <f t="shared" ca="1" si="72"/>
        <v>0.99430025840401171</v>
      </c>
      <c r="S119" s="59">
        <f t="shared" ca="1" si="73"/>
        <v>-0.19903823910933455</v>
      </c>
      <c r="T119" s="59">
        <f t="shared" ca="1" si="71"/>
        <v>-3.9616220627744635E-2</v>
      </c>
      <c r="U119" s="59">
        <f t="shared" ca="1" si="74"/>
        <v>-1.4391638151453658</v>
      </c>
      <c r="V119" s="59"/>
      <c r="W119" s="104">
        <f t="shared" ca="1" si="75"/>
        <v>0.20189888236682743</v>
      </c>
      <c r="Z119" s="59">
        <f t="shared" ca="1" si="76"/>
        <v>1.0512251435554019</v>
      </c>
      <c r="AA119" s="59">
        <f t="shared" ca="1" si="77"/>
        <v>-0.19976337329435917</v>
      </c>
      <c r="AB119" s="59">
        <f t="shared" ca="1" si="42"/>
        <v>-3.9905405309941487E-2</v>
      </c>
      <c r="AC119" s="59">
        <f t="shared" ca="1" si="48"/>
        <v>-1.6204114036965085</v>
      </c>
      <c r="AD119" s="60">
        <f t="shared" ca="1" si="43"/>
        <v>0.19781729957245545</v>
      </c>
      <c r="AE119" s="60">
        <f t="shared" ca="1" si="49"/>
        <v>0.2079505191407964</v>
      </c>
      <c r="AF119" s="60"/>
      <c r="AG119" s="96">
        <f t="shared" ca="1" si="50"/>
        <v>-1.8002285431002969</v>
      </c>
      <c r="AH119" s="96">
        <f t="shared" ca="1" si="51"/>
        <v>-1.7984263623355647</v>
      </c>
      <c r="AI119" s="96">
        <f t="shared" ca="1" si="52"/>
        <v>-1.8020310843372329</v>
      </c>
      <c r="AJ119" s="62"/>
      <c r="AK119" s="96">
        <f t="shared" ca="1" si="53"/>
        <v>7.6621073955218444E-2</v>
      </c>
      <c r="AL119" s="62"/>
      <c r="AM119" s="94"/>
      <c r="AN119" s="95"/>
      <c r="AX119" s="106">
        <f t="shared" ca="1" si="54"/>
        <v>0.53102500000000008</v>
      </c>
      <c r="AY119" s="106">
        <f t="shared" ca="1" si="55"/>
        <v>0.53101645000000008</v>
      </c>
      <c r="AZ119" s="106">
        <f t="shared" ca="1" si="56"/>
        <v>0.53103355000000008</v>
      </c>
      <c r="BB119" s="109">
        <f ca="1">_xll.EURO(UnderlyingPrice,$D119,IntRate,Yield,AX119,$D$6,1,0)</f>
        <v>0.78574224777556001</v>
      </c>
      <c r="BC119" s="109">
        <f ca="1">_xll.EURO(UnderlyingPrice,$D119*(1+$P$8),IntRate,Yield,AY119,$D$6,1,0)</f>
        <v>0.78508380598134497</v>
      </c>
      <c r="BD119" s="109">
        <f ca="1">_xll.EURO(UnderlyingPrice,$D119*(1-$P$8),IntRate,Yield,AZ119,$D$6,1,0)</f>
        <v>0.78640078374543121</v>
      </c>
      <c r="BF119" s="59">
        <f t="shared" ca="1" si="57"/>
        <v>0.20129197052580453</v>
      </c>
      <c r="BG119" s="62">
        <f t="shared" ca="1" si="58"/>
        <v>0.20167944079559527</v>
      </c>
      <c r="BI119" s="96">
        <f t="shared" ca="1" si="59"/>
        <v>-1.800877621493542</v>
      </c>
      <c r="BJ119" s="96">
        <f t="shared" ca="1" si="60"/>
        <v>-1.7990748286674181</v>
      </c>
      <c r="BK119" s="96">
        <f t="shared" ca="1" si="61"/>
        <v>-1.8026807749142943</v>
      </c>
      <c r="BL119" s="62"/>
      <c r="BM119" s="96">
        <f t="shared" ca="1" si="62"/>
        <v>7.6511810248801326E-2</v>
      </c>
      <c r="BO119" s="58"/>
    </row>
    <row r="120" spans="3:68" x14ac:dyDescent="0.2">
      <c r="C120" s="97"/>
      <c r="D120" s="63">
        <f t="shared" ca="1" si="78"/>
        <v>3.4039999999999999</v>
      </c>
      <c r="E120" s="45">
        <f t="shared" ca="1" si="44"/>
        <v>-0.18990956687291771</v>
      </c>
      <c r="F120" s="45">
        <f t="shared" ca="1" si="66"/>
        <v>-0.1897475487862923</v>
      </c>
      <c r="G120" s="45">
        <f t="shared" ca="1" si="67"/>
        <v>-0.19007158495954313</v>
      </c>
      <c r="H120" s="45">
        <f t="shared" ca="1" si="68"/>
        <v>0.56976842325029275</v>
      </c>
      <c r="I120" s="45">
        <f t="shared" ca="1" si="69"/>
        <v>0.56983963680660155</v>
      </c>
      <c r="J120" s="45">
        <f t="shared" ca="1" si="70"/>
        <v>0.56991092636025964</v>
      </c>
      <c r="L120" s="58"/>
      <c r="M120" s="58"/>
      <c r="O120" s="58"/>
      <c r="P120" s="58"/>
      <c r="R120" s="59">
        <f t="shared" ca="1" si="72"/>
        <v>0.99897382013564029</v>
      </c>
      <c r="S120" s="59">
        <f t="shared" ca="1" si="73"/>
        <v>-0.20372757947272074</v>
      </c>
      <c r="T120" s="59">
        <f t="shared" ca="1" si="71"/>
        <v>-4.1504926637813744E-2</v>
      </c>
      <c r="U120" s="59">
        <f t="shared" ca="1" si="74"/>
        <v>-1.5077760478134015</v>
      </c>
      <c r="V120" s="59"/>
      <c r="W120" s="104">
        <f t="shared" ca="1" si="75"/>
        <v>0.1899404425553064</v>
      </c>
      <c r="Z120" s="59">
        <f t="shared" ca="1" si="76"/>
        <v>1.0561662723147693</v>
      </c>
      <c r="AA120" s="59">
        <f t="shared" ca="1" si="77"/>
        <v>-0.20445271365774537</v>
      </c>
      <c r="AB120" s="59">
        <f t="shared" ca="1" si="42"/>
        <v>-4.1800912122016018E-2</v>
      </c>
      <c r="AC120" s="59">
        <f t="shared" ca="1" si="48"/>
        <v>-1.6973809478024744</v>
      </c>
      <c r="AD120" s="60">
        <f t="shared" ca="1" si="43"/>
        <v>0.18316260883803237</v>
      </c>
      <c r="AE120" s="60">
        <f t="shared" ca="1" si="49"/>
        <v>0.19345016980391289</v>
      </c>
      <c r="AF120" s="60"/>
      <c r="AG120" s="96">
        <f t="shared" ca="1" si="50"/>
        <v>-1.842487963489843</v>
      </c>
      <c r="AH120" s="96">
        <f t="shared" ca="1" si="51"/>
        <v>-1.8406857827251111</v>
      </c>
      <c r="AI120" s="96">
        <f t="shared" ca="1" si="52"/>
        <v>-1.8442905047267777</v>
      </c>
      <c r="AJ120" s="62"/>
      <c r="AK120" s="96">
        <f t="shared" ca="1" si="53"/>
        <v>7.1745589941119695E-2</v>
      </c>
      <c r="AL120" s="62"/>
      <c r="AM120" s="94"/>
      <c r="AN120" s="95"/>
      <c r="AX120" s="106">
        <f t="shared" ca="1" si="54"/>
        <v>0.53122500000000006</v>
      </c>
      <c r="AY120" s="106">
        <f t="shared" ca="1" si="55"/>
        <v>0.53121649000000004</v>
      </c>
      <c r="AZ120" s="106">
        <f t="shared" ca="1" si="56"/>
        <v>0.53123351000000008</v>
      </c>
      <c r="BB120" s="109">
        <f ca="1">_xll.EURO(UnderlyingPrice,$D120,IntRate,Yield,AX120,$D$6,1,0)</f>
        <v>0.80117066271516446</v>
      </c>
      <c r="BC120" s="109">
        <f ca="1">_xll.EURO(UnderlyingPrice,$D120*(1+$P$8),IntRate,Yield,AY120,$D$6,1,0)</f>
        <v>0.80051318161504614</v>
      </c>
      <c r="BD120" s="109">
        <f ca="1">_xll.EURO(UnderlyingPrice,$D120*(1-$P$8),IntRate,Yield,AZ120,$D$6,1,0)</f>
        <v>0.80182823066207565</v>
      </c>
      <c r="BF120" s="59">
        <f t="shared" ca="1" si="57"/>
        <v>0.18737631383651671</v>
      </c>
      <c r="BG120" s="62">
        <f t="shared" ca="1" si="58"/>
        <v>0.18773699762675922</v>
      </c>
      <c r="BI120" s="96">
        <f t="shared" ca="1" si="59"/>
        <v>-1.8431513941390694</v>
      </c>
      <c r="BJ120" s="96">
        <f t="shared" ca="1" si="60"/>
        <v>-1.8413486013129459</v>
      </c>
      <c r="BK120" s="96">
        <f t="shared" ca="1" si="61"/>
        <v>-1.8449545475598206</v>
      </c>
      <c r="BL120" s="62"/>
      <c r="BM120" s="96">
        <f t="shared" ca="1" si="62"/>
        <v>7.0889214222243174E-2</v>
      </c>
      <c r="BO120" s="58"/>
    </row>
    <row r="121" spans="3:68" x14ac:dyDescent="0.2">
      <c r="C121" s="97"/>
      <c r="D121" s="63">
        <f t="shared" ca="1" si="78"/>
        <v>3.3879999999999999</v>
      </c>
      <c r="E121" s="45">
        <f t="shared" ca="1" si="44"/>
        <v>-0.19371727748691103</v>
      </c>
      <c r="F121" s="45">
        <f t="shared" ca="1" si="66"/>
        <v>-0.19355602094240842</v>
      </c>
      <c r="G121" s="45">
        <f t="shared" ca="1" si="67"/>
        <v>-0.19387853403141364</v>
      </c>
      <c r="H121" s="45">
        <f t="shared" ca="1" si="68"/>
        <v>0.57146256416544838</v>
      </c>
      <c r="I121" s="45">
        <f t="shared" ca="1" si="69"/>
        <v>0.57153522903581311</v>
      </c>
      <c r="J121" s="45">
        <f t="shared" ca="1" si="70"/>
        <v>0.57160796991502871</v>
      </c>
      <c r="L121" s="58"/>
      <c r="M121" s="58"/>
      <c r="O121" s="58"/>
      <c r="P121" s="58"/>
      <c r="R121" s="59">
        <f t="shared" ca="1" si="72"/>
        <v>1.003691524126836</v>
      </c>
      <c r="S121" s="59">
        <f t="shared" ca="1" si="73"/>
        <v>-0.20843901339404047</v>
      </c>
      <c r="T121" s="59">
        <f t="shared" ca="1" si="71"/>
        <v>-4.3446822304680985E-2</v>
      </c>
      <c r="U121" s="59">
        <f t="shared" ca="1" si="74"/>
        <v>-1.5783205352041467</v>
      </c>
      <c r="V121" s="59"/>
      <c r="W121" s="104">
        <f t="shared" ca="1" si="75"/>
        <v>0.17836369569251634</v>
      </c>
      <c r="Z121" s="59">
        <f t="shared" ca="1" si="76"/>
        <v>1.0611540705311318</v>
      </c>
      <c r="AA121" s="59">
        <f t="shared" ca="1" si="77"/>
        <v>-0.2091641475790651</v>
      </c>
      <c r="AB121" s="59">
        <f t="shared" ca="1" si="42"/>
        <v>-4.3749640632476924E-2</v>
      </c>
      <c r="AC121" s="59">
        <f t="shared" ca="1" si="48"/>
        <v>-1.7765116288852369</v>
      </c>
      <c r="AD121" s="60">
        <f t="shared" ca="1" si="43"/>
        <v>0.16922744696080078</v>
      </c>
      <c r="AE121" s="60">
        <f t="shared" ca="1" si="49"/>
        <v>0.17957639418804494</v>
      </c>
      <c r="AF121" s="60"/>
      <c r="AG121" s="96">
        <f t="shared" ca="1" si="50"/>
        <v>-1.8849464867126795</v>
      </c>
      <c r="AH121" s="96">
        <f t="shared" ca="1" si="51"/>
        <v>-1.8831443059479478</v>
      </c>
      <c r="AI121" s="96">
        <f t="shared" ca="1" si="52"/>
        <v>-1.8867490279496142</v>
      </c>
      <c r="AJ121" s="62"/>
      <c r="AK121" s="96">
        <f t="shared" ca="1" si="53"/>
        <v>6.7056067094981617E-2</v>
      </c>
      <c r="AL121" s="62"/>
      <c r="AM121" s="94"/>
      <c r="AN121" s="95"/>
      <c r="AX121" s="106">
        <f t="shared" ca="1" si="54"/>
        <v>0.53142500000000004</v>
      </c>
      <c r="AY121" s="106">
        <f t="shared" ca="1" si="55"/>
        <v>0.53141653000000011</v>
      </c>
      <c r="AZ121" s="106">
        <f t="shared" ca="1" si="56"/>
        <v>0.53143347000000007</v>
      </c>
      <c r="BB121" s="109">
        <f ca="1">_xll.EURO(UnderlyingPrice,$D121,IntRate,Yield,AX121,$D$6,1,0)</f>
        <v>0.81664705903527324</v>
      </c>
      <c r="BC121" s="109">
        <f ca="1">_xll.EURO(UnderlyingPrice,$D121*(1+$P$8),IntRate,Yield,AY121,$D$6,1,0)</f>
        <v>0.81599070628036552</v>
      </c>
      <c r="BD121" s="109">
        <f ca="1">_xll.EURO(UnderlyingPrice,$D121*(1-$P$8),IntRate,Yield,AZ121,$D$6,1,0)</f>
        <v>0.81730349171439443</v>
      </c>
      <c r="BF121" s="59">
        <f t="shared" ca="1" si="57"/>
        <v>0.17407306508058723</v>
      </c>
      <c r="BG121" s="62">
        <f t="shared" ca="1" si="58"/>
        <v>0.17440814122552184</v>
      </c>
      <c r="BI121" s="96">
        <f t="shared" ca="1" si="59"/>
        <v>-1.8856243372377175</v>
      </c>
      <c r="BJ121" s="96">
        <f t="shared" ca="1" si="60"/>
        <v>-1.883821544411594</v>
      </c>
      <c r="BK121" s="96">
        <f t="shared" ca="1" si="61"/>
        <v>-1.8874274906584685</v>
      </c>
      <c r="BL121" s="62"/>
      <c r="BM121" s="96">
        <f t="shared" ca="1" si="62"/>
        <v>6.5546710019233914E-2</v>
      </c>
      <c r="BO121" s="58"/>
    </row>
    <row r="122" spans="3:68" x14ac:dyDescent="0.2">
      <c r="C122" s="97"/>
      <c r="D122" s="63">
        <f t="shared" ca="1" si="78"/>
        <v>3.3719999999999999</v>
      </c>
      <c r="E122" s="45">
        <f t="shared" ca="1" si="44"/>
        <v>-0.19752498810090435</v>
      </c>
      <c r="F122" s="45">
        <f t="shared" ca="1" si="66"/>
        <v>-0.19736449309852455</v>
      </c>
      <c r="G122" s="45">
        <f t="shared" ca="1" si="67"/>
        <v>-0.19768548310328415</v>
      </c>
      <c r="H122" s="45">
        <f t="shared" ca="1" si="68"/>
        <v>0.57319908457304847</v>
      </c>
      <c r="I122" s="45">
        <f t="shared" ca="1" si="69"/>
        <v>0.57327320091231893</v>
      </c>
      <c r="J122" s="45">
        <f t="shared" ca="1" si="70"/>
        <v>0.57334739326165107</v>
      </c>
      <c r="L122" s="58"/>
      <c r="M122" s="58"/>
      <c r="O122" s="58"/>
      <c r="P122" s="58"/>
      <c r="R122" s="59">
        <f t="shared" ca="1" si="72"/>
        <v>1.0084539987371648</v>
      </c>
      <c r="S122" s="59">
        <f t="shared" ca="1" si="73"/>
        <v>-0.21317275004423938</v>
      </c>
      <c r="T122" s="59">
        <f t="shared" ca="1" si="71"/>
        <v>-4.5442621361423761E-2</v>
      </c>
      <c r="U122" s="59">
        <f t="shared" ca="1" si="74"/>
        <v>-1.6508232055561463</v>
      </c>
      <c r="V122" s="59"/>
      <c r="W122" s="104">
        <f t="shared" ca="1" si="75"/>
        <v>0.16718228856253323</v>
      </c>
      <c r="Z122" s="59">
        <f t="shared" ca="1" si="76"/>
        <v>1.066189202538397</v>
      </c>
      <c r="AA122" s="59">
        <f t="shared" ca="1" si="77"/>
        <v>-0.21389788422926401</v>
      </c>
      <c r="AB122" s="59">
        <f t="shared" ca="1" si="42"/>
        <v>-4.5752304877755626E-2</v>
      </c>
      <c r="AC122" s="59">
        <f t="shared" ca="1" si="48"/>
        <v>-1.8578324413320766</v>
      </c>
      <c r="AD122" s="60">
        <f t="shared" ca="1" si="43"/>
        <v>0.156010425890861</v>
      </c>
      <c r="AE122" s="60">
        <f t="shared" ca="1" si="49"/>
        <v>0.16633663156825279</v>
      </c>
      <c r="AF122" s="60"/>
      <c r="AG122" s="96">
        <f t="shared" ca="1" si="50"/>
        <v>-1.9276059977765563</v>
      </c>
      <c r="AH122" s="96">
        <f t="shared" ca="1" si="51"/>
        <v>-1.9258038170118246</v>
      </c>
      <c r="AI122" s="96">
        <f t="shared" ca="1" si="52"/>
        <v>-1.929408539013491</v>
      </c>
      <c r="AJ122" s="62"/>
      <c r="AK122" s="96">
        <f t="shared" ca="1" si="53"/>
        <v>6.255557868509766E-2</v>
      </c>
      <c r="AL122" s="62"/>
      <c r="AM122" s="94"/>
      <c r="AN122" s="95"/>
      <c r="AX122" s="106">
        <f t="shared" ca="1" si="54"/>
        <v>0.53162500000000001</v>
      </c>
      <c r="AY122" s="106">
        <f t="shared" ca="1" si="55"/>
        <v>0.53161657000000007</v>
      </c>
      <c r="AZ122" s="106">
        <f t="shared" ca="1" si="56"/>
        <v>0.53163343000000007</v>
      </c>
      <c r="BB122" s="109">
        <f ca="1">_xll.EURO(UnderlyingPrice,$D122,IntRate,Yield,AX122,$D$6,1,0)</f>
        <v>0.83216803119220417</v>
      </c>
      <c r="BC122" s="109">
        <f ca="1">_xll.EURO(UnderlyingPrice,$D122*(1+$P$8),IntRate,Yield,AY122,$D$6,1,0)</f>
        <v>0.83151296570668976</v>
      </c>
      <c r="BD122" s="109">
        <f ca="1">_xll.EURO(UnderlyingPrice,$D122*(1-$P$8),IntRate,Yield,AZ122,$D$6,1,0)</f>
        <v>0.83282317007869189</v>
      </c>
      <c r="BF122" s="59">
        <f t="shared" ca="1" si="57"/>
        <v>0.16138631135817902</v>
      </c>
      <c r="BG122" s="62">
        <f t="shared" ca="1" si="58"/>
        <v>0.1616969665593733</v>
      </c>
      <c r="BI122" s="96">
        <f t="shared" ca="1" si="59"/>
        <v>-1.9282983364374273</v>
      </c>
      <c r="BJ122" s="96">
        <f t="shared" ca="1" si="60"/>
        <v>-1.9264955436113038</v>
      </c>
      <c r="BK122" s="96">
        <f t="shared" ca="1" si="61"/>
        <v>-1.9301014898581783</v>
      </c>
      <c r="BL122" s="62"/>
      <c r="BM122" s="96">
        <f t="shared" ca="1" si="62"/>
        <v>6.0482562291193732E-2</v>
      </c>
      <c r="BO122" s="58"/>
    </row>
    <row r="123" spans="3:68" x14ac:dyDescent="0.2">
      <c r="C123" s="97"/>
      <c r="D123" s="63">
        <f t="shared" ca="1" si="78"/>
        <v>3.3559999999999999</v>
      </c>
      <c r="E123" s="45">
        <f t="shared" ca="1" si="44"/>
        <v>-0.20133269871489767</v>
      </c>
      <c r="F123" s="45">
        <f t="shared" ca="1" si="66"/>
        <v>-0.20117296525464068</v>
      </c>
      <c r="G123" s="45">
        <f t="shared" ca="1" si="67"/>
        <v>-0.20149243217515467</v>
      </c>
      <c r="H123" s="45">
        <f t="shared" ca="1" si="68"/>
        <v>0.57497838853037275</v>
      </c>
      <c r="I123" s="45">
        <f t="shared" ca="1" si="69"/>
        <v>0.5750539562510617</v>
      </c>
      <c r="J123" s="45">
        <f t="shared" ca="1" si="70"/>
        <v>0.5751295999728292</v>
      </c>
      <c r="L123" s="58"/>
      <c r="M123" s="58"/>
      <c r="O123" s="58"/>
      <c r="P123" s="58"/>
      <c r="R123" s="59">
        <f t="shared" ca="1" si="72"/>
        <v>1.0132618843092134</v>
      </c>
      <c r="S123" s="59">
        <f t="shared" ca="1" si="73"/>
        <v>-0.21792900157888864</v>
      </c>
      <c r="T123" s="59">
        <f t="shared" ca="1" si="71"/>
        <v>-4.7493049729171247E-2</v>
      </c>
      <c r="U123" s="59">
        <f t="shared" ca="1" si="74"/>
        <v>-1.7253104298711062</v>
      </c>
      <c r="V123" s="59"/>
      <c r="W123" s="104">
        <f t="shared" ca="1" si="75"/>
        <v>0.15640764405733656</v>
      </c>
      <c r="Z123" s="59">
        <f t="shared" ca="1" si="76"/>
        <v>1.0712723453395336</v>
      </c>
      <c r="AA123" s="59">
        <f t="shared" ca="1" si="77"/>
        <v>-0.21865413576391327</v>
      </c>
      <c r="AB123" s="59">
        <f t="shared" ca="1" si="42"/>
        <v>-4.7809631086663813E-2</v>
      </c>
      <c r="AC123" s="59">
        <f t="shared" ca="1" si="48"/>
        <v>-1.9413728746178907</v>
      </c>
      <c r="AD123" s="60">
        <f t="shared" ca="1" si="43"/>
        <v>0.14350679763611379</v>
      </c>
      <c r="AE123" s="60">
        <f t="shared" ca="1" si="49"/>
        <v>0.15373486367580547</v>
      </c>
      <c r="AF123" s="60"/>
      <c r="AG123" s="96">
        <f t="shared" ca="1" si="50"/>
        <v>-1.9704684085860857</v>
      </c>
      <c r="AH123" s="96">
        <f t="shared" ca="1" si="51"/>
        <v>-1.968666227821354</v>
      </c>
      <c r="AI123" s="96">
        <f t="shared" ca="1" si="52"/>
        <v>-1.9722709498230202</v>
      </c>
      <c r="AJ123" s="62"/>
      <c r="AK123" s="96">
        <f t="shared" ca="1" si="53"/>
        <v>5.8246272884710758E-2</v>
      </c>
      <c r="AL123" s="62"/>
      <c r="AM123" s="94"/>
      <c r="AN123" s="95"/>
      <c r="AX123" s="106">
        <f t="shared" ca="1" si="54"/>
        <v>0.5318250000000001</v>
      </c>
      <c r="AY123" s="106">
        <f t="shared" ca="1" si="55"/>
        <v>0.53181661000000002</v>
      </c>
      <c r="AZ123" s="106">
        <f t="shared" ca="1" si="56"/>
        <v>0.53183339000000007</v>
      </c>
      <c r="BB123" s="109">
        <f ca="1">_xll.EURO(UnderlyingPrice,$D123,IntRate,Yield,AX123,$D$6,1,0)</f>
        <v>0.8477303313979494</v>
      </c>
      <c r="BC123" s="109">
        <f ca="1">_xll.EURO(UnderlyingPrice,$D123*(1+$P$8),IntRate,Yield,AY123,$D$6,1,0)</f>
        <v>0.84707670347709696</v>
      </c>
      <c r="BD123" s="109">
        <f ca="1">_xll.EURO(UnderlyingPrice,$D123*(1-$P$8),IntRate,Yield,AZ123,$D$6,1,0)</f>
        <v>0.84838402658754308</v>
      </c>
      <c r="BF123" s="59">
        <f t="shared" ca="1" si="57"/>
        <v>0.14931705147835372</v>
      </c>
      <c r="BG123" s="62">
        <f t="shared" ca="1" si="58"/>
        <v>0.14960447435999946</v>
      </c>
      <c r="BI123" s="96">
        <f t="shared" ca="1" si="59"/>
        <v>-1.9711753042921374</v>
      </c>
      <c r="BJ123" s="96">
        <f t="shared" ca="1" si="60"/>
        <v>-1.9693725114660139</v>
      </c>
      <c r="BK123" s="96">
        <f t="shared" ca="1" si="61"/>
        <v>-1.9729784577128882</v>
      </c>
      <c r="BL123" s="62"/>
      <c r="BM123" s="96">
        <f t="shared" ca="1" si="62"/>
        <v>5.5693854714264607E-2</v>
      </c>
      <c r="BO123" s="58"/>
    </row>
    <row r="124" spans="3:68" x14ac:dyDescent="0.2">
      <c r="C124" s="97"/>
      <c r="D124" s="63">
        <f t="shared" ca="1" si="78"/>
        <v>3.34</v>
      </c>
      <c r="E124" s="45">
        <f t="shared" ca="1" si="44"/>
        <v>-0.20514040932889099</v>
      </c>
      <c r="F124" s="45">
        <f t="shared" ca="1" si="66"/>
        <v>-0.20498143741075681</v>
      </c>
      <c r="G124" s="45">
        <f t="shared" ca="1" si="67"/>
        <v>-0.20529938124702529</v>
      </c>
      <c r="H124" s="45">
        <f t="shared" ca="1" si="68"/>
        <v>0.57680088009470154</v>
      </c>
      <c r="I124" s="45">
        <f t="shared" ca="1" si="69"/>
        <v>0.57687789886698404</v>
      </c>
      <c r="J124" s="45">
        <f t="shared" ca="1" si="70"/>
        <v>0.57695499362126468</v>
      </c>
      <c r="L124" s="58"/>
      <c r="M124" s="58"/>
      <c r="O124" s="58"/>
      <c r="P124" s="58"/>
      <c r="R124" s="59">
        <f t="shared" ca="1" si="72"/>
        <v>1.0181158334556049</v>
      </c>
      <c r="S124" s="59">
        <f t="shared" ca="1" si="73"/>
        <v>-0.22270798319523932</v>
      </c>
      <c r="T124" s="59">
        <f t="shared" ca="1" si="71"/>
        <v>-4.9598845778891003E-2</v>
      </c>
      <c r="U124" s="59">
        <f t="shared" ca="1" si="74"/>
        <v>-1.8018090314239836</v>
      </c>
      <c r="V124" s="59"/>
      <c r="W124" s="104">
        <f t="shared" ca="1" si="75"/>
        <v>0.14604897668712116</v>
      </c>
      <c r="Z124" s="59">
        <f t="shared" ca="1" si="76"/>
        <v>1.0764041889100224</v>
      </c>
      <c r="AA124" s="59">
        <f t="shared" ca="1" si="77"/>
        <v>-0.22343311738026395</v>
      </c>
      <c r="AB124" s="59">
        <f t="shared" ca="1" si="42"/>
        <v>-4.992235794226281E-2</v>
      </c>
      <c r="AC124" s="59">
        <f t="shared" ca="1" si="48"/>
        <v>-2.027162923938743</v>
      </c>
      <c r="AD124" s="60">
        <f t="shared" ca="1" si="43"/>
        <v>0.13170865907158852</v>
      </c>
      <c r="AE124" s="60">
        <f t="shared" ca="1" si="49"/>
        <v>0.14177175234037992</v>
      </c>
      <c r="AF124" s="60"/>
      <c r="AG124" s="96">
        <f t="shared" ca="1" si="50"/>
        <v>-2.013535658456906</v>
      </c>
      <c r="AH124" s="96">
        <f t="shared" ca="1" si="51"/>
        <v>-2.0117334776921743</v>
      </c>
      <c r="AI124" s="96">
        <f t="shared" ca="1" si="52"/>
        <v>-2.0153381996938413</v>
      </c>
      <c r="AJ124" s="62"/>
      <c r="AK124" s="96">
        <f t="shared" ca="1" si="53"/>
        <v>5.4129398262544773E-2</v>
      </c>
      <c r="AL124" s="62"/>
      <c r="AM124" s="94"/>
      <c r="AN124" s="95"/>
      <c r="AX124" s="106">
        <f t="shared" ca="1" si="54"/>
        <v>0.53202500000000008</v>
      </c>
      <c r="AY124" s="106">
        <f t="shared" ca="1" si="55"/>
        <v>0.53201665000000009</v>
      </c>
      <c r="AZ124" s="106">
        <f t="shared" ca="1" si="56"/>
        <v>0.53203335000000007</v>
      </c>
      <c r="BB124" s="109">
        <f ca="1">_xll.EURO(UnderlyingPrice,$D124,IntRate,Yield,AX124,$D$6,1,0)</f>
        <v>0.86333086988134422</v>
      </c>
      <c r="BC124" s="109">
        <f ca="1">_xll.EURO(UnderlyingPrice,$D124*(1+$P$8),IntRate,Yield,AY124,$D$6,1,0)</f>
        <v>0.86267882132227847</v>
      </c>
      <c r="BD124" s="109">
        <f ca="1">_xll.EURO(UnderlyingPrice,$D124*(1-$P$8),IntRate,Yield,AZ124,$D$6,1,0)</f>
        <v>0.8639829799583576</v>
      </c>
      <c r="BF124" s="59">
        <f t="shared" ca="1" si="57"/>
        <v>0.13786337719369282</v>
      </c>
      <c r="BG124" s="62">
        <f t="shared" ca="1" si="58"/>
        <v>0.13812875270676456</v>
      </c>
      <c r="BI124" s="96">
        <f t="shared" ca="1" si="59"/>
        <v>-2.0142571807761214</v>
      </c>
      <c r="BJ124" s="96">
        <f t="shared" ca="1" si="60"/>
        <v>-2.0124543879499979</v>
      </c>
      <c r="BK124" s="96">
        <f t="shared" ca="1" si="61"/>
        <v>-2.0160603341968728</v>
      </c>
      <c r="BL124" s="62"/>
      <c r="BM124" s="96">
        <f t="shared" ca="1" si="62"/>
        <v>5.1176584724791044E-2</v>
      </c>
      <c r="BO124" s="58"/>
    </row>
    <row r="125" spans="3:68" x14ac:dyDescent="0.2">
      <c r="C125" s="97"/>
      <c r="D125" s="63">
        <f t="shared" ca="1" si="78"/>
        <v>3.3239999999999998</v>
      </c>
      <c r="E125" s="45">
        <f t="shared" ca="1" si="44"/>
        <v>-0.20894811994288442</v>
      </c>
      <c r="F125" s="45">
        <f t="shared" ca="1" si="66"/>
        <v>-0.20878990956687293</v>
      </c>
      <c r="G125" s="45">
        <f t="shared" ca="1" si="67"/>
        <v>-0.20910633031889581</v>
      </c>
      <c r="H125" s="45">
        <f t="shared" ca="1" si="68"/>
        <v>0.57866696332331469</v>
      </c>
      <c r="I125" s="45">
        <f t="shared" ca="1" si="69"/>
        <v>0.57874543257502864</v>
      </c>
      <c r="J125" s="45">
        <f t="shared" ca="1" si="70"/>
        <v>0.57882397777966021</v>
      </c>
      <c r="L125" s="58"/>
      <c r="M125" s="58"/>
      <c r="O125" s="58"/>
      <c r="P125" s="58"/>
      <c r="R125" s="59">
        <f t="shared" ca="1" si="72"/>
        <v>1.0230165113543082</v>
      </c>
      <c r="S125" s="59">
        <f t="shared" ca="1" si="73"/>
        <v>-0.22750991319064673</v>
      </c>
      <c r="T125" s="59">
        <f t="shared" ca="1" si="71"/>
        <v>-5.176076060001561E-2</v>
      </c>
      <c r="U125" s="59">
        <f t="shared" ca="1" si="74"/>
        <v>-1.8803462955215593</v>
      </c>
      <c r="V125" s="59"/>
      <c r="W125" s="104">
        <f t="shared" ca="1" si="75"/>
        <v>0.13611332339940702</v>
      </c>
      <c r="Z125" s="59">
        <f t="shared" ca="1" si="76"/>
        <v>1.0815854365100708</v>
      </c>
      <c r="AA125" s="59">
        <f t="shared" ca="1" si="77"/>
        <v>-0.22823504737567135</v>
      </c>
      <c r="AB125" s="59">
        <f t="shared" ca="1" si="42"/>
        <v>-5.2091236850574943E-2</v>
      </c>
      <c r="AC125" s="59">
        <f t="shared" ca="1" si="48"/>
        <v>-2.1152331011232426</v>
      </c>
      <c r="AD125" s="60">
        <f t="shared" ca="1" si="43"/>
        <v>0.12060517307498164</v>
      </c>
      <c r="AE125" s="60">
        <f t="shared" ca="1" si="49"/>
        <v>0.13044479876567666</v>
      </c>
      <c r="AF125" s="60"/>
      <c r="AG125" s="96">
        <f t="shared" ca="1" si="50"/>
        <v>-2.0568097146421893</v>
      </c>
      <c r="AH125" s="96">
        <f t="shared" ca="1" si="51"/>
        <v>-2.0550075338774567</v>
      </c>
      <c r="AI125" s="96">
        <f t="shared" ca="1" si="52"/>
        <v>-2.0586122558791238</v>
      </c>
      <c r="AJ125" s="62"/>
      <c r="AK125" s="96">
        <f t="shared" ca="1" si="53"/>
        <v>5.0205334754845524E-2</v>
      </c>
      <c r="AL125" s="62"/>
      <c r="AM125" s="94"/>
      <c r="AN125" s="95"/>
      <c r="AX125" s="106">
        <f t="shared" ca="1" si="54"/>
        <v>0.53222500000000006</v>
      </c>
      <c r="AY125" s="106">
        <f t="shared" ca="1" si="55"/>
        <v>0.53221669000000005</v>
      </c>
      <c r="AZ125" s="106">
        <f t="shared" ca="1" si="56"/>
        <v>0.53223331000000007</v>
      </c>
      <c r="BB125" s="109">
        <f ca="1">_xll.EURO(UnderlyingPrice,$D125,IntRate,Yield,AX125,$D$6,1,0)</f>
        <v>0.87896671440163754</v>
      </c>
      <c r="BC125" s="109">
        <f ca="1">_xll.EURO(UnderlyingPrice,$D125*(1+$P$8),IntRate,Yield,AY125,$D$6,1,0)</f>
        <v>0.87831637866427359</v>
      </c>
      <c r="BD125" s="109">
        <f ca="1">_xll.EURO(UnderlyingPrice,$D125*(1-$P$8),IntRate,Yield,AZ125,$D$6,1,0)</f>
        <v>0.87961710627690959</v>
      </c>
      <c r="BF125" s="59">
        <f t="shared" ca="1" si="57"/>
        <v>0.1270206128148996</v>
      </c>
      <c r="BG125" s="62">
        <f t="shared" ca="1" si="58"/>
        <v>0.12726511691005957</v>
      </c>
      <c r="BI125" s="96">
        <f t="shared" ca="1" si="59"/>
        <v>-2.0575459338106752</v>
      </c>
      <c r="BJ125" s="96">
        <f t="shared" ca="1" si="60"/>
        <v>-2.0557431409845508</v>
      </c>
      <c r="BK125" s="96">
        <f t="shared" ca="1" si="61"/>
        <v>-2.0593490872314257</v>
      </c>
      <c r="BL125" s="62"/>
      <c r="BM125" s="96">
        <f t="shared" ca="1" si="62"/>
        <v>4.6925740945323619E-2</v>
      </c>
      <c r="BO125" s="58"/>
    </row>
    <row r="126" spans="3:68" x14ac:dyDescent="0.2">
      <c r="C126" s="97"/>
      <c r="D126" s="63">
        <f t="shared" ca="1" si="78"/>
        <v>3.3079999999999998</v>
      </c>
      <c r="E126" s="45">
        <f t="shared" ca="1" si="44"/>
        <v>-0.21275583055687775</v>
      </c>
      <c r="F126" s="45">
        <f t="shared" ca="1" si="66"/>
        <v>-0.21259838172298906</v>
      </c>
      <c r="G126" s="45">
        <f t="shared" ca="1" si="67"/>
        <v>-0.21291327939076632</v>
      </c>
      <c r="H126" s="45">
        <f t="shared" ca="1" si="68"/>
        <v>0.58057704227349227</v>
      </c>
      <c r="I126" s="45">
        <f t="shared" ca="1" si="69"/>
        <v>0.5806569611901381</v>
      </c>
      <c r="J126" s="45">
        <f t="shared" ca="1" si="70"/>
        <v>0.58073695602071773</v>
      </c>
      <c r="L126" s="58"/>
      <c r="M126" s="58"/>
      <c r="O126" s="58"/>
      <c r="P126" s="58"/>
      <c r="R126" s="59">
        <f t="shared" ca="1" si="72"/>
        <v>1.0279645960525152</v>
      </c>
      <c r="S126" s="59">
        <f t="shared" ca="1" si="73"/>
        <v>-0.23233501302240359</v>
      </c>
      <c r="T126" s="59">
        <f t="shared" ca="1" si="71"/>
        <v>-5.3979558276120443E-2</v>
      </c>
      <c r="U126" s="59">
        <f t="shared" ca="1" si="74"/>
        <v>-1.9609499795171594</v>
      </c>
      <c r="V126" s="59"/>
      <c r="W126" s="104">
        <f t="shared" ca="1" si="75"/>
        <v>0.12660558907280653</v>
      </c>
      <c r="Z126" s="59">
        <f t="shared" ca="1" si="76"/>
        <v>1.0868168050058873</v>
      </c>
      <c r="AA126" s="59">
        <f t="shared" ca="1" si="77"/>
        <v>-0.23306014720742821</v>
      </c>
      <c r="AB126" s="59">
        <f t="shared" ca="1" si="42"/>
        <v>-5.4317032216348107E-2</v>
      </c>
      <c r="AC126" s="59">
        <f t="shared" ca="1" si="48"/>
        <v>-2.2056144458303253</v>
      </c>
      <c r="AD126" s="60">
        <f t="shared" ca="1" si="43"/>
        <v>0.11018280313685315</v>
      </c>
      <c r="AE126" s="60">
        <f t="shared" ca="1" si="49"/>
        <v>0.11974852207178739</v>
      </c>
      <c r="AF126" s="60"/>
      <c r="AG126" s="96">
        <f t="shared" ca="1" si="50"/>
        <v>-2.1002925728718487</v>
      </c>
      <c r="AH126" s="96">
        <f t="shared" ca="1" si="51"/>
        <v>-2.0984903921071161</v>
      </c>
      <c r="AI126" s="96">
        <f t="shared" ca="1" si="52"/>
        <v>-2.1020951141087827</v>
      </c>
      <c r="AJ126" s="62"/>
      <c r="AK126" s="96">
        <f t="shared" ca="1" si="53"/>
        <v>4.6473629695628099E-2</v>
      </c>
      <c r="AL126" s="62"/>
      <c r="AM126" s="94"/>
      <c r="AN126" s="95"/>
      <c r="AX126" s="106">
        <f t="shared" ca="1" si="54"/>
        <v>0.53242500000000004</v>
      </c>
      <c r="AY126" s="106">
        <f t="shared" ca="1" si="55"/>
        <v>0.53241673000000012</v>
      </c>
      <c r="AZ126" s="106">
        <f t="shared" ca="1" si="56"/>
        <v>0.53243327000000007</v>
      </c>
      <c r="BB126" s="109">
        <f ca="1">_xll.EURO(UnderlyingPrice,$D126,IntRate,Yield,AX126,$D$6,1,0)</f>
        <v>0.89463508905646849</v>
      </c>
      <c r="BC126" s="109">
        <f ca="1">_xll.EURO(UnderlyingPrice,$D126*(1+$P$8),IntRate,Yield,AY126,$D$6,1,0)</f>
        <v>0.89398659145192205</v>
      </c>
      <c r="BD126" s="109">
        <f ca="1">_xll.EURO(UnderlyingPrice,$D126*(1-$P$8),IntRate,Yield,AZ126,$D$6,1,0)</f>
        <v>0.89528363777798203</v>
      </c>
      <c r="BF126" s="59">
        <f t="shared" ca="1" si="57"/>
        <v>0.11678150962942972</v>
      </c>
      <c r="BG126" s="62">
        <f t="shared" ca="1" si="58"/>
        <v>0.11700630430417253</v>
      </c>
      <c r="BI126" s="96">
        <f t="shared" ca="1" si="59"/>
        <v>-2.1010435598035069</v>
      </c>
      <c r="BJ126" s="96">
        <f t="shared" ca="1" si="60"/>
        <v>-2.0992407669773825</v>
      </c>
      <c r="BK126" s="96">
        <f t="shared" ca="1" si="61"/>
        <v>-2.1028467132242574</v>
      </c>
      <c r="BL126" s="62"/>
      <c r="BM126" s="96">
        <f t="shared" ca="1" si="62"/>
        <v>4.293539926987458E-2</v>
      </c>
      <c r="BO126" s="58"/>
    </row>
    <row r="127" spans="3:68" x14ac:dyDescent="0.2">
      <c r="C127" s="97"/>
      <c r="D127" s="63">
        <f t="shared" ca="1" si="78"/>
        <v>3.2919999999999998</v>
      </c>
      <c r="E127" s="45">
        <f t="shared" ca="1" si="44"/>
        <v>-0.21656354117087107</v>
      </c>
      <c r="F127" s="45">
        <f t="shared" ca="1" si="66"/>
        <v>-0.2164068538791053</v>
      </c>
      <c r="G127" s="45">
        <f t="shared" ca="1" si="67"/>
        <v>-0.21672022846263683</v>
      </c>
      <c r="H127" s="45">
        <f t="shared" ca="1" si="68"/>
        <v>0.58253152100251471</v>
      </c>
      <c r="I127" s="45">
        <f t="shared" ca="1" si="69"/>
        <v>0.58261288852725512</v>
      </c>
      <c r="J127" s="45">
        <f t="shared" ca="1" si="70"/>
        <v>0.58269433191713926</v>
      </c>
      <c r="L127" s="58"/>
      <c r="M127" s="58"/>
      <c r="O127" s="58"/>
      <c r="P127" s="58"/>
      <c r="R127" s="59">
        <f t="shared" ca="1" si="72"/>
        <v>1.0329607787793802</v>
      </c>
      <c r="S127" s="59">
        <f t="shared" ca="1" si="73"/>
        <v>-0.23718350736902508</v>
      </c>
      <c r="T127" s="59">
        <f t="shared" ca="1" si="71"/>
        <v>-5.6256016167872375E-2</v>
      </c>
      <c r="U127" s="59">
        <f t="shared" ca="1" si="74"/>
        <v>-2.0436483230895153</v>
      </c>
      <c r="V127" s="59"/>
      <c r="W127" s="104">
        <f t="shared" ca="1" si="75"/>
        <v>0.11752860591215859</v>
      </c>
      <c r="Z127" s="59">
        <f t="shared" ca="1" si="76"/>
        <v>1.0920990252003266</v>
      </c>
      <c r="AA127" s="59">
        <f t="shared" ca="1" si="77"/>
        <v>-0.2379086415540497</v>
      </c>
      <c r="AB127" s="59">
        <f t="shared" ca="1" si="42"/>
        <v>-5.6600521726093304E-2</v>
      </c>
      <c r="AC127" s="59">
        <f t="shared" ca="1" si="48"/>
        <v>-2.2983385370423659</v>
      </c>
      <c r="AD127" s="60">
        <f t="shared" ca="1" si="43"/>
        <v>0.10042555853471585</v>
      </c>
      <c r="AE127" s="60">
        <f t="shared" ca="1" si="49"/>
        <v>0.10967465458096153</v>
      </c>
      <c r="AF127" s="60"/>
      <c r="AG127" s="96">
        <f t="shared" ca="1" si="50"/>
        <v>-2.1439862579048241</v>
      </c>
      <c r="AH127" s="96">
        <f t="shared" ca="1" si="51"/>
        <v>-2.1421840771400928</v>
      </c>
      <c r="AI127" s="96">
        <f t="shared" ca="1" si="52"/>
        <v>-2.1457887991417586</v>
      </c>
      <c r="AJ127" s="62"/>
      <c r="AK127" s="96">
        <f t="shared" ca="1" si="53"/>
        <v>4.2933038440583118E-2</v>
      </c>
      <c r="AL127" s="62"/>
      <c r="AM127" s="94"/>
      <c r="AN127" s="95"/>
      <c r="AX127" s="106">
        <f t="shared" ca="1" si="54"/>
        <v>0.53262500000000002</v>
      </c>
      <c r="AY127" s="106">
        <f t="shared" ca="1" si="55"/>
        <v>0.53261677000000007</v>
      </c>
      <c r="AZ127" s="106">
        <f t="shared" ca="1" si="56"/>
        <v>0.53263323000000007</v>
      </c>
      <c r="BB127" s="109">
        <f ca="1">_xll.EURO(UnderlyingPrice,$D127,IntRate,Yield,AX127,$D$6,1,0)</f>
        <v>0.91033337242979417</v>
      </c>
      <c r="BC127" s="109">
        <f ca="1">_xll.EURO(UnderlyingPrice,$D127*(1+$P$8),IntRate,Yield,AY127,$D$6,1,0)</f>
        <v>0.90968683033351461</v>
      </c>
      <c r="BD127" s="109">
        <f ca="1">_xll.EURO(UnderlyingPrice,$D127*(1-$P$8),IntRate,Yield,AZ127,$D$6,1,0)</f>
        <v>0.91097996096870171</v>
      </c>
      <c r="BF127" s="59">
        <f t="shared" ca="1" si="57"/>
        <v>0.10713642291450093</v>
      </c>
      <c r="BG127" s="62">
        <f t="shared" ca="1" si="58"/>
        <v>0.10734265160103354</v>
      </c>
      <c r="BI127" s="96">
        <f t="shared" ca="1" si="59"/>
        <v>-2.1447520842012104</v>
      </c>
      <c r="BJ127" s="96">
        <f t="shared" ca="1" si="60"/>
        <v>-2.1429492913750874</v>
      </c>
      <c r="BK127" s="96">
        <f t="shared" ca="1" si="61"/>
        <v>-2.146555237621961</v>
      </c>
      <c r="BL127" s="62"/>
      <c r="BM127" s="96">
        <f t="shared" ca="1" si="62"/>
        <v>3.9198810506615833E-2</v>
      </c>
      <c r="BO127" s="58"/>
    </row>
    <row r="128" spans="3:68" x14ac:dyDescent="0.2">
      <c r="C128" s="97"/>
      <c r="D128" s="63">
        <f t="shared" ca="1" si="78"/>
        <v>3.2759999999999998</v>
      </c>
      <c r="E128" s="45">
        <f t="shared" ca="1" si="44"/>
        <v>-0.22037125178486439</v>
      </c>
      <c r="F128" s="45">
        <f t="shared" ca="1" si="66"/>
        <v>-0.22021532603522143</v>
      </c>
      <c r="G128" s="45">
        <f t="shared" ca="1" si="67"/>
        <v>-0.22052717753450735</v>
      </c>
      <c r="H128" s="45">
        <f t="shared" ca="1" si="68"/>
        <v>0.58453080356766174</v>
      </c>
      <c r="I128" s="45">
        <f t="shared" ca="1" si="69"/>
        <v>0.58461361840132209</v>
      </c>
      <c r="J128" s="45">
        <f t="shared" ca="1" si="70"/>
        <v>0.58469650904162696</v>
      </c>
      <c r="L128" s="58"/>
      <c r="M128" s="58"/>
      <c r="O128" s="58"/>
      <c r="P128" s="58"/>
      <c r="R128" s="59">
        <f t="shared" ca="1" si="72"/>
        <v>1.0380057642679243</v>
      </c>
      <c r="S128" s="59">
        <f t="shared" ca="1" si="73"/>
        <v>-0.24205562419302545</v>
      </c>
      <c r="T128" s="59">
        <f t="shared" ca="1" si="71"/>
        <v>-5.8590925203475169E-2</v>
      </c>
      <c r="U128" s="59">
        <f t="shared" ca="1" si="74"/>
        <v>-2.1284700587939596</v>
      </c>
      <c r="V128" s="59"/>
      <c r="W128" s="104">
        <f t="shared" ca="1" si="75"/>
        <v>0.10888320584340373</v>
      </c>
      <c r="Z128" s="59">
        <f t="shared" ca="1" si="76"/>
        <v>1.097432842173222</v>
      </c>
      <c r="AA128" s="59">
        <f t="shared" ca="1" si="77"/>
        <v>-0.24278075837805008</v>
      </c>
      <c r="AB128" s="59">
        <f t="shared" ca="1" si="42"/>
        <v>-5.8942496638621132E-2</v>
      </c>
      <c r="AC128" s="59">
        <f t="shared" ca="1" si="48"/>
        <v>-2.3934375048627929</v>
      </c>
      <c r="AD128" s="60">
        <f t="shared" ca="1" si="43"/>
        <v>9.1315247142130032E-2</v>
      </c>
      <c r="AE128" s="60">
        <f t="shared" ca="1" si="49"/>
        <v>0.10021235120493795</v>
      </c>
      <c r="AF128" s="60"/>
      <c r="AG128" s="96">
        <f t="shared" ca="1" si="50"/>
        <v>-2.1878928240948152</v>
      </c>
      <c r="AH128" s="96">
        <f t="shared" ca="1" si="51"/>
        <v>-2.186090643330084</v>
      </c>
      <c r="AI128" s="96">
        <f t="shared" ca="1" si="52"/>
        <v>-2.1896953653317492</v>
      </c>
      <c r="AJ128" s="62"/>
      <c r="AK128" s="96">
        <f t="shared" ca="1" si="53"/>
        <v>3.9581569083907642E-2</v>
      </c>
      <c r="AL128" s="62"/>
      <c r="AM128" s="94"/>
      <c r="AN128" s="95"/>
      <c r="AX128" s="106">
        <f t="shared" ca="1" si="54"/>
        <v>0.5328250000000001</v>
      </c>
      <c r="AY128" s="106">
        <f t="shared" ca="1" si="55"/>
        <v>0.53281681000000003</v>
      </c>
      <c r="AZ128" s="106">
        <f t="shared" ca="1" si="56"/>
        <v>0.53283319000000007</v>
      </c>
      <c r="BB128" s="109">
        <f ca="1">_xll.EURO(UnderlyingPrice,$D128,IntRate,Yield,AX128,$D$6,1,0)</f>
        <v>0.92605909512823548</v>
      </c>
      <c r="BC128" s="109">
        <f ca="1">_xll.EURO(UnderlyingPrice,$D128*(1+$P$8),IntRate,Yield,AY128,$D$6,1,0)</f>
        <v>0.92541461821505644</v>
      </c>
      <c r="BD128" s="109">
        <f ca="1">_xll.EURO(UnderlyingPrice,$D128*(1-$P$8),IntRate,Yield,AZ128,$D$6,1,0)</f>
        <v>0.92670361414310998</v>
      </c>
      <c r="BF128" s="59">
        <f t="shared" ca="1" si="57"/>
        <v>9.8073530156557134E-2</v>
      </c>
      <c r="BG128" s="62">
        <f t="shared" ca="1" si="58"/>
        <v>9.8262313529733067E-2</v>
      </c>
      <c r="BI128" s="96">
        <f t="shared" ca="1" si="59"/>
        <v>-2.1886735620551905</v>
      </c>
      <c r="BJ128" s="96">
        <f t="shared" ca="1" si="60"/>
        <v>-2.1868707692290674</v>
      </c>
      <c r="BK128" s="96">
        <f t="shared" ca="1" si="61"/>
        <v>-2.1904767154759406</v>
      </c>
      <c r="BL128" s="62"/>
      <c r="BM128" s="96">
        <f t="shared" ca="1" si="62"/>
        <v>3.5708501135039657E-2</v>
      </c>
      <c r="BO128" s="58"/>
    </row>
    <row r="129" spans="3:67" x14ac:dyDescent="0.2">
      <c r="C129" s="97"/>
      <c r="D129" s="63">
        <f t="shared" ca="1" si="78"/>
        <v>3.26</v>
      </c>
      <c r="E129" s="45">
        <f t="shared" ca="1" si="44"/>
        <v>-0.22417896239885771</v>
      </c>
      <c r="F129" s="45">
        <f t="shared" ca="1" si="66"/>
        <v>-0.22402379819133744</v>
      </c>
      <c r="G129" s="45">
        <f t="shared" ca="1" si="67"/>
        <v>-0.22433412660637797</v>
      </c>
      <c r="H129" s="45">
        <f t="shared" ca="1" si="68"/>
        <v>0.58657529402621333</v>
      </c>
      <c r="I129" s="45">
        <f t="shared" ca="1" si="69"/>
        <v>0.58665955462728203</v>
      </c>
      <c r="J129" s="45">
        <f t="shared" ca="1" si="70"/>
        <v>0.58674389096688317</v>
      </c>
      <c r="L129" s="58"/>
      <c r="M129" s="58"/>
      <c r="O129" s="58"/>
      <c r="P129" s="58"/>
      <c r="R129" s="59">
        <f t="shared" ca="1" si="72"/>
        <v>1.0431002710864172</v>
      </c>
      <c r="S129" s="59">
        <f t="shared" ca="1" si="73"/>
        <v>-0.24695159480523216</v>
      </c>
      <c r="T129" s="59">
        <f t="shared" ca="1" si="71"/>
        <v>-6.0985090176847563E-2</v>
      </c>
      <c r="U129" s="59">
        <f t="shared" ca="1" si="74"/>
        <v>-2.2154444228945307</v>
      </c>
      <c r="V129" s="59"/>
      <c r="W129" s="104">
        <f t="shared" ca="1" si="75"/>
        <v>0.10066830489069678</v>
      </c>
      <c r="Z129" s="59">
        <f t="shared" ca="1" si="76"/>
        <v>1.1028190156317408</v>
      </c>
      <c r="AA129" s="59">
        <f t="shared" ca="1" si="77"/>
        <v>-0.24767672899025678</v>
      </c>
      <c r="AB129" s="59">
        <f t="shared" ca="1" si="42"/>
        <v>-6.1343762083313103E-2</v>
      </c>
      <c r="AC129" s="59">
        <f t="shared" ca="1" si="48"/>
        <v>-2.4909440426277878</v>
      </c>
      <c r="AD129" s="60">
        <f t="shared" ca="1" si="43"/>
        <v>8.2831732966198418E-2</v>
      </c>
      <c r="AE129" s="60">
        <f t="shared" ca="1" si="49"/>
        <v>9.1348410212854156E-2</v>
      </c>
      <c r="AF129" s="60"/>
      <c r="AG129" s="96">
        <f t="shared" ca="1" si="50"/>
        <v>-2.232014355969866</v>
      </c>
      <c r="AH129" s="96">
        <f t="shared" ca="1" si="51"/>
        <v>-2.2302121752051338</v>
      </c>
      <c r="AI129" s="96">
        <f t="shared" ca="1" si="52"/>
        <v>-2.2338168972068009</v>
      </c>
      <c r="AJ129" s="62"/>
      <c r="AK129" s="96">
        <f t="shared" ca="1" si="53"/>
        <v>3.6416530738503573E-2</v>
      </c>
      <c r="AL129" s="62"/>
      <c r="AM129" s="94"/>
      <c r="AN129" s="95"/>
      <c r="AX129" s="106">
        <f t="shared" ca="1" si="54"/>
        <v>0.53302500000000008</v>
      </c>
      <c r="AY129" s="106">
        <f t="shared" ca="1" si="55"/>
        <v>0.5330168500000001</v>
      </c>
      <c r="AZ129" s="106">
        <f t="shared" ca="1" si="56"/>
        <v>0.53303315000000007</v>
      </c>
      <c r="BB129" s="109">
        <f ca="1">_xll.EURO(UnderlyingPrice,$D129,IntRate,Yield,AX129,$D$6,1,0)</f>
        <v>0.9418099367566426</v>
      </c>
      <c r="BC129" s="109">
        <f ca="1">_xll.EURO(UnderlyingPrice,$D129*(1+$P$8),IntRate,Yield,AY129,$D$6,1,0)</f>
        <v>0.94116762725493697</v>
      </c>
      <c r="BD129" s="109">
        <f ca="1">_xll.EURO(UnderlyingPrice,$D129*(1-$P$8),IntRate,Yield,AZ129,$D$6,1,0)</f>
        <v>0.94245228433874262</v>
      </c>
      <c r="BF129" s="59">
        <f t="shared" ca="1" si="57"/>
        <v>8.957900747428206E-2</v>
      </c>
      <c r="BG129" s="62">
        <f t="shared" ca="1" si="58"/>
        <v>8.9751439599135244E-2</v>
      </c>
      <c r="BI129" s="96">
        <f t="shared" ca="1" si="59"/>
        <v>-2.2328100786014442</v>
      </c>
      <c r="BJ129" s="96">
        <f t="shared" ca="1" si="60"/>
        <v>-2.2310072857753198</v>
      </c>
      <c r="BK129" s="96">
        <f t="shared" ca="1" si="61"/>
        <v>-2.2346132320221956</v>
      </c>
      <c r="BL129" s="62"/>
      <c r="BM129" s="96">
        <f t="shared" ca="1" si="62"/>
        <v>3.2456356591192045E-2</v>
      </c>
      <c r="BO129" s="58"/>
    </row>
    <row r="130" spans="3:67" x14ac:dyDescent="0.2">
      <c r="C130" s="97"/>
      <c r="D130" s="63">
        <f t="shared" ca="1" si="78"/>
        <v>3.2439999999999998</v>
      </c>
      <c r="E130" s="45">
        <f t="shared" ca="1" si="44"/>
        <v>-0.22798667301285103</v>
      </c>
      <c r="F130" s="45">
        <f t="shared" ca="1" si="66"/>
        <v>-0.22783227034745368</v>
      </c>
      <c r="G130" s="45">
        <f t="shared" ca="1" si="67"/>
        <v>-0.22814107567824848</v>
      </c>
      <c r="H130" s="45">
        <f t="shared" ca="1" si="68"/>
        <v>0.58866539643545002</v>
      </c>
      <c r="I130" s="45">
        <f t="shared" ca="1" si="69"/>
        <v>0.58875110102007733</v>
      </c>
      <c r="J130" s="45">
        <f t="shared" ca="1" si="70"/>
        <v>0.58883688126560985</v>
      </c>
      <c r="L130" s="58"/>
      <c r="M130" s="58"/>
      <c r="O130" s="58"/>
      <c r="P130" s="58"/>
      <c r="R130" s="59">
        <f t="shared" ca="1" si="72"/>
        <v>1.0482450319795684</v>
      </c>
      <c r="S130" s="59">
        <f t="shared" ca="1" si="73"/>
        <v>-0.25187165393068189</v>
      </c>
      <c r="T130" s="59">
        <f t="shared" ca="1" si="71"/>
        <v>-6.3439330053777179E-2</v>
      </c>
      <c r="U130" s="59">
        <f t="shared" ca="1" si="74"/>
        <v>-2.3046011664858237</v>
      </c>
      <c r="V130" s="59"/>
      <c r="W130" s="104">
        <f t="shared" ca="1" si="75"/>
        <v>9.2880998416357594E-2</v>
      </c>
      <c r="Z130" s="59">
        <f t="shared" ca="1" si="76"/>
        <v>1.1082583202711083</v>
      </c>
      <c r="AA130" s="59">
        <f t="shared" ca="1" si="77"/>
        <v>-0.25259678811570652</v>
      </c>
      <c r="AB130" s="59">
        <f t="shared" ca="1" si="42"/>
        <v>-6.380513736637114E-2</v>
      </c>
      <c r="AC130" s="59">
        <f t="shared" ca="1" si="48"/>
        <v>-2.5908914193419479</v>
      </c>
      <c r="AD130" s="60">
        <f t="shared" ca="1" si="43"/>
        <v>7.4953195568235292E-2</v>
      </c>
      <c r="AE130" s="60">
        <f t="shared" ca="1" si="49"/>
        <v>8.3067502619404321E-2</v>
      </c>
      <c r="AF130" s="60"/>
      <c r="AG130" s="96">
        <f t="shared" ca="1" si="50"/>
        <v>-2.2763529688262087</v>
      </c>
      <c r="AH130" s="96">
        <f t="shared" ca="1" si="51"/>
        <v>-2.2745507880614779</v>
      </c>
      <c r="AI130" s="96">
        <f t="shared" ca="1" si="52"/>
        <v>-2.2781555100631441</v>
      </c>
      <c r="AJ130" s="62"/>
      <c r="AK130" s="96">
        <f t="shared" ca="1" si="53"/>
        <v>3.3434584827722588E-2</v>
      </c>
      <c r="AL130" s="62"/>
      <c r="AM130" s="94"/>
      <c r="AN130" s="95"/>
      <c r="AX130" s="106">
        <f t="shared" ca="1" si="54"/>
        <v>0.53322500000000006</v>
      </c>
      <c r="AY130" s="106">
        <f t="shared" ca="1" si="55"/>
        <v>0.53321689000000005</v>
      </c>
      <c r="AZ130" s="106">
        <f t="shared" ca="1" si="56"/>
        <v>0.53323311000000007</v>
      </c>
      <c r="BB130" s="109">
        <f ca="1">_xll.EURO(UnderlyingPrice,$D130,IntRate,Yield,AX130,$D$6,1,0)</f>
        <v>0.95758372238544709</v>
      </c>
      <c r="BC130" s="109">
        <f ca="1">_xll.EURO(UnderlyingPrice,$D130*(1+$P$8),IntRate,Yield,AY130,$D$6,1,0)</f>
        <v>0.95694367534758262</v>
      </c>
      <c r="BD130" s="109">
        <f ca="1">_xll.EURO(UnderlyingPrice,$D130*(1-$P$8),IntRate,Yield,AZ130,$D$6,1,0)</f>
        <v>0.95822380378781968</v>
      </c>
      <c r="BF130" s="59">
        <f t="shared" ca="1" si="57"/>
        <v>8.1637265573076101E-2</v>
      </c>
      <c r="BG130" s="62">
        <f t="shared" ca="1" si="58"/>
        <v>8.1794410506547371E-2</v>
      </c>
      <c r="BI130" s="96">
        <f t="shared" ca="1" si="59"/>
        <v>-2.2771637498546067</v>
      </c>
      <c r="BJ130" s="96">
        <f t="shared" ca="1" si="60"/>
        <v>-2.2753609570284836</v>
      </c>
      <c r="BK130" s="96">
        <f t="shared" ca="1" si="61"/>
        <v>-2.2789669032753577</v>
      </c>
      <c r="BL130" s="62"/>
      <c r="BM130" s="96">
        <f t="shared" ca="1" si="62"/>
        <v>2.9433724134214221E-2</v>
      </c>
      <c r="BO130" s="58"/>
    </row>
    <row r="131" spans="3:67" x14ac:dyDescent="0.2">
      <c r="C131" s="97"/>
      <c r="D131" s="63">
        <f t="shared" ca="1" si="78"/>
        <v>3.2279999999999998</v>
      </c>
      <c r="E131" s="45">
        <f t="shared" ca="1" si="44"/>
        <v>-0.23179438362684446</v>
      </c>
      <c r="F131" s="45">
        <f t="shared" ca="1" si="66"/>
        <v>-0.23164074250356981</v>
      </c>
      <c r="G131" s="45">
        <f t="shared" ca="1" si="67"/>
        <v>-0.231948024750119</v>
      </c>
      <c r="H131" s="45">
        <f t="shared" ca="1" si="68"/>
        <v>0.59080151485265164</v>
      </c>
      <c r="I131" s="45">
        <f t="shared" ca="1" si="69"/>
        <v>0.59088866139465068</v>
      </c>
      <c r="J131" s="45">
        <f t="shared" ca="1" si="70"/>
        <v>0.59097588351050911</v>
      </c>
      <c r="L131" s="58"/>
      <c r="M131" s="58"/>
      <c r="O131" s="58"/>
      <c r="P131" s="58"/>
      <c r="R131" s="59">
        <f t="shared" ca="1" si="72"/>
        <v>1.0534407942198638</v>
      </c>
      <c r="S131" s="59">
        <f t="shared" ca="1" si="73"/>
        <v>-0.25681603977614614</v>
      </c>
      <c r="T131" s="59">
        <f t="shared" ca="1" si="71"/>
        <v>-6.5954478286303075E-2</v>
      </c>
      <c r="U131" s="59">
        <f t="shared" ca="1" si="74"/>
        <v>-2.3959705669137659</v>
      </c>
      <c r="V131" s="59"/>
      <c r="W131" s="104">
        <f t="shared" ca="1" si="75"/>
        <v>8.5516666017593682E-2</v>
      </c>
      <c r="Z131" s="59">
        <f t="shared" ca="1" si="76"/>
        <v>1.1137515461460579</v>
      </c>
      <c r="AA131" s="59">
        <f t="shared" ca="1" si="77"/>
        <v>-0.25754117396117077</v>
      </c>
      <c r="AB131" s="59">
        <f t="shared" ca="1" si="42"/>
        <v>-6.6327456285298028E-2</v>
      </c>
      <c r="AC131" s="59">
        <f t="shared" ca="1" si="48"/>
        <v>-2.6933134924481785</v>
      </c>
      <c r="AD131" s="60">
        <f t="shared" ca="1" si="43"/>
        <v>6.7656388620836089E-2</v>
      </c>
      <c r="AE131" s="60">
        <f t="shared" ca="1" si="49"/>
        <v>7.5352407433114749E-2</v>
      </c>
      <c r="AF131" s="60"/>
      <c r="AG131" s="96">
        <f t="shared" ca="1" si="50"/>
        <v>-2.3209108093367905</v>
      </c>
      <c r="AH131" s="96">
        <f t="shared" ca="1" si="51"/>
        <v>-2.3191086285720584</v>
      </c>
      <c r="AI131" s="96">
        <f t="shared" ca="1" si="52"/>
        <v>-2.3227133505737241</v>
      </c>
      <c r="AJ131" s="62"/>
      <c r="AK131" s="96">
        <f t="shared" ca="1" si="53"/>
        <v>3.0631798821349532E-2</v>
      </c>
      <c r="AL131" s="62"/>
      <c r="AM131" s="94"/>
      <c r="AN131" s="95"/>
      <c r="AX131" s="106">
        <f t="shared" ca="1" si="54"/>
        <v>0.53342500000000004</v>
      </c>
      <c r="AY131" s="106">
        <f t="shared" ca="1" si="55"/>
        <v>0.53341693000000001</v>
      </c>
      <c r="AZ131" s="106">
        <f t="shared" ca="1" si="56"/>
        <v>0.53343307000000006</v>
      </c>
      <c r="BB131" s="109">
        <f ca="1">_xll.EURO(UnderlyingPrice,$D131,IntRate,Yield,AX131,$D$6,1,0)</f>
        <v>0.97337841856354812</v>
      </c>
      <c r="BC131" s="109">
        <f ca="1">_xll.EURO(UnderlyingPrice,$D131*(1+$P$8),IntRate,Yield,AY131,$D$6,1,0)</f>
        <v>0.97274072214987495</v>
      </c>
      <c r="BD131" s="109">
        <f ca="1">_xll.EURO(UnderlyingPrice,$D131*(1-$P$8),IntRate,Yield,AZ131,$D$6,1,0)</f>
        <v>0.97401614591671581</v>
      </c>
      <c r="BF131" s="59">
        <f t="shared" ca="1" si="57"/>
        <v>7.4231146904666576E-2</v>
      </c>
      <c r="BG131" s="62">
        <f t="shared" ca="1" si="58"/>
        <v>7.4374035676846098E-2</v>
      </c>
      <c r="BI131" s="96">
        <f t="shared" ca="1" si="59"/>
        <v>-2.3217367232166821</v>
      </c>
      <c r="BJ131" s="96">
        <f t="shared" ca="1" si="60"/>
        <v>-2.3199339303905582</v>
      </c>
      <c r="BK131" s="96">
        <f t="shared" ca="1" si="61"/>
        <v>-2.3235398766374322</v>
      </c>
      <c r="BL131" s="62"/>
      <c r="BM131" s="96">
        <f t="shared" ca="1" si="62"/>
        <v>2.6631499276838215E-2</v>
      </c>
      <c r="BO131" s="58"/>
    </row>
    <row r="132" spans="3:67" x14ac:dyDescent="0.2">
      <c r="C132" s="97"/>
      <c r="D132" s="63">
        <f t="shared" ca="1" si="78"/>
        <v>3.2119999999999997</v>
      </c>
      <c r="E132" s="45">
        <f t="shared" ca="1" si="44"/>
        <v>-0.23560209424083778</v>
      </c>
      <c r="F132" s="45">
        <f t="shared" ca="1" si="66"/>
        <v>-0.23544921465968593</v>
      </c>
      <c r="G132" s="45">
        <f t="shared" ca="1" si="67"/>
        <v>-0.23575497382198951</v>
      </c>
      <c r="H132" s="45">
        <f t="shared" ca="1" si="68"/>
        <v>0.59298405333509807</v>
      </c>
      <c r="I132" s="45">
        <f t="shared" ca="1" si="69"/>
        <v>0.59307263956594503</v>
      </c>
      <c r="J132" s="45">
        <f t="shared" ca="1" si="70"/>
        <v>0.59316130127428324</v>
      </c>
      <c r="L132" s="58"/>
      <c r="M132" s="58"/>
      <c r="O132" s="58"/>
      <c r="P132" s="58"/>
      <c r="R132" s="59">
        <f t="shared" ca="1" si="72"/>
        <v>1.0586883199694024</v>
      </c>
      <c r="S132" s="59">
        <f t="shared" ca="1" si="73"/>
        <v>-0.26178499409933326</v>
      </c>
      <c r="T132" s="59">
        <f t="shared" ca="1" si="71"/>
        <v>-6.8531383135587945E-2</v>
      </c>
      <c r="U132" s="59">
        <f t="shared" ca="1" si="74"/>
        <v>-2.4895834395048011</v>
      </c>
      <c r="V132" s="59"/>
      <c r="W132" s="104">
        <f t="shared" ca="1" si="75"/>
        <v>7.8569084803539385E-2</v>
      </c>
      <c r="Z132" s="59">
        <f t="shared" ca="1" si="76"/>
        <v>1.1192994990533858</v>
      </c>
      <c r="AA132" s="59">
        <f t="shared" ca="1" si="77"/>
        <v>-0.26251012828435788</v>
      </c>
      <c r="AB132" s="59">
        <f t="shared" ca="1" si="42"/>
        <v>-6.8911567451870034E-2</v>
      </c>
      <c r="AC132" s="59">
        <f t="shared" ca="1" si="48"/>
        <v>-2.7982447209424195</v>
      </c>
      <c r="AD132" s="60">
        <f t="shared" ca="1" si="43"/>
        <v>6.0916894987509018E-2</v>
      </c>
      <c r="AE132" s="60">
        <f t="shared" ca="1" si="49"/>
        <v>6.8184250043406544E-2</v>
      </c>
      <c r="AF132" s="60"/>
      <c r="AG132" s="96">
        <f t="shared" ca="1" si="50"/>
        <v>-2.3656900561749077</v>
      </c>
      <c r="AH132" s="96">
        <f t="shared" ca="1" si="51"/>
        <v>-2.3638878754101755</v>
      </c>
      <c r="AI132" s="96">
        <f t="shared" ca="1" si="52"/>
        <v>-2.3674925974118413</v>
      </c>
      <c r="AJ132" s="62"/>
      <c r="AK132" s="96">
        <f t="shared" ca="1" si="53"/>
        <v>2.800370184134612E-2</v>
      </c>
      <c r="AL132" s="62"/>
      <c r="AM132" s="94"/>
      <c r="AN132" s="95"/>
      <c r="AX132" s="106">
        <f t="shared" ca="1" si="54"/>
        <v>0.53362500000000002</v>
      </c>
      <c r="AY132" s="106">
        <f t="shared" ca="1" si="55"/>
        <v>0.53361697000000008</v>
      </c>
      <c r="AZ132" s="106">
        <f t="shared" ca="1" si="56"/>
        <v>0.53363303000000006</v>
      </c>
      <c r="BB132" s="109">
        <f ca="1">_xll.EURO(UnderlyingPrice,$D132,IntRate,Yield,AX132,$D$6,1,0)</f>
        <v>0.989192128931069</v>
      </c>
      <c r="BC132" s="109">
        <f ca="1">_xll.EURO(UnderlyingPrice,$D132*(1+$P$8),IntRate,Yield,AY132,$D$6,1,0)</f>
        <v>0.9885568647047509</v>
      </c>
      <c r="BD132" s="109">
        <f ca="1">_xll.EURO(UnderlyingPrice,$D132*(1-$P$8),IntRate,Yield,AZ132,$D$6,1,0)</f>
        <v>0.98982742094799647</v>
      </c>
      <c r="BF132" s="59">
        <f t="shared" ca="1" si="57"/>
        <v>6.7342154249613012E-2</v>
      </c>
      <c r="BG132" s="62">
        <f t="shared" ca="1" si="58"/>
        <v>6.7471782284984863E-2</v>
      </c>
      <c r="BI132" s="96">
        <f t="shared" ca="1" si="59"/>
        <v>-2.3665311781008955</v>
      </c>
      <c r="BJ132" s="96">
        <f t="shared" ca="1" si="60"/>
        <v>-2.3647283852747711</v>
      </c>
      <c r="BK132" s="96">
        <f t="shared" ca="1" si="61"/>
        <v>-2.3683343315216452</v>
      </c>
      <c r="BL132" s="62"/>
      <c r="BM132" s="96">
        <f t="shared" ca="1" si="62"/>
        <v>2.4040221330225636E-2</v>
      </c>
      <c r="BO132" s="58"/>
    </row>
    <row r="133" spans="3:67" x14ac:dyDescent="0.2">
      <c r="C133" s="97"/>
      <c r="D133" s="63">
        <f t="shared" ca="1" si="78"/>
        <v>3.1959999999999997</v>
      </c>
      <c r="E133" s="45">
        <f t="shared" ca="1" si="44"/>
        <v>-0.2394098048548311</v>
      </c>
      <c r="F133" s="45">
        <f t="shared" ca="1" si="66"/>
        <v>-0.23925768681580217</v>
      </c>
      <c r="G133" s="45">
        <f t="shared" ca="1" si="67"/>
        <v>-0.23956192289386002</v>
      </c>
      <c r="H133" s="45">
        <f t="shared" ca="1" si="68"/>
        <v>0.59521341594006971</v>
      </c>
      <c r="I133" s="45">
        <f t="shared" ca="1" si="69"/>
        <v>0.59530343934890251</v>
      </c>
      <c r="J133" s="45">
        <f t="shared" ca="1" si="70"/>
        <v>0.59539353812963425</v>
      </c>
      <c r="L133" s="58"/>
      <c r="M133" s="58"/>
      <c r="O133" s="58"/>
      <c r="P133" s="58"/>
      <c r="R133" s="59">
        <f t="shared" ca="1" si="72"/>
        <v>1.0639883866526032</v>
      </c>
      <c r="S133" s="59">
        <f t="shared" ca="1" si="73"/>
        <v>-0.26677876227982023</v>
      </c>
      <c r="T133" s="59">
        <f t="shared" ca="1" si="71"/>
        <v>-7.117090800355283E-2</v>
      </c>
      <c r="U133" s="59">
        <f t="shared" ca="1" si="74"/>
        <v>-2.5854711496133982</v>
      </c>
      <c r="V133" s="59"/>
      <c r="W133" s="104">
        <f t="shared" ca="1" si="75"/>
        <v>7.2030549722810547E-2</v>
      </c>
      <c r="Z133" s="59">
        <f t="shared" ca="1" si="76"/>
        <v>1.1249030009259935</v>
      </c>
      <c r="AA133" s="59">
        <f t="shared" ca="1" si="77"/>
        <v>-0.26750389646484485</v>
      </c>
      <c r="AB133" s="59">
        <f t="shared" ca="1" si="42"/>
        <v>-7.1558334623874426E-2</v>
      </c>
      <c r="AC133" s="59">
        <f t="shared" ca="1" si="48"/>
        <v>-2.9057201788442844</v>
      </c>
      <c r="AD133" s="60">
        <f t="shared" ca="1" si="43"/>
        <v>5.4709375875278479E-2</v>
      </c>
      <c r="AE133" s="60">
        <f t="shared" ca="1" si="49"/>
        <v>6.1542741100888913E-2</v>
      </c>
      <c r="AF133" s="60"/>
      <c r="AG133" s="96">
        <f t="shared" ca="1" si="50"/>
        <v>-2.4106929206534309</v>
      </c>
      <c r="AH133" s="96">
        <f t="shared" ca="1" si="51"/>
        <v>-2.4088907398887001</v>
      </c>
      <c r="AI133" s="96">
        <f t="shared" ca="1" si="52"/>
        <v>-2.4124954618903645</v>
      </c>
      <c r="AJ133" s="62"/>
      <c r="AK133" s="96">
        <f t="shared" ca="1" si="53"/>
        <v>2.554534156118653E-2</v>
      </c>
      <c r="AL133" s="62"/>
      <c r="AM133" s="94"/>
      <c r="AN133" s="95"/>
      <c r="AX133" s="106">
        <f t="shared" ca="1" si="54"/>
        <v>0.5338250000000001</v>
      </c>
      <c r="AY133" s="106">
        <f t="shared" ca="1" si="55"/>
        <v>0.53381701000000004</v>
      </c>
      <c r="AZ133" s="106">
        <f t="shared" ca="1" si="56"/>
        <v>0.53383299000000006</v>
      </c>
      <c r="BB133" s="109">
        <f ca="1">_xll.EURO(UnderlyingPrice,$D133,IntRate,Yield,AX133,$D$6,1,0)</f>
        <v>1.0050230894863788</v>
      </c>
      <c r="BC133" s="109">
        <f ca="1">_xll.EURO(UnderlyingPrice,$D133*(1+$P$8),IntRate,Yield,AY133,$D$6,1,0)</f>
        <v>1.0043903327164281</v>
      </c>
      <c r="BD133" s="109">
        <f ca="1">_xll.EURO(UnderlyingPrice,$D133*(1-$P$8),IntRate,Yield,AZ133,$D$6,1,0)</f>
        <v>1.0056558711593322</v>
      </c>
      <c r="BF133" s="59">
        <f t="shared" ca="1" si="57"/>
        <v>6.0950627943453156E-2</v>
      </c>
      <c r="BG133" s="62">
        <f t="shared" ca="1" si="58"/>
        <v>6.1067952823285553E-2</v>
      </c>
      <c r="BI133" s="96">
        <f t="shared" ca="1" si="59"/>
        <v>-2.4115493265711283</v>
      </c>
      <c r="BJ133" s="96">
        <f t="shared" ca="1" si="60"/>
        <v>-2.4097465337450057</v>
      </c>
      <c r="BK133" s="96">
        <f t="shared" ca="1" si="61"/>
        <v>-2.413352479991878</v>
      </c>
      <c r="BL133" s="62"/>
      <c r="BM133" s="96">
        <f t="shared" ca="1" si="62"/>
        <v>2.1650148267463507E-2</v>
      </c>
      <c r="BO133" s="58"/>
    </row>
    <row r="134" spans="3:67" x14ac:dyDescent="0.2">
      <c r="C134" s="97"/>
      <c r="D134" s="63">
        <f t="shared" ca="1" si="78"/>
        <v>3.1799999999999997</v>
      </c>
      <c r="E134" s="45">
        <f t="shared" ca="1" si="44"/>
        <v>-0.24321751546882442</v>
      </c>
      <c r="F134" s="45">
        <f t="shared" ca="1" si="66"/>
        <v>-0.24306615897191819</v>
      </c>
      <c r="G134" s="45">
        <f t="shared" ca="1" si="67"/>
        <v>-0.24336887196573065</v>
      </c>
      <c r="H134" s="45">
        <f t="shared" ca="1" si="68"/>
        <v>0.5974900067248462</v>
      </c>
      <c r="I134" s="45">
        <f t="shared" ca="1" si="69"/>
        <v>0.59758146455846606</v>
      </c>
      <c r="J134" s="45">
        <f t="shared" ca="1" si="70"/>
        <v>0.5976729976492644</v>
      </c>
      <c r="L134" s="58"/>
      <c r="M134" s="58"/>
      <c r="O134" s="58"/>
      <c r="P134" s="58"/>
      <c r="R134" s="59">
        <f t="shared" ca="1" si="72"/>
        <v>1.0693417873401636</v>
      </c>
      <c r="S134" s="59">
        <f t="shared" ca="1" si="73"/>
        <v>-0.27179759339176301</v>
      </c>
      <c r="T134" s="59">
        <f t="shared" ca="1" si="71"/>
        <v>-7.3873931773554141E-2</v>
      </c>
      <c r="U134" s="59">
        <f t="shared" ca="1" si="74"/>
        <v>-2.6836656249980426</v>
      </c>
      <c r="V134" s="59"/>
      <c r="W134" s="104">
        <f t="shared" ca="1" si="75"/>
        <v>6.589199957600321E-2</v>
      </c>
      <c r="Z134" s="59">
        <f t="shared" ca="1" si="76"/>
        <v>1.1305628902388287</v>
      </c>
      <c r="AA134" s="59">
        <f t="shared" ca="1" si="77"/>
        <v>-0.27252272757678764</v>
      </c>
      <c r="AB134" s="59">
        <f t="shared" ca="1" si="42"/>
        <v>-7.4268637045892011E-2</v>
      </c>
      <c r="AC134" s="59">
        <f t="shared" ca="1" si="48"/>
        <v>-3.0157755690349823</v>
      </c>
      <c r="AD134" s="60">
        <f t="shared" ca="1" si="43"/>
        <v>4.9007811802620233E-2</v>
      </c>
      <c r="AE134" s="60">
        <f t="shared" ca="1" si="49"/>
        <v>5.5406413355850913E-2</v>
      </c>
      <c r="AF134" s="60"/>
      <c r="AG134" s="96">
        <f t="shared" ca="1" si="50"/>
        <v>-2.4559216473800554</v>
      </c>
      <c r="AH134" s="96">
        <f t="shared" ca="1" si="51"/>
        <v>-2.4541194666153228</v>
      </c>
      <c r="AI134" s="96">
        <f t="shared" ca="1" si="52"/>
        <v>-2.4577241886169898</v>
      </c>
      <c r="AJ134" s="62"/>
      <c r="AK134" s="96">
        <f t="shared" ca="1" si="53"/>
        <v>2.3251341829387869E-2</v>
      </c>
      <c r="AL134" s="62"/>
      <c r="AM134" s="94"/>
      <c r="AN134" s="95"/>
      <c r="AX134" s="106">
        <f t="shared" ca="1" si="54"/>
        <v>0.53402500000000008</v>
      </c>
      <c r="AY134" s="106">
        <f t="shared" ca="1" si="55"/>
        <v>0.5340170500000001</v>
      </c>
      <c r="AZ134" s="106">
        <f t="shared" ca="1" si="56"/>
        <v>0.53403295000000006</v>
      </c>
      <c r="BB134" s="109">
        <f ca="1">_xll.EURO(UnderlyingPrice,$D134,IntRate,Yield,AX134,$D$6,1,0)</f>
        <v>1.0208696635612813</v>
      </c>
      <c r="BC134" s="109">
        <f ca="1">_xll.EURO(UnderlyingPrice,$D134*(1+$P$8),IntRate,Yield,AY134,$D$6,1,0)</f>
        <v>1.0202394835313098</v>
      </c>
      <c r="BD134" s="109">
        <f ca="1">_xll.EURO(UnderlyingPrice,$D134*(1-$P$8),IntRate,Yield,AZ134,$D$6,1,0)</f>
        <v>1.0214998658530949</v>
      </c>
      <c r="BF134" s="59">
        <f t="shared" ca="1" si="57"/>
        <v>5.5036000720615978E-2</v>
      </c>
      <c r="BG134" s="62">
        <f t="shared" ca="1" si="58"/>
        <v>5.5141940435904757E-2</v>
      </c>
      <c r="BI134" s="96">
        <f t="shared" ca="1" si="59"/>
        <v>-2.4567934139973957</v>
      </c>
      <c r="BJ134" s="96">
        <f t="shared" ca="1" si="60"/>
        <v>-2.4549906211712713</v>
      </c>
      <c r="BK134" s="96">
        <f t="shared" ca="1" si="61"/>
        <v>-2.4585965674181463</v>
      </c>
      <c r="BL134" s="62"/>
      <c r="BM134" s="96">
        <f t="shared" ca="1" si="62"/>
        <v>1.9451357128592136E-2</v>
      </c>
      <c r="BO134" s="58"/>
    </row>
    <row r="135" spans="3:67" x14ac:dyDescent="0.2">
      <c r="C135" s="97"/>
      <c r="D135" s="63">
        <f t="shared" ca="1" si="78"/>
        <v>3.1639999999999997</v>
      </c>
      <c r="E135" s="45">
        <f t="shared" ca="1" si="44"/>
        <v>-0.24702522608281774</v>
      </c>
      <c r="F135" s="45">
        <f t="shared" ca="1" si="66"/>
        <v>-0.24687463112803432</v>
      </c>
      <c r="G135" s="45">
        <f t="shared" ca="1" si="67"/>
        <v>-0.24717582103760116</v>
      </c>
      <c r="H135" s="45">
        <f t="shared" ca="1" si="68"/>
        <v>0.59981422974670817</v>
      </c>
      <c r="I135" s="45">
        <f t="shared" ca="1" si="69"/>
        <v>0.59990711900957838</v>
      </c>
      <c r="J135" s="45">
        <f t="shared" ca="1" si="70"/>
        <v>0.60000008340587563</v>
      </c>
      <c r="L135" s="58"/>
      <c r="M135" s="58"/>
      <c r="O135" s="58"/>
      <c r="P135" s="58"/>
      <c r="R135" s="59">
        <f t="shared" ca="1" si="72"/>
        <v>1.074749331144665</v>
      </c>
      <c r="S135" s="59">
        <f t="shared" ca="1" si="73"/>
        <v>-0.276841740278441</v>
      </c>
      <c r="T135" s="59">
        <f t="shared" ca="1" si="71"/>
        <v>-7.6641349160395777E-2</v>
      </c>
      <c r="U135" s="59">
        <f t="shared" ca="1" si="74"/>
        <v>-2.7841993685363486</v>
      </c>
      <c r="V135" s="59"/>
      <c r="W135" s="104">
        <f t="shared" ca="1" si="75"/>
        <v>6.0143147329563024E-2</v>
      </c>
      <c r="Z135" s="59">
        <f t="shared" ca="1" si="76"/>
        <v>1.1362800224271412</v>
      </c>
      <c r="AA135" s="59">
        <f t="shared" ca="1" si="77"/>
        <v>-0.27756687446346562</v>
      </c>
      <c r="AB135" s="59">
        <f t="shared" ca="1" si="42"/>
        <v>-7.7043369799417283E-2</v>
      </c>
      <c r="AC135" s="59">
        <f t="shared" ca="1" si="48"/>
        <v>-3.1284472374744063</v>
      </c>
      <c r="AD135" s="60">
        <f t="shared" ca="1" si="43"/>
        <v>4.3785733340682351E-2</v>
      </c>
      <c r="AE135" s="60">
        <f t="shared" ca="1" si="49"/>
        <v>4.9752854062339369E-2</v>
      </c>
      <c r="AF135" s="60"/>
      <c r="AG135" s="96">
        <f t="shared" ca="1" si="50"/>
        <v>-2.5013785149290806</v>
      </c>
      <c r="AH135" s="96">
        <f t="shared" ca="1" si="51"/>
        <v>-2.4995763341643489</v>
      </c>
      <c r="AI135" s="96">
        <f t="shared" ca="1" si="52"/>
        <v>-2.5031810561660151</v>
      </c>
      <c r="AJ135" s="62"/>
      <c r="AK135" s="96">
        <f t="shared" ca="1" si="53"/>
        <v>2.1115960461059728E-2</v>
      </c>
      <c r="AL135" s="62"/>
      <c r="AM135" s="94"/>
      <c r="AN135" s="95"/>
      <c r="AX135" s="106">
        <f t="shared" ca="1" si="54"/>
        <v>0.53422500000000006</v>
      </c>
      <c r="AY135" s="106">
        <f t="shared" ca="1" si="55"/>
        <v>0.53421709000000006</v>
      </c>
      <c r="AZ135" s="106">
        <f t="shared" ca="1" si="56"/>
        <v>0.53423291000000006</v>
      </c>
      <c r="BB135" s="109">
        <f ca="1">_xll.EURO(UnderlyingPrice,$D135,IntRate,Yield,AX135,$D$6,1,0)</f>
        <v>1.0367303365573122</v>
      </c>
      <c r="BC135" s="109">
        <f ca="1">_xll.EURO(UnderlyingPrice,$D135*(1+$P$8),IntRate,Yield,AY135,$D$6,1,0)</f>
        <v>1.036102796877588</v>
      </c>
      <c r="BD135" s="109">
        <f ca="1">_xll.EURO(UnderlyingPrice,$D135*(1-$P$8),IntRate,Yield,AZ135,$D$6,1,0)</f>
        <v>1.0373578960894285</v>
      </c>
      <c r="BF135" s="59">
        <f t="shared" ca="1" si="57"/>
        <v>4.9576961379413462E-2</v>
      </c>
      <c r="BG135" s="62">
        <f t="shared" ca="1" si="58"/>
        <v>4.9672392898867067E-2</v>
      </c>
      <c r="BI135" s="96">
        <f t="shared" ca="1" si="59"/>
        <v>-2.5022657197278528</v>
      </c>
      <c r="BJ135" s="96">
        <f t="shared" ca="1" si="60"/>
        <v>-2.5004629269017289</v>
      </c>
      <c r="BK135" s="96">
        <f t="shared" ca="1" si="61"/>
        <v>-2.5040688731486034</v>
      </c>
      <c r="BL135" s="62"/>
      <c r="BM135" s="96">
        <f t="shared" ca="1" si="62"/>
        <v>1.7433809643528569E-2</v>
      </c>
      <c r="BO135" s="58"/>
    </row>
    <row r="136" spans="3:67" x14ac:dyDescent="0.2">
      <c r="D136" s="63">
        <f t="shared" ca="1" si="78"/>
        <v>3.1479999999999997</v>
      </c>
      <c r="E136" s="45">
        <f t="shared" ca="1" si="44"/>
        <v>-0.25083293669681106</v>
      </c>
      <c r="F136" s="45">
        <f t="shared" ca="1" si="66"/>
        <v>-0.25068310328415044</v>
      </c>
      <c r="G136" s="45">
        <f t="shared" ca="1" si="67"/>
        <v>-0.25098277010947168</v>
      </c>
      <c r="H136" s="45">
        <f t="shared" ca="1" si="68"/>
        <v>0.60218648906293537</v>
      </c>
      <c r="I136" s="45">
        <f t="shared" ca="1" si="69"/>
        <v>0.60228080651718208</v>
      </c>
      <c r="J136" s="45">
        <f t="shared" ca="1" si="70"/>
        <v>0.60237519897217018</v>
      </c>
      <c r="L136" s="58"/>
      <c r="M136" s="58"/>
      <c r="O136" s="58"/>
      <c r="P136" s="58"/>
      <c r="R136" s="59">
        <f t="shared" ca="1" si="72"/>
        <v>1.0802118436282466</v>
      </c>
      <c r="S136" s="59">
        <f t="shared" ca="1" si="73"/>
        <v>-0.28191145962869163</v>
      </c>
      <c r="T136" s="59">
        <f t="shared" ca="1" si="71"/>
        <v>-7.9474071069979432E-2</v>
      </c>
      <c r="U136" s="59">
        <f t="shared" ca="1" si="74"/>
        <v>-2.8871054712903095</v>
      </c>
      <c r="V136" s="59"/>
      <c r="W136" s="104">
        <f t="shared" ca="1" si="75"/>
        <v>5.4772613347196776E-2</v>
      </c>
      <c r="Z136" s="59">
        <f t="shared" ca="1" si="76"/>
        <v>1.1420552703174953</v>
      </c>
      <c r="AA136" s="59">
        <f t="shared" ca="1" si="77"/>
        <v>-0.28263659381371625</v>
      </c>
      <c r="AB136" s="59">
        <f t="shared" ca="1" si="42"/>
        <v>-7.9883444162619624E-2</v>
      </c>
      <c r="AC136" s="59">
        <f t="shared" ca="1" si="48"/>
        <v>-3.2437721878097103</v>
      </c>
      <c r="AD136" s="60">
        <f t="shared" ca="1" si="43"/>
        <v>3.9016439820665563E-2</v>
      </c>
      <c r="AE136" s="60">
        <f t="shared" ca="1" si="49"/>
        <v>4.45589307262165E-2</v>
      </c>
      <c r="AF136" s="60"/>
      <c r="AG136" s="96">
        <f t="shared" ca="1" si="50"/>
        <v>-2.5470658365302263</v>
      </c>
      <c r="AH136" s="96">
        <f t="shared" ca="1" si="51"/>
        <v>-2.5452636557654942</v>
      </c>
      <c r="AI136" s="96">
        <f t="shared" ca="1" si="52"/>
        <v>-2.5488683777671604</v>
      </c>
      <c r="AJ136" s="62"/>
      <c r="AK136" s="96">
        <f t="shared" ca="1" si="53"/>
        <v>1.9133146660106126E-2</v>
      </c>
      <c r="AL136" s="62"/>
      <c r="AM136" s="94"/>
      <c r="AN136" s="95"/>
      <c r="AX136" s="106">
        <f t="shared" ca="1" si="54"/>
        <v>0.53442500000000004</v>
      </c>
      <c r="AY136" s="106">
        <f t="shared" ca="1" si="55"/>
        <v>0.53441713000000002</v>
      </c>
      <c r="AZ136" s="106">
        <f t="shared" ca="1" si="56"/>
        <v>0.53443287000000006</v>
      </c>
      <c r="BB136" s="109">
        <f ca="1">_xll.EURO(UnderlyingPrice,$D136,IntRate,Yield,AX136,$D$6,1,0)</f>
        <v>1.0526037104946178</v>
      </c>
      <c r="BC136" s="109">
        <f ca="1">_xll.EURO(UnderlyingPrice,$D136*(1+$P$8),IntRate,Yield,AY136,$D$6,1,0)</f>
        <v>1.0519788694151879</v>
      </c>
      <c r="BD136" s="109">
        <f ca="1">_xll.EURO(UnderlyingPrice,$D136*(1-$P$8),IntRate,Yield,AZ136,$D$6,1,0)</f>
        <v>1.0532285692341552</v>
      </c>
      <c r="BF136" s="59">
        <f t="shared" ca="1" si="57"/>
        <v>4.4551661647065664E-2</v>
      </c>
      <c r="BG136" s="62">
        <f t="shared" ca="1" si="58"/>
        <v>4.4637419883288017E-2</v>
      </c>
      <c r="BI136" s="96">
        <f t="shared" ca="1" si="59"/>
        <v>-2.5479685577778439</v>
      </c>
      <c r="BJ136" s="96">
        <f t="shared" ca="1" si="60"/>
        <v>-2.5461657649517204</v>
      </c>
      <c r="BK136" s="96">
        <f t="shared" ca="1" si="61"/>
        <v>-2.5497717111985945</v>
      </c>
      <c r="BL136" s="62"/>
      <c r="BM136" s="96">
        <f t="shared" ca="1" si="62"/>
        <v>1.5587431223014441E-2</v>
      </c>
      <c r="BO136" s="58"/>
    </row>
    <row r="137" spans="3:67" x14ac:dyDescent="0.2">
      <c r="D137" s="63">
        <f t="shared" ca="1" si="78"/>
        <v>3.1319999999999997</v>
      </c>
      <c r="E137" s="45">
        <f t="shared" ca="1" si="44"/>
        <v>-0.25464064731080449</v>
      </c>
      <c r="F137" s="45">
        <f t="shared" ca="1" si="66"/>
        <v>-0.25449157544026668</v>
      </c>
      <c r="G137" s="45">
        <f t="shared" ca="1" si="67"/>
        <v>-0.25478971918134219</v>
      </c>
      <c r="H137" s="45">
        <f t="shared" ca="1" si="68"/>
        <v>0.60460718873080799</v>
      </c>
      <c r="I137" s="45">
        <f t="shared" ca="1" si="69"/>
        <v>0.60470293089621974</v>
      </c>
      <c r="J137" s="45">
        <f t="shared" ca="1" si="70"/>
        <v>0.60479874792085031</v>
      </c>
      <c r="L137" s="58"/>
      <c r="M137" s="58"/>
      <c r="O137" s="58"/>
      <c r="P137" s="58"/>
      <c r="R137" s="59">
        <f t="shared" ca="1" si="72"/>
        <v>1.0857301672227715</v>
      </c>
      <c r="S137" s="59">
        <f t="shared" ca="1" si="73"/>
        <v>-0.28700701205529189</v>
      </c>
      <c r="T137" s="59">
        <f t="shared" ca="1" si="71"/>
        <v>-8.2373024968906458E-2</v>
      </c>
      <c r="U137" s="59">
        <f t="shared" ca="1" si="74"/>
        <v>-2.9924176259330597</v>
      </c>
      <c r="V137" s="59"/>
      <c r="W137" s="104">
        <f t="shared" ca="1" si="75"/>
        <v>4.9768060172135808E-2</v>
      </c>
      <c r="Z137" s="59">
        <f t="shared" ca="1" si="76"/>
        <v>1.1478895245719907</v>
      </c>
      <c r="AA137" s="59">
        <f t="shared" ca="1" si="77"/>
        <v>-0.28773214624031651</v>
      </c>
      <c r="AB137" s="59">
        <f t="shared" ca="1" si="42"/>
        <v>-8.2789787980058885E-2</v>
      </c>
      <c r="AC137" s="59">
        <f t="shared" ca="1" si="48"/>
        <v>-3.3617880963880946</v>
      </c>
      <c r="AD137" s="60">
        <f t="shared" ca="1" si="43"/>
        <v>3.4673204449922806E-2</v>
      </c>
      <c r="AE137" s="60">
        <f t="shared" ca="1" si="49"/>
        <v>3.9801008171409323E-2</v>
      </c>
      <c r="AF137" s="60"/>
      <c r="AG137" s="96">
        <f t="shared" ca="1" si="50"/>
        <v>-2.5929859607749881</v>
      </c>
      <c r="AH137" s="96">
        <f t="shared" ca="1" si="51"/>
        <v>-2.5911837800102564</v>
      </c>
      <c r="AI137" s="96">
        <f t="shared" ca="1" si="52"/>
        <v>-2.5947885020119212</v>
      </c>
      <c r="AJ137" s="62"/>
      <c r="AK137" s="96">
        <f t="shared" ca="1" si="53"/>
        <v>1.7296597561436269E-2</v>
      </c>
      <c r="AL137" s="62"/>
      <c r="AM137" s="94"/>
      <c r="AN137" s="95"/>
      <c r="AX137" s="106">
        <f t="shared" ca="1" si="54"/>
        <v>0.53462500000000002</v>
      </c>
      <c r="AY137" s="106">
        <f t="shared" ca="1" si="55"/>
        <v>0.53461717000000009</v>
      </c>
      <c r="AZ137" s="106">
        <f t="shared" ca="1" si="56"/>
        <v>0.53463283000000006</v>
      </c>
      <c r="BB137" s="109">
        <f ca="1">_xll.EURO(UnderlyingPrice,$D137,IntRate,Yield,AX137,$D$6,1,0)</f>
        <v>1.0684884984230476</v>
      </c>
      <c r="BC137" s="109">
        <f ca="1">_xll.EURO(UnderlyingPrice,$D137*(1+$P$8),IntRate,Yield,AY137,$D$6,1,0)</f>
        <v>1.0678664091458234</v>
      </c>
      <c r="BD137" s="109">
        <f ca="1">_xll.EURO(UnderlyingPrice,$D137*(1-$P$8),IntRate,Yield,AZ137,$D$6,1,0)</f>
        <v>1.0691106033709832</v>
      </c>
      <c r="BF137" s="59">
        <f t="shared" ca="1" si="57"/>
        <v>3.9937898991796478E-2</v>
      </c>
      <c r="BG137" s="62">
        <f t="shared" ca="1" si="58"/>
        <v>4.0014776119367962E-2</v>
      </c>
      <c r="BI137" s="96">
        <f t="shared" ca="1" si="59"/>
        <v>-2.5939042775365007</v>
      </c>
      <c r="BJ137" s="96">
        <f t="shared" ca="1" si="60"/>
        <v>-2.5921014847103767</v>
      </c>
      <c r="BK137" s="96">
        <f t="shared" ca="1" si="61"/>
        <v>-2.5957074309572499</v>
      </c>
      <c r="BL137" s="62"/>
      <c r="BM137" s="96">
        <f t="shared" ca="1" si="62"/>
        <v>1.3902179369926569E-2</v>
      </c>
      <c r="BO137" s="58"/>
    </row>
    <row r="138" spans="3:67" x14ac:dyDescent="0.2">
      <c r="D138" s="63">
        <f t="shared" ca="1" si="78"/>
        <v>3.1159999999999997</v>
      </c>
      <c r="E138" s="45">
        <f t="shared" ca="1" si="44"/>
        <v>-0.25844835792479781</v>
      </c>
      <c r="F138" s="45">
        <f t="shared" ca="1" si="66"/>
        <v>-0.25830004759638281</v>
      </c>
      <c r="G138" s="45">
        <f t="shared" ca="1" si="67"/>
        <v>-0.25859666825321281</v>
      </c>
      <c r="H138" s="45">
        <f t="shared" ca="1" si="68"/>
        <v>0.60707673280760599</v>
      </c>
      <c r="I138" s="45">
        <f t="shared" ca="1" si="69"/>
        <v>0.60717389596163396</v>
      </c>
      <c r="J138" s="45">
        <f t="shared" ca="1" si="70"/>
        <v>0.60727113382461795</v>
      </c>
      <c r="L138" s="58"/>
      <c r="M138" s="58"/>
      <c r="O138" s="58"/>
      <c r="P138" s="58"/>
      <c r="R138" s="59">
        <f t="shared" ca="1" si="72"/>
        <v>1.0913051616629397</v>
      </c>
      <c r="S138" s="59">
        <f t="shared" ca="1" si="73"/>
        <v>-0.29212866217534667</v>
      </c>
      <c r="T138" s="59">
        <f t="shared" ca="1" si="71"/>
        <v>-8.5339155264357813E-2</v>
      </c>
      <c r="U138" s="59">
        <f t="shared" ca="1" si="74"/>
        <v>-3.1001701405490163</v>
      </c>
      <c r="V138" s="59"/>
      <c r="W138" s="104">
        <f t="shared" ca="1" si="75"/>
        <v>4.5116327527482812E-2</v>
      </c>
      <c r="Z138" s="59">
        <f t="shared" ca="1" si="76"/>
        <v>1.153783694146173</v>
      </c>
      <c r="AA138" s="59">
        <f t="shared" ca="1" si="77"/>
        <v>-0.29285379636037129</v>
      </c>
      <c r="AB138" s="59">
        <f t="shared" ca="1" si="42"/>
        <v>-8.5763346042681821E-2</v>
      </c>
      <c r="AC138" s="59">
        <f t="shared" ca="1" si="48"/>
        <v>-3.4825333276870611</v>
      </c>
      <c r="AD138" s="60">
        <f t="shared" ca="1" si="43"/>
        <v>3.0729464539107111E-2</v>
      </c>
      <c r="AE138" s="60">
        <f t="shared" ca="1" si="49"/>
        <v>3.5455155115064828E-2</v>
      </c>
      <c r="AF138" s="60"/>
      <c r="AG138" s="96">
        <f t="shared" ca="1" si="50"/>
        <v>-2.6391412723410852</v>
      </c>
      <c r="AH138" s="96">
        <f t="shared" ca="1" si="51"/>
        <v>-2.6373390915763539</v>
      </c>
      <c r="AI138" s="96">
        <f t="shared" ca="1" si="52"/>
        <v>-2.6409438135780197</v>
      </c>
      <c r="AJ138" s="62"/>
      <c r="AK138" s="96">
        <f t="shared" ca="1" si="53"/>
        <v>1.5599813412593129E-2</v>
      </c>
      <c r="AL138" s="62"/>
      <c r="AM138" s="94"/>
      <c r="AX138" s="106">
        <f t="shared" ca="1" si="54"/>
        <v>0.53482500000000011</v>
      </c>
      <c r="AY138" s="106">
        <f t="shared" ca="1" si="55"/>
        <v>0.53481721000000004</v>
      </c>
      <c r="AZ138" s="106">
        <f t="shared" ca="1" si="56"/>
        <v>0.53483279000000006</v>
      </c>
      <c r="BB138" s="109">
        <f ca="1">_xll.EURO(UnderlyingPrice,$D138,IntRate,Yield,AX138,$D$6,1,0)</f>
        <v>1.0843835187428299</v>
      </c>
      <c r="BC138" s="109">
        <f ca="1">_xll.EURO(UnderlyingPrice,$D138*(1+$P$8),IntRate,Yield,AY138,$D$6,1,0)</f>
        <v>1.0837642297306989</v>
      </c>
      <c r="BD138" s="109">
        <f ca="1">_xll.EURO(UnderlyingPrice,$D138*(1-$P$8),IntRate,Yield,AZ138,$D$6,1,0)</f>
        <v>1.0850028216252299</v>
      </c>
      <c r="BF138" s="59">
        <f t="shared" ca="1" si="57"/>
        <v>3.5713300862073236E-2</v>
      </c>
      <c r="BG138" s="62">
        <f t="shared" ca="1" si="58"/>
        <v>3.578204599027681E-2</v>
      </c>
      <c r="BI138" s="96">
        <f t="shared" ca="1" si="59"/>
        <v>-2.6400752644914309</v>
      </c>
      <c r="BJ138" s="96">
        <f t="shared" ca="1" si="60"/>
        <v>-2.6382724716653079</v>
      </c>
      <c r="BK138" s="96">
        <f t="shared" ca="1" si="61"/>
        <v>-2.6418784179121819</v>
      </c>
      <c r="BL138" s="62"/>
      <c r="BM138" s="96">
        <f t="shared" ca="1" si="62"/>
        <v>1.2368110634190164E-2</v>
      </c>
      <c r="BO138" s="58"/>
    </row>
    <row r="139" spans="3:67" x14ac:dyDescent="0.2">
      <c r="C139" s="52"/>
      <c r="D139" s="110">
        <f t="shared" ca="1" si="78"/>
        <v>3.0999999999999996</v>
      </c>
      <c r="E139" s="111">
        <f t="shared" ca="1" si="44"/>
        <v>-0.26225606853879113</v>
      </c>
      <c r="F139" s="111">
        <f t="shared" ca="1" si="66"/>
        <v>-0.26210851975249883</v>
      </c>
      <c r="G139" s="111">
        <f t="shared" ca="1" si="67"/>
        <v>-0.26240361732508344</v>
      </c>
      <c r="H139" s="111">
        <f t="shared" ca="1" si="68"/>
        <v>0.60959552535060946</v>
      </c>
      <c r="I139" s="111">
        <f t="shared" ca="1" si="69"/>
        <v>0.60969410552836767</v>
      </c>
      <c r="J139" s="111">
        <f t="shared" ca="1" si="70"/>
        <v>0.60979276025617557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1.096937704432813</v>
      </c>
      <c r="S139" s="113">
        <f t="shared" ca="1" si="73"/>
        <v>-0.29727667869274793</v>
      </c>
      <c r="T139" s="113">
        <f t="shared" ca="1" si="71"/>
        <v>-8.8373423694591294E-2</v>
      </c>
      <c r="U139" s="113">
        <f t="shared" ca="1" si="74"/>
        <v>-3.2103979528197235</v>
      </c>
      <c r="V139" s="113"/>
      <c r="W139" s="115">
        <f t="shared" ca="1" si="75"/>
        <v>4.0803566251708695E-2</v>
      </c>
      <c r="Z139" s="59">
        <f t="shared" ca="1" si="76"/>
        <v>1.1597387067611209</v>
      </c>
      <c r="AA139" s="59">
        <f t="shared" ca="1" si="77"/>
        <v>-0.29800181287777255</v>
      </c>
      <c r="AB139" s="59">
        <f t="shared" ca="1" si="42"/>
        <v>-8.8805080478438964E-2</v>
      </c>
      <c r="AC139" s="59">
        <f t="shared" ca="1" si="48"/>
        <v>-3.6060469501759256</v>
      </c>
      <c r="AD139" s="60">
        <f t="shared" ca="1" si="43"/>
        <v>2.7158995807867407E-2</v>
      </c>
      <c r="AE139" s="60">
        <f t="shared" ca="1" si="49"/>
        <v>3.1497338675146848E-2</v>
      </c>
      <c r="AF139" s="60"/>
      <c r="AG139" s="96">
        <f t="shared" ca="1" si="50"/>
        <v>-2.6855341927355632</v>
      </c>
      <c r="AH139" s="96">
        <f t="shared" ca="1" si="51"/>
        <v>-2.6837320119708301</v>
      </c>
      <c r="AI139" s="96">
        <f t="shared" ca="1" si="52"/>
        <v>-2.6873367339724985</v>
      </c>
      <c r="AJ139" s="62"/>
      <c r="AK139" s="96">
        <f t="shared" ca="1" si="53"/>
        <v>1.4036150951086098E-2</v>
      </c>
      <c r="AL139" s="62"/>
      <c r="AM139" s="94"/>
      <c r="AX139" s="106">
        <f t="shared" ca="1" si="54"/>
        <v>0.53502500000000008</v>
      </c>
      <c r="AY139" s="106">
        <f t="shared" ca="1" si="55"/>
        <v>0.53501725</v>
      </c>
      <c r="AZ139" s="106">
        <f t="shared" ca="1" si="56"/>
        <v>0.53503275000000006</v>
      </c>
      <c r="BB139" s="109">
        <f ca="1">_xll.EURO(UnderlyingPrice,$D139,IntRate,Yield,AX139,$D$6,1,0)</f>
        <v>1.1002876894796327</v>
      </c>
      <c r="BC139" s="109">
        <f ca="1">_xll.EURO(UnderlyingPrice,$D139*(1+$P$8),IntRate,Yield,AY139,$D$6,1,0)</f>
        <v>1.0996712447608226</v>
      </c>
      <c r="BD139" s="109">
        <f ca="1">_xll.EURO(UnderlyingPrice,$D139*(1-$P$8),IntRate,Yield,AZ139,$D$6,1,0)</f>
        <v>1.1009041464436851</v>
      </c>
      <c r="BF139" s="59">
        <f t="shared" ca="1" si="57"/>
        <v>3.1855468661802271E-2</v>
      </c>
      <c r="BG139" s="62">
        <f t="shared" ca="1" si="58"/>
        <v>3.1916787784489864E-2</v>
      </c>
      <c r="BI139" s="96">
        <f t="shared" ca="1" si="59"/>
        <v>-2.6864839409720807</v>
      </c>
      <c r="BJ139" s="96">
        <f t="shared" ca="1" si="60"/>
        <v>-2.6846811481459558</v>
      </c>
      <c r="BK139" s="96">
        <f t="shared" ca="1" si="61"/>
        <v>-2.6882870943928325</v>
      </c>
      <c r="BL139" s="62"/>
      <c r="BM139" s="96">
        <f t="shared" ca="1" si="62"/>
        <v>1.097543172947929E-2</v>
      </c>
      <c r="BO139" s="58"/>
    </row>
    <row r="140" spans="3:67" x14ac:dyDescent="0.2">
      <c r="C140" s="97" t="s">
        <v>95</v>
      </c>
      <c r="D140" s="63">
        <f ca="1">MaxStrike</f>
        <v>5.1000000000000014</v>
      </c>
      <c r="E140" s="45">
        <f t="shared" ca="1" si="44"/>
        <v>0.21370775821037635</v>
      </c>
      <c r="F140" s="45">
        <f t="shared" ca="1" si="66"/>
        <v>0.2139504997620183</v>
      </c>
      <c r="G140" s="45">
        <f t="shared" ca="1" si="67"/>
        <v>0.21346501665873441</v>
      </c>
      <c r="H140" s="45">
        <f t="shared" ca="1" si="68"/>
        <v>0.54803286982394317</v>
      </c>
      <c r="I140" s="45">
        <f t="shared" ca="1" si="69"/>
        <v>0.54800059688450142</v>
      </c>
      <c r="J140" s="45">
        <f t="shared" ca="1" si="70"/>
        <v>0.54796832057777445</v>
      </c>
      <c r="L140" s="58"/>
      <c r="M140" s="58"/>
      <c r="O140" s="58"/>
      <c r="P140" s="58"/>
      <c r="R140" s="59">
        <f ca="1">(1/($D140*SQRT(2*PI()*T/365.25*$I$140^2)))</f>
        <v>0.68201508275272194</v>
      </c>
      <c r="S140" s="59">
        <f ca="1">LN($D140/UnderlyingPrice)+0.5*T/365.25*$I$140^2</f>
        <v>0.20025745197820724</v>
      </c>
      <c r="T140" s="59">
        <f t="shared" ca="1" si="71"/>
        <v>-4.0103047072803981E-2</v>
      </c>
      <c r="U140" s="59">
        <f ca="1">T140/(2*T/365.25*$I$140^2)</f>
        <v>-1.5242477242669288</v>
      </c>
      <c r="V140" s="59"/>
      <c r="W140" s="104">
        <f ca="1">(Alpha2*R140)*EXP(Gamma2^2*U140)</f>
        <v>0.13234095847570063</v>
      </c>
      <c r="Z140" s="59">
        <f t="shared" ca="1" si="76"/>
        <v>0.70493921391362235</v>
      </c>
      <c r="AA140" s="59">
        <f t="shared" ca="1" si="77"/>
        <v>0.19983661536140734</v>
      </c>
      <c r="AB140" s="59">
        <f t="shared" ca="1" si="42"/>
        <v>-3.9934672839103062E-2</v>
      </c>
      <c r="AC140" s="59">
        <f t="shared" ca="1" si="48"/>
        <v>-1.6215998501649278</v>
      </c>
      <c r="AD140" s="60">
        <f t="shared" ca="1" si="43"/>
        <v>0.19758234394513347</v>
      </c>
      <c r="AE140" s="60">
        <f t="shared" ca="1" si="49"/>
        <v>0.13928354222389336</v>
      </c>
      <c r="AF140" s="60"/>
      <c r="AG140" s="96">
        <f t="shared" ca="1" si="50"/>
        <v>1.8008885863178365</v>
      </c>
      <c r="AH140" s="96">
        <f t="shared" ca="1" si="51"/>
        <v>1.8026907670825676</v>
      </c>
      <c r="AI140" s="96">
        <f t="shared" ca="1" si="52"/>
        <v>1.799086045080903</v>
      </c>
      <c r="AJ140" s="62"/>
      <c r="AK140" s="96">
        <f t="shared" ca="1" si="53"/>
        <v>7.489497252929847E-2</v>
      </c>
      <c r="AL140" s="62"/>
      <c r="AM140" s="94"/>
      <c r="AX140" s="106">
        <f t="shared" ca="1" si="54"/>
        <v>0.54796000000000011</v>
      </c>
      <c r="AY140" s="106">
        <f t="shared" ca="1" si="55"/>
        <v>0.54798040000000003</v>
      </c>
      <c r="AZ140" s="106">
        <f t="shared" ca="1" si="56"/>
        <v>0.54793960000000008</v>
      </c>
      <c r="BB140" s="109">
        <f ca="1">_xll.EURO(UnderlyingPrice,$D140,IntRate,Yield,AX140,$D$6,1,0)</f>
        <v>9.9468769352276665E-3</v>
      </c>
      <c r="BC140" s="109">
        <f ca="1">_xll.EURO(UnderlyingPrice,$D140*(1+$P$8),IntRate,Yield,AY140,$D$6,1,0)</f>
        <v>9.907712277487879E-3</v>
      </c>
      <c r="BD140" s="109">
        <f ca="1">_xll.EURO(UnderlyingPrice,$D140*(1-$P$8),IntRate,Yield,AZ140,$D$6,1,0)</f>
        <v>9.9861852591691391E-3</v>
      </c>
      <c r="BF140" s="59">
        <f t="shared" ca="1" si="57"/>
        <v>0.13808746797881125</v>
      </c>
      <c r="BG140" s="62">
        <f t="shared" ca="1" si="58"/>
        <v>0.13835327484797105</v>
      </c>
      <c r="BI140" s="96">
        <f t="shared" ca="1" si="59"/>
        <v>1.8014625288364687</v>
      </c>
      <c r="BJ140" s="96">
        <f t="shared" ca="1" si="60"/>
        <v>1.8032653216625916</v>
      </c>
      <c r="BK140" s="96">
        <f t="shared" ca="1" si="61"/>
        <v>1.7996593754157189</v>
      </c>
      <c r="BL140" s="62"/>
      <c r="BM140" s="96">
        <f t="shared" ca="1" si="62"/>
        <v>7.827090626618087E-2</v>
      </c>
      <c r="BO140" s="58"/>
    </row>
    <row r="141" spans="3:67" x14ac:dyDescent="0.2">
      <c r="C141" s="56">
        <v>2</v>
      </c>
      <c r="D141" s="63">
        <f ca="1">+D140+UTFactor*(ROUNDUP(MAX(StrikeRange),1)-ROUNDDOWN(MIN(StrikeRange),1))/100</f>
        <v>5.1320000000000014</v>
      </c>
      <c r="E141" s="45">
        <f t="shared" ca="1" si="44"/>
        <v>0.22132317943836299</v>
      </c>
      <c r="F141" s="45">
        <f t="shared" ca="1" si="66"/>
        <v>0.22156744407425055</v>
      </c>
      <c r="G141" s="45">
        <f t="shared" ca="1" si="67"/>
        <v>0.22107891480247543</v>
      </c>
      <c r="H141" s="45">
        <f t="shared" ca="1" si="68"/>
        <v>0.54904325475434179</v>
      </c>
      <c r="I141" s="45">
        <f t="shared" ca="1" si="69"/>
        <v>0.54901093910328813</v>
      </c>
      <c r="J141" s="45">
        <f t="shared" ca="1" si="70"/>
        <v>0.54897861671898374</v>
      </c>
      <c r="L141" s="58"/>
      <c r="M141" s="58"/>
      <c r="O141" s="58"/>
      <c r="P141" s="58"/>
      <c r="R141" s="59">
        <f t="shared" ref="R141:R164" ca="1" si="79">(1/($D141*SQRT(2*PI()*T/365.25*$I$140^2)))</f>
        <v>0.67776245558045245</v>
      </c>
      <c r="S141" s="59">
        <f t="shared" ref="S141:S164" ca="1" si="80">LN($D141/UnderlyingPrice)+0.5*T/365.25*$I$140^2</f>
        <v>0.20651235900131712</v>
      </c>
      <c r="T141" s="59">
        <f t="shared" ca="1" si="71"/>
        <v>-4.2647354420288885E-2</v>
      </c>
      <c r="U141" s="59">
        <f t="shared" ref="U141:U164" ca="1" si="81">T141/(2*T/365.25*$I$140^2)</f>
        <v>-1.6209524628669409</v>
      </c>
      <c r="V141" s="59"/>
      <c r="W141" s="104">
        <f t="shared" ref="W141:W164" ca="1" si="82">(Alpha2*R141)*EXP(Gamma2^2*U141)</f>
        <v>0.11987650319177703</v>
      </c>
      <c r="Z141" s="59">
        <f t="shared" ca="1" si="76"/>
        <v>0.70054364593910246</v>
      </c>
      <c r="AA141" s="59">
        <f t="shared" ca="1" si="77"/>
        <v>0.20609152238451722</v>
      </c>
      <c r="AB141" s="59">
        <f t="shared" ca="1" si="42"/>
        <v>-4.2473715598767961E-2</v>
      </c>
      <c r="AC141" s="59">
        <f t="shared" ca="1" si="48"/>
        <v>-1.7247010167933263</v>
      </c>
      <c r="AD141" s="60">
        <f t="shared" ca="1" si="43"/>
        <v>0.17822633048758391</v>
      </c>
      <c r="AE141" s="60">
        <f t="shared" ca="1" si="49"/>
        <v>0.12485532336211944</v>
      </c>
      <c r="AF141" s="60"/>
      <c r="AG141" s="96">
        <f t="shared" ca="1" si="50"/>
        <v>1.8572565879777228</v>
      </c>
      <c r="AH141" s="96">
        <f t="shared" ca="1" si="51"/>
        <v>1.8590587687424542</v>
      </c>
      <c r="AI141" s="96">
        <f t="shared" ca="1" si="52"/>
        <v>1.855454046740789</v>
      </c>
      <c r="AJ141" s="62"/>
      <c r="AK141" s="96">
        <f t="shared" ca="1" si="53"/>
        <v>6.8266702852091382E-2</v>
      </c>
      <c r="AL141" s="62"/>
      <c r="AM141" s="94"/>
      <c r="AX141" s="106">
        <f t="shared" ca="1" si="54"/>
        <v>0.54860000000000009</v>
      </c>
      <c r="AY141" s="106">
        <f t="shared" ca="1" si="55"/>
        <v>0.54862052800000005</v>
      </c>
      <c r="AZ141" s="106">
        <f t="shared" ca="1" si="56"/>
        <v>0.54857947200000012</v>
      </c>
      <c r="BB141" s="109">
        <f ca="1">_xll.EURO(UnderlyingPrice,$D141,IntRate,Yield,AX141,$D$6,1,0)</f>
        <v>8.784267471736662E-3</v>
      </c>
      <c r="BC141" s="109">
        <f ca="1">_xll.EURO(UnderlyingPrice,$D141*(1+$P$8),IntRate,Yield,AY141,$D$6,1,0)</f>
        <v>8.7491599573394641E-3</v>
      </c>
      <c r="BD141" s="109">
        <f ca="1">_xll.EURO(UnderlyingPrice,$D141*(1-$P$8),IntRate,Yield,AZ141,$D$6,1,0)</f>
        <v>8.819506172479924E-3</v>
      </c>
      <c r="BF141" s="59">
        <f t="shared" ca="1" si="57"/>
        <v>0.124524655547194</v>
      </c>
      <c r="BG141" s="62">
        <f t="shared" ca="1" si="58"/>
        <v>0.1247643551325994</v>
      </c>
      <c r="BI141" s="96">
        <f t="shared" ca="1" si="59"/>
        <v>1.8578496743459754</v>
      </c>
      <c r="BJ141" s="96">
        <f t="shared" ca="1" si="60"/>
        <v>1.8596524671720984</v>
      </c>
      <c r="BK141" s="96">
        <f t="shared" ca="1" si="61"/>
        <v>1.8560465209252253</v>
      </c>
      <c r="BL141" s="62"/>
      <c r="BM141" s="96">
        <f t="shared" ca="1" si="62"/>
        <v>7.1026091539297731E-2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5.1640000000000015</v>
      </c>
      <c r="E142" s="45">
        <f t="shared" ca="1" si="44"/>
        <v>0.22893860066634963</v>
      </c>
      <c r="F142" s="45">
        <f t="shared" ca="1" si="66"/>
        <v>0.22918438838648303</v>
      </c>
      <c r="G142" s="45">
        <f t="shared" ca="1" si="67"/>
        <v>0.22869281294621646</v>
      </c>
      <c r="H142" s="45">
        <f t="shared" ca="1" si="68"/>
        <v>0.55004698868040447</v>
      </c>
      <c r="I142" s="45">
        <f t="shared" ca="1" si="69"/>
        <v>0.55001473659625699</v>
      </c>
      <c r="J142" s="45">
        <f t="shared" ca="1" si="70"/>
        <v>0.54998247432947467</v>
      </c>
      <c r="L142" s="58"/>
      <c r="M142" s="58"/>
      <c r="O142" s="58"/>
      <c r="P142" s="58"/>
      <c r="R142" s="59">
        <f t="shared" ca="1" si="79"/>
        <v>0.67356253331504301</v>
      </c>
      <c r="S142" s="59">
        <f t="shared" ca="1" si="80"/>
        <v>0.21272838523232318</v>
      </c>
      <c r="T142" s="59">
        <f t="shared" ca="1" si="71"/>
        <v>-4.5253365883551694E-2</v>
      </c>
      <c r="U142" s="59">
        <f t="shared" ca="1" si="81"/>
        <v>-1.7200024685954489</v>
      </c>
      <c r="V142" s="59"/>
      <c r="W142" s="104">
        <f t="shared" ca="1" si="82"/>
        <v>0.10834646786663649</v>
      </c>
      <c r="Z142" s="59">
        <f t="shared" ca="1" si="76"/>
        <v>0.69620255440733425</v>
      </c>
      <c r="AA142" s="59">
        <f t="shared" ca="1" si="77"/>
        <v>0.21230754861552328</v>
      </c>
      <c r="AB142" s="59">
        <f t="shared" ca="1" si="42"/>
        <v>-4.5074495199132786E-2</v>
      </c>
      <c r="AC142" s="59">
        <f t="shared" ref="AC142:AC164" ca="1" si="84">AB142/(2*T/365.25*ATMImpVol^2)</f>
        <v>-1.8303090889379414</v>
      </c>
      <c r="AD142" s="60">
        <f t="shared" ca="1" si="43"/>
        <v>0.16036399337772134</v>
      </c>
      <c r="AE142" s="60">
        <f t="shared" ref="AE142:AE164" ca="1" si="85">AD142*Z142</f>
        <v>0.11164582182453042</v>
      </c>
      <c r="AF142" s="60"/>
      <c r="AG142" s="96">
        <f t="shared" ref="AG142:AG164" ca="1" si="86">(LN($D142/UnderlyingPrice)+0.5*ATMImpVol^2*(T/365.25))/(ATMImpVol*SQRT(T/365.25))</f>
        <v>1.9132742035254338</v>
      </c>
      <c r="AH142" s="96">
        <f t="shared" ref="AH142:AH164" ca="1" si="87">(LN(($D142*(1+$P$8))/UnderlyingPrice)+0.5*ATMImpVol^2*(T/365.25))/(ATMImpVol*SQRT(T/365.25))</f>
        <v>1.9150763842901666</v>
      </c>
      <c r="AI142" s="96">
        <f t="shared" ref="AI142:AI164" ca="1" si="88">(LN($D142*(1-$P$8)/UnderlyingPrice)+0.5*ATMImpVol^2*(T/365.25))/(ATMImpVol*SQRT(T/365.25))</f>
        <v>1.9114716622884995</v>
      </c>
      <c r="AJ142" s="62"/>
      <c r="AK142" s="96">
        <f ca="1">W142/(AH142-AI142)*(D142*2*$P$8)</f>
        <v>6.2085360236330121E-2</v>
      </c>
      <c r="AL142" s="62"/>
      <c r="AM142" s="94"/>
      <c r="AX142" s="106">
        <f t="shared" ref="AX142:AX164" ca="1" si="89">VLOOKUP(E142,ENAVolTable,4)+VLOOKUP(E142,ENAVolTable,5)*(E142-VLOOKUP(E142,ENAVolTable,1))</f>
        <v>0.54924000000000006</v>
      </c>
      <c r="AY142" s="106">
        <f t="shared" ref="AY142:AY164" ca="1" si="90">VLOOKUP(F142,ENAVolTable,4)+VLOOKUP(F142,ENAVolTable,5)*(F142-VLOOKUP(F142,ENAVolTable,1))</f>
        <v>0.54926065600000007</v>
      </c>
      <c r="AZ142" s="106">
        <f t="shared" ref="AZ142:AZ164" ca="1" si="91">VLOOKUP(G142,ENAVolTable,4)+VLOOKUP(G142,ENAVolTable,5)*(G142-VLOOKUP(G142,ENAVolTable,1))</f>
        <v>0.54921934400000005</v>
      </c>
      <c r="BB142" s="109">
        <f ca="1">_xll.EURO(UnderlyingPrice,$D142,IntRate,Yield,AX142,$D$6,1,0)</f>
        <v>7.7492668322622638E-3</v>
      </c>
      <c r="BC142" s="109">
        <f ca="1">_xll.EURO(UnderlyingPrice,$D142*(1+$P$8),IntRate,Yield,AY142,$D$6,1,0)</f>
        <v>7.7178410758006744E-3</v>
      </c>
      <c r="BD142" s="109">
        <f ca="1">_xll.EURO(UnderlyingPrice,$D142*(1-$P$8),IntRate,Yield,AZ142,$D$6,1,0)</f>
        <v>7.7808121448509071E-3</v>
      </c>
      <c r="BF142" s="59">
        <f t="shared" ref="BF142:BF164" ca="1" si="92">(BC142+BD142-2*BB142)/($P$8*$D142)^2</f>
        <v>0.1120829052000873</v>
      </c>
      <c r="BG142" s="62">
        <f t="shared" ref="BG142:BG164" ca="1" si="93">+BF142/$D$9</f>
        <v>0.11229865545283393</v>
      </c>
      <c r="BI142" s="96">
        <f t="shared" ref="BI142:BI164" ca="1" si="94">(LN($D142/UnderlyingPrice)+0.5*ENAVol^2*(T/365.25))/(ENAVol*SQRT(T/365.25))</f>
        <v>1.9138863147442495</v>
      </c>
      <c r="BJ142" s="96">
        <f t="shared" ref="BJ142:BJ164" ca="1" si="95">(LN(($D142*(1+$P$8))/UnderlyingPrice)+0.5*ENAVol^2*(T/365.25))/(ENAVol*SQRT(T/365.25))</f>
        <v>1.9156891075703741</v>
      </c>
      <c r="BK142" s="96">
        <f t="shared" ref="BK142:BK164" ca="1" si="96">(LN($D142*(1-$P$8)/UnderlyingPrice)+0.5*ENAVol^2*(T/365.25))/(ENAVol*SQRT(T/365.25))</f>
        <v>1.9120831613234992</v>
      </c>
      <c r="BL142" s="62"/>
      <c r="BM142" s="96">
        <f t="shared" ref="BM142:BM164" ca="1" si="97">BG142/(BJ142-BK142)*(D142*2*$P$8)</f>
        <v>6.4328219785417945E-2</v>
      </c>
      <c r="BO142" s="58"/>
    </row>
    <row r="143" spans="3:67" x14ac:dyDescent="0.2">
      <c r="C143" s="56"/>
      <c r="D143" s="63">
        <f t="shared" ca="1" si="83"/>
        <v>5.1960000000000015</v>
      </c>
      <c r="E143" s="45">
        <f t="shared" ca="1" si="44"/>
        <v>0.2365540218943365</v>
      </c>
      <c r="F143" s="45">
        <f t="shared" ca="1" si="66"/>
        <v>0.23680133269871528</v>
      </c>
      <c r="G143" s="45">
        <f t="shared" ca="1" si="67"/>
        <v>0.23630671108995749</v>
      </c>
      <c r="H143" s="45">
        <f t="shared" ca="1" si="68"/>
        <v>0.55104083914389046</v>
      </c>
      <c r="I143" s="45">
        <f t="shared" ca="1" si="69"/>
        <v>0.55100875884386669</v>
      </c>
      <c r="J143" s="45">
        <f t="shared" ca="1" si="70"/>
        <v>0.55097666482762997</v>
      </c>
      <c r="L143" s="58"/>
      <c r="M143" s="58"/>
      <c r="O143" s="58"/>
      <c r="P143" s="58"/>
      <c r="R143" s="59">
        <f t="shared" ca="1" si="79"/>
        <v>0.66941434219378015</v>
      </c>
      <c r="S143" s="59">
        <f t="shared" ca="1" si="80"/>
        <v>0.21890601105628035</v>
      </c>
      <c r="T143" s="59">
        <f t="shared" ca="1" si="71"/>
        <v>-4.7919841676572338E-2</v>
      </c>
      <c r="U143" s="59">
        <f t="shared" ca="1" si="81"/>
        <v>-1.8213506193219018</v>
      </c>
      <c r="V143" s="59"/>
      <c r="W143" s="104">
        <f t="shared" ca="1" si="82"/>
        <v>9.7713766043987182E-2</v>
      </c>
      <c r="Z143" s="59">
        <f t="shared" ca="1" si="76"/>
        <v>0.69191493282514893</v>
      </c>
      <c r="AA143" s="59">
        <f t="shared" ca="1" si="77"/>
        <v>0.21848517443948046</v>
      </c>
      <c r="AB143" s="59">
        <f t="shared" ca="1" si="42"/>
        <v>-4.7735771449850202E-2</v>
      </c>
      <c r="AC143" s="59">
        <f t="shared" ca="1" si="84"/>
        <v>-1.9383737070405638</v>
      </c>
      <c r="AD143" s="60">
        <f t="shared" ca="1" si="43"/>
        <v>0.14393784463870143</v>
      </c>
      <c r="AE143" s="60">
        <f t="shared" ca="1" si="85"/>
        <v>9.9592744104183825E-2</v>
      </c>
      <c r="AF143" s="60"/>
      <c r="AG143" s="96">
        <f t="shared" ca="1" si="86"/>
        <v>1.9689457620973534</v>
      </c>
      <c r="AH143" s="96">
        <f t="shared" ca="1" si="87"/>
        <v>1.9707479428620851</v>
      </c>
      <c r="AI143" s="96">
        <f t="shared" ca="1" si="88"/>
        <v>1.9671432208604178</v>
      </c>
      <c r="AJ143" s="62"/>
      <c r="AK143" s="96">
        <f t="shared" ref="AK143:AK164" ca="1" si="98">W143/(AH143-AI143)*(D143*2*$P$8)</f>
        <v>5.6339515572043877E-2</v>
      </c>
      <c r="AL143" s="62"/>
      <c r="AM143" s="94"/>
      <c r="AX143" s="106">
        <f t="shared" ca="1" si="89"/>
        <v>0.54988000000000004</v>
      </c>
      <c r="AY143" s="106">
        <f t="shared" ca="1" si="90"/>
        <v>0.54990078400000009</v>
      </c>
      <c r="AZ143" s="106">
        <f t="shared" ca="1" si="91"/>
        <v>0.5498592160000001</v>
      </c>
      <c r="BB143" s="109">
        <f ca="1">_xll.EURO(UnderlyingPrice,$D143,IntRate,Yield,AX143,$D$6,1,0)</f>
        <v>6.8291294169087469E-3</v>
      </c>
      <c r="BC143" s="109">
        <f ca="1">_xll.EURO(UnderlyingPrice,$D143*(1+$P$8),IntRate,Yield,AY143,$D$6,1,0)</f>
        <v>6.8010382983980655E-3</v>
      </c>
      <c r="BD143" s="109">
        <f ca="1">_xll.EURO(UnderlyingPrice,$D143*(1-$P$8),IntRate,Yield,AZ143,$D$6,1,0)</f>
        <v>6.8573292858258028E-3</v>
      </c>
      <c r="BF143" s="59">
        <f t="shared" ca="1" si="92"/>
        <v>0.10070072849328585</v>
      </c>
      <c r="BG143" s="62">
        <f t="shared" ca="1" si="93"/>
        <v>0.10089456900433801</v>
      </c>
      <c r="BI143" s="96">
        <f t="shared" ca="1" si="94"/>
        <v>1.9695767806379485</v>
      </c>
      <c r="BJ143" s="96">
        <f t="shared" ca="1" si="95"/>
        <v>1.971379573464072</v>
      </c>
      <c r="BK143" s="96">
        <f t="shared" ca="1" si="96"/>
        <v>1.9677736272171966</v>
      </c>
      <c r="BL143" s="62"/>
      <c r="BM143" s="96">
        <f t="shared" ca="1" si="97"/>
        <v>5.815374325125465E-2</v>
      </c>
      <c r="BO143" s="58"/>
    </row>
    <row r="144" spans="3:67" x14ac:dyDescent="0.2">
      <c r="C144" s="56"/>
      <c r="D144" s="63">
        <f t="shared" ca="1" si="83"/>
        <v>5.2280000000000015</v>
      </c>
      <c r="E144" s="45">
        <f t="shared" ca="1" si="44"/>
        <v>0.24416944312232314</v>
      </c>
      <c r="F144" s="45">
        <f t="shared" ca="1" si="66"/>
        <v>0.24441827701094754</v>
      </c>
      <c r="G144" s="45">
        <f t="shared" ca="1" si="67"/>
        <v>0.24392060923369852</v>
      </c>
      <c r="H144" s="45">
        <f t="shared" ca="1" si="68"/>
        <v>0.55202157368655935</v>
      </c>
      <c r="I144" s="45">
        <f t="shared" ca="1" si="69"/>
        <v>0.55198977532657623</v>
      </c>
      <c r="J144" s="45">
        <f t="shared" ca="1" si="70"/>
        <v>0.5519579596318327</v>
      </c>
      <c r="L144" s="58"/>
      <c r="M144" s="58"/>
      <c r="O144" s="58"/>
      <c r="P144" s="58"/>
      <c r="R144" s="59">
        <f t="shared" ca="1" si="79"/>
        <v>0.66531693229511901</v>
      </c>
      <c r="S144" s="59">
        <f t="shared" ca="1" si="80"/>
        <v>0.22504570800990276</v>
      </c>
      <c r="T144" s="59">
        <f t="shared" ca="1" si="71"/>
        <v>-5.0645570693678407E-2</v>
      </c>
      <c r="U144" s="59">
        <f t="shared" ca="1" si="81"/>
        <v>-1.9249508830063482</v>
      </c>
      <c r="V144" s="59"/>
      <c r="W144" s="104">
        <f t="shared" ca="1" si="82"/>
        <v>8.7937881798448442E-2</v>
      </c>
      <c r="Z144" s="59">
        <f t="shared" ca="1" si="76"/>
        <v>0.68767979934190393</v>
      </c>
      <c r="AA144" s="59">
        <f t="shared" ca="1" si="77"/>
        <v>0.22462487139310286</v>
      </c>
      <c r="AB144" s="59">
        <f t="shared" ref="AB144:AB164" ca="1" si="99">-(AA144^2)</f>
        <v>-5.0456332848368E-2</v>
      </c>
      <c r="AC144" s="59">
        <f t="shared" ca="1" si="84"/>
        <v>-2.0488456764485905</v>
      </c>
      <c r="AD144" s="60">
        <f t="shared" ref="AD144:AD164" ca="1" si="100">EXP(AC144)</f>
        <v>0.12888359111915362</v>
      </c>
      <c r="AE144" s="60">
        <f t="shared" ca="1" si="85"/>
        <v>8.8630642079283561E-2</v>
      </c>
      <c r="AF144" s="60"/>
      <c r="AG144" s="96">
        <f t="shared" ca="1" si="86"/>
        <v>2.0242755130903456</v>
      </c>
      <c r="AH144" s="96">
        <f t="shared" ca="1" si="87"/>
        <v>2.0260776938550769</v>
      </c>
      <c r="AI144" s="96">
        <f t="shared" ca="1" si="88"/>
        <v>2.0224729718534098</v>
      </c>
      <c r="AJ144" s="62"/>
      <c r="AK144" s="96">
        <f t="shared" ca="1" si="98"/>
        <v>5.101522345741779E-2</v>
      </c>
      <c r="AL144" s="62"/>
      <c r="AM144" s="94"/>
      <c r="AX144" s="106">
        <f t="shared" ca="1" si="89"/>
        <v>0.55062400000000011</v>
      </c>
      <c r="AY144" s="106">
        <f t="shared" ca="1" si="90"/>
        <v>0.55064909440000009</v>
      </c>
      <c r="AZ144" s="106">
        <f t="shared" ca="1" si="91"/>
        <v>0.55059890560000002</v>
      </c>
      <c r="BB144" s="109">
        <f ca="1">_xll.EURO(UnderlyingPrice,$D144,IntRate,Yield,AX144,$D$6,1,0)</f>
        <v>6.0189174530712319E-3</v>
      </c>
      <c r="BC144" s="109">
        <f ca="1">_xll.EURO(UnderlyingPrice,$D144*(1+$P$8),IntRate,Yield,AY144,$D$6,1,0)</f>
        <v>5.9940900540953745E-3</v>
      </c>
      <c r="BD144" s="109">
        <f ca="1">_xll.EURO(UnderlyingPrice,$D144*(1-$P$8),IntRate,Yield,AZ144,$D$6,1,0)</f>
        <v>6.0438419975060165E-3</v>
      </c>
      <c r="BF144" s="59">
        <f t="shared" ca="1" si="92"/>
        <v>8.8856940395489747E-2</v>
      </c>
      <c r="BG144" s="62">
        <f t="shared" ca="1" si="93"/>
        <v>8.9027982601385433E-2</v>
      </c>
      <c r="BI144" s="96">
        <f t="shared" ca="1" si="94"/>
        <v>2.0249253228671269</v>
      </c>
      <c r="BJ144" s="96">
        <f t="shared" ca="1" si="95"/>
        <v>2.02672811569325</v>
      </c>
      <c r="BK144" s="96">
        <f t="shared" ca="1" si="96"/>
        <v>2.0231221694463746</v>
      </c>
      <c r="BL144" s="62"/>
      <c r="BM144" s="96">
        <f t="shared" ca="1" si="97"/>
        <v>5.1630086659595009E-2</v>
      </c>
      <c r="BO144" s="58"/>
    </row>
    <row r="145" spans="3:67" x14ac:dyDescent="0.2">
      <c r="C145" s="56"/>
      <c r="D145" s="63">
        <f t="shared" ca="1" si="83"/>
        <v>5.2600000000000016</v>
      </c>
      <c r="E145" s="45">
        <f t="shared" ca="1" si="44"/>
        <v>0.25178486435030978</v>
      </c>
      <c r="F145" s="45">
        <f t="shared" ca="1" si="66"/>
        <v>0.25203522132317979</v>
      </c>
      <c r="G145" s="45">
        <f t="shared" ca="1" si="67"/>
        <v>0.25153450737743976</v>
      </c>
      <c r="H145" s="45">
        <f t="shared" ca="1" si="68"/>
        <v>0.55298595985017041</v>
      </c>
      <c r="I145" s="45">
        <f t="shared" ca="1" si="69"/>
        <v>0.5529545555248444</v>
      </c>
      <c r="J145" s="45">
        <f t="shared" ca="1" si="70"/>
        <v>0.55292313016046568</v>
      </c>
      <c r="L145" s="58"/>
      <c r="M145" s="58"/>
      <c r="O145" s="58"/>
      <c r="P145" s="58"/>
      <c r="R145" s="59">
        <f t="shared" ca="1" si="79"/>
        <v>0.66126937681347564</v>
      </c>
      <c r="S145" s="59">
        <f t="shared" ca="1" si="80"/>
        <v>0.23114793899754571</v>
      </c>
      <c r="T145" s="59">
        <f t="shared" ca="1" si="71"/>
        <v>-5.3429369702813111E-2</v>
      </c>
      <c r="U145" s="59">
        <f t="shared" ca="1" si="81"/>
        <v>-2.0307582870369423</v>
      </c>
      <c r="V145" s="59"/>
      <c r="W145" s="104">
        <f t="shared" ca="1" si="82"/>
        <v>7.8975796953049585E-2</v>
      </c>
      <c r="Z145" s="59">
        <f t="shared" ca="1" si="76"/>
        <v>0.68349619599989997</v>
      </c>
      <c r="AA145" s="59">
        <f t="shared" ca="1" si="77"/>
        <v>0.23072710238074581</v>
      </c>
      <c r="AB145" s="59">
        <f t="shared" ca="1" si="99"/>
        <v>-5.3234995773015159E-2</v>
      </c>
      <c r="AC145" s="59">
        <f t="shared" ca="1" si="84"/>
        <v>-2.1616769346492242</v>
      </c>
      <c r="AD145" s="60">
        <f t="shared" ca="1" si="100"/>
        <v>0.11513189040951811</v>
      </c>
      <c r="AE145" s="60">
        <f t="shared" ca="1" si="85"/>
        <v>7.8692209133182991E-2</v>
      </c>
      <c r="AF145" s="60"/>
      <c r="AG145" s="96">
        <f t="shared" ca="1" si="86"/>
        <v>2.0792676281081395</v>
      </c>
      <c r="AH145" s="96">
        <f t="shared" ca="1" si="87"/>
        <v>2.0810698088728712</v>
      </c>
      <c r="AI145" s="96">
        <f t="shared" ca="1" si="88"/>
        <v>2.0774650868712055</v>
      </c>
      <c r="AJ145" s="62"/>
      <c r="AK145" s="96">
        <f t="shared" ca="1" si="98"/>
        <v>4.6096502507664158E-2</v>
      </c>
      <c r="AL145" s="62"/>
      <c r="AM145" s="94"/>
      <c r="AX145" s="106">
        <f t="shared" ca="1" si="89"/>
        <v>0.5513920000000001</v>
      </c>
      <c r="AY145" s="106">
        <f t="shared" ca="1" si="90"/>
        <v>0.55141724800000014</v>
      </c>
      <c r="AZ145" s="106">
        <f t="shared" ca="1" si="91"/>
        <v>0.55136675200000007</v>
      </c>
      <c r="BB145" s="109">
        <f ca="1">_xll.EURO(UnderlyingPrice,$D145,IntRate,Yield,AX145,$D$6,1,0)</f>
        <v>5.301475039084777E-3</v>
      </c>
      <c r="BC145" s="109">
        <f ca="1">_xll.EURO(UnderlyingPrice,$D145*(1+$P$8),IntRate,Yield,AY145,$D$6,1,0)</f>
        <v>5.2793232299533643E-3</v>
      </c>
      <c r="BD145" s="109">
        <f ca="1">_xll.EURO(UnderlyingPrice,$D145*(1-$P$8),IntRate,Yield,AZ145,$D$6,1,0)</f>
        <v>5.323714904445595E-3</v>
      </c>
      <c r="BF145" s="59">
        <f t="shared" ca="1" si="92"/>
        <v>7.956619783187828E-2</v>
      </c>
      <c r="BG145" s="62">
        <f t="shared" ca="1" si="93"/>
        <v>7.9719356132527883E-2</v>
      </c>
      <c r="BI145" s="96">
        <f t="shared" ca="1" si="94"/>
        <v>2.0799361144522854</v>
      </c>
      <c r="BJ145" s="96">
        <f t="shared" ca="1" si="95"/>
        <v>2.0817389072784089</v>
      </c>
      <c r="BK145" s="96">
        <f t="shared" ca="1" si="96"/>
        <v>2.0781329610315349</v>
      </c>
      <c r="BL145" s="62"/>
      <c r="BM145" s="96">
        <f t="shared" ca="1" si="97"/>
        <v>4.6514704829069893E-2</v>
      </c>
      <c r="BO145" s="58"/>
    </row>
    <row r="146" spans="3:67" x14ac:dyDescent="0.2">
      <c r="C146" s="56"/>
      <c r="D146" s="63">
        <f t="shared" ca="1" si="83"/>
        <v>5.2920000000000016</v>
      </c>
      <c r="E146" s="45">
        <f t="shared" ca="1" si="44"/>
        <v>0.25940028557829642</v>
      </c>
      <c r="F146" s="45">
        <f t="shared" ca="1" si="66"/>
        <v>0.25965216563541205</v>
      </c>
      <c r="G146" s="45">
        <f t="shared" ca="1" si="67"/>
        <v>0.25914840552118079</v>
      </c>
      <c r="H146" s="45">
        <f t="shared" ca="1" si="68"/>
        <v>0.55393076517648321</v>
      </c>
      <c r="I146" s="45">
        <f t="shared" ca="1" si="69"/>
        <v>0.55389986891912979</v>
      </c>
      <c r="J146" s="45">
        <f t="shared" ca="1" si="70"/>
        <v>0.55386894783191154</v>
      </c>
      <c r="L146" s="58"/>
      <c r="M146" s="58"/>
      <c r="O146" s="58"/>
      <c r="P146" s="58"/>
      <c r="R146" s="59">
        <f t="shared" ca="1" si="79"/>
        <v>0.65727077136033296</v>
      </c>
      <c r="S146" s="59">
        <f t="shared" ca="1" si="80"/>
        <v>0.23721315850063643</v>
      </c>
      <c r="T146" s="59">
        <f t="shared" ca="1" si="71"/>
        <v>-5.6270082565848062E-2</v>
      </c>
      <c r="U146" s="59">
        <f t="shared" ca="1" si="81"/>
        <v>-2.1387288885953755</v>
      </c>
      <c r="V146" s="59"/>
      <c r="W146" s="104">
        <f t="shared" ca="1" si="82"/>
        <v>7.0782825006936653E-2</v>
      </c>
      <c r="Z146" s="59">
        <f t="shared" ca="1" si="76"/>
        <v>0.67936318801199436</v>
      </c>
      <c r="AA146" s="59">
        <f t="shared" ca="1" si="77"/>
        <v>0.23679232188383653</v>
      </c>
      <c r="AB146" s="59">
        <f t="shared" ca="1" si="99"/>
        <v>-5.6070603703138447E-2</v>
      </c>
      <c r="AC146" s="59">
        <f t="shared" ca="1" si="84"/>
        <v>-2.2768205196020963</v>
      </c>
      <c r="AD146" s="60">
        <f t="shared" ca="1" si="100"/>
        <v>0.10260993489458341</v>
      </c>
      <c r="AE146" s="60">
        <f t="shared" ca="1" si="85"/>
        <v>6.970941249168737E-2</v>
      </c>
      <c r="AF146" s="60"/>
      <c r="AG146" s="96">
        <f t="shared" ca="1" si="86"/>
        <v>2.1339262028486816</v>
      </c>
      <c r="AH146" s="96">
        <f t="shared" ca="1" si="87"/>
        <v>2.1357283836134133</v>
      </c>
      <c r="AI146" s="96">
        <f t="shared" ca="1" si="88"/>
        <v>2.1321236616117472</v>
      </c>
      <c r="AJ146" s="62"/>
      <c r="AK146" s="96">
        <f t="shared" ca="1" si="98"/>
        <v>4.1565780635906963E-2</v>
      </c>
      <c r="AL146" s="62"/>
      <c r="AM146" s="94"/>
      <c r="AX146" s="106">
        <f t="shared" ca="1" si="89"/>
        <v>0.5521600000000001</v>
      </c>
      <c r="AY146" s="106">
        <f t="shared" ca="1" si="90"/>
        <v>0.55218540160000007</v>
      </c>
      <c r="AZ146" s="106">
        <f t="shared" ca="1" si="91"/>
        <v>0.55213459840000012</v>
      </c>
      <c r="BB146" s="109">
        <f ca="1">_xll.EURO(UnderlyingPrice,$D146,IntRate,Yield,AX146,$D$6,1,0)</f>
        <v>4.665581739781155E-3</v>
      </c>
      <c r="BC146" s="109">
        <f ca="1">_xll.EURO(UnderlyingPrice,$D146*(1+$P$8),IntRate,Yield,AY146,$D$6,1,0)</f>
        <v>4.6458404248223839E-3</v>
      </c>
      <c r="BD146" s="109">
        <f ca="1">_xll.EURO(UnderlyingPrice,$D146*(1-$P$8),IntRate,Yield,AZ146,$D$6,1,0)</f>
        <v>4.6854027417783384E-3</v>
      </c>
      <c r="BF146" s="59">
        <f t="shared" ca="1" si="92"/>
        <v>7.1135767915206746E-2</v>
      </c>
      <c r="BG146" s="62">
        <f t="shared" ca="1" si="93"/>
        <v>7.1272698340766591E-2</v>
      </c>
      <c r="BI146" s="96">
        <f t="shared" ca="1" si="94"/>
        <v>2.134613252482362</v>
      </c>
      <c r="BJ146" s="96">
        <f t="shared" ca="1" si="95"/>
        <v>2.1364160453084855</v>
      </c>
      <c r="BK146" s="96">
        <f t="shared" ca="1" si="96"/>
        <v>2.132810099061611</v>
      </c>
      <c r="BL146" s="62"/>
      <c r="BM146" s="96">
        <f t="shared" ca="1" si="97"/>
        <v>4.1839239278318043E-2</v>
      </c>
      <c r="BO146" s="58"/>
    </row>
    <row r="147" spans="3:67" x14ac:dyDescent="0.2">
      <c r="C147" s="56"/>
      <c r="D147" s="63">
        <f t="shared" ca="1" si="83"/>
        <v>5.3240000000000016</v>
      </c>
      <c r="E147" s="45">
        <f t="shared" ref="E147:E164" ca="1" si="101">+D147/UnderlyingPrice-1</f>
        <v>0.26701570680628306</v>
      </c>
      <c r="F147" s="45">
        <f t="shared" ca="1" si="66"/>
        <v>0.2672691099476443</v>
      </c>
      <c r="G147" s="45">
        <f t="shared" ca="1" si="67"/>
        <v>0.26676230366492182</v>
      </c>
      <c r="H147" s="45">
        <f t="shared" ca="1" si="68"/>
        <v>0.55485275720725691</v>
      </c>
      <c r="I147" s="45">
        <f t="shared" ca="1" si="69"/>
        <v>0.55482248498989151</v>
      </c>
      <c r="J147" s="45">
        <f t="shared" ca="1" si="70"/>
        <v>0.55479218406455377</v>
      </c>
      <c r="L147" s="58"/>
      <c r="M147" s="58"/>
      <c r="O147" s="58"/>
      <c r="P147" s="58"/>
      <c r="R147" s="59">
        <f t="shared" ca="1" si="79"/>
        <v>0.65332023329054878</v>
      </c>
      <c r="S147" s="59">
        <f t="shared" ca="1" si="80"/>
        <v>0.24324181278079235</v>
      </c>
      <c r="T147" s="59">
        <f t="shared" ca="1" si="71"/>
        <v>-5.9166579484886038E-2</v>
      </c>
      <c r="U147" s="59">
        <f t="shared" ca="1" si="81"/>
        <v>-2.248819746010144</v>
      </c>
      <c r="V147" s="59"/>
      <c r="W147" s="104">
        <f t="shared" ca="1" si="82"/>
        <v>6.3313351071355509E-2</v>
      </c>
      <c r="Z147" s="59">
        <f t="shared" ca="1" si="76"/>
        <v>0.67527986306526555</v>
      </c>
      <c r="AA147" s="59">
        <f t="shared" ca="1" si="77"/>
        <v>0.24282097616399245</v>
      </c>
      <c r="AB147" s="59">
        <f t="shared" ca="1" si="99"/>
        <v>-5.8962026465234192E-2</v>
      </c>
      <c r="AC147" s="59">
        <f t="shared" ca="1" si="84"/>
        <v>-2.3942305391274554</v>
      </c>
      <c r="AD147" s="60">
        <f t="shared" ca="1" si="100"/>
        <v>9.1242859728903433E-2</v>
      </c>
      <c r="AE147" s="60">
        <f t="shared" ca="1" si="85"/>
        <v>6.161446582341714E-2</v>
      </c>
      <c r="AF147" s="60"/>
      <c r="AG147" s="96">
        <f t="shared" ca="1" si="86"/>
        <v>2.1882552589345949</v>
      </c>
      <c r="AH147" s="96">
        <f t="shared" ca="1" si="87"/>
        <v>2.1900574396993266</v>
      </c>
      <c r="AI147" s="96">
        <f t="shared" ca="1" si="88"/>
        <v>2.18645271769766</v>
      </c>
      <c r="AJ147" s="62"/>
      <c r="AK147" s="96">
        <f t="shared" ca="1" si="98"/>
        <v>3.7404302572908568E-2</v>
      </c>
      <c r="AL147" s="62"/>
      <c r="AM147" s="94"/>
      <c r="AX147" s="106">
        <f t="shared" ca="1" si="89"/>
        <v>0.55292800000000009</v>
      </c>
      <c r="AY147" s="106">
        <f t="shared" ca="1" si="90"/>
        <v>0.55295355520000011</v>
      </c>
      <c r="AZ147" s="106">
        <f t="shared" ca="1" si="91"/>
        <v>0.55290244480000006</v>
      </c>
      <c r="BB147" s="109">
        <f ca="1">_xll.EURO(UnderlyingPrice,$D147,IntRate,Yield,AX147,$D$6,1,0)</f>
        <v>4.1025994477252581E-3</v>
      </c>
      <c r="BC147" s="109">
        <f ca="1">_xll.EURO(UnderlyingPrice,$D147*(1+$P$8),IntRate,Yield,AY147,$D$6,1,0)</f>
        <v>4.0850263125386671E-3</v>
      </c>
      <c r="BD147" s="109">
        <f ca="1">_xll.EURO(UnderlyingPrice,$D147*(1-$P$8),IntRate,Yield,AZ147,$D$6,1,0)</f>
        <v>4.1202445825044842E-3</v>
      </c>
      <c r="BF147" s="59">
        <f t="shared" ca="1" si="92"/>
        <v>6.3502957839117941E-2</v>
      </c>
      <c r="BG147" s="62">
        <f t="shared" ca="1" si="93"/>
        <v>6.3625195741316226E-2</v>
      </c>
      <c r="BI147" s="96">
        <f t="shared" ca="1" si="94"/>
        <v>2.1889607599458136</v>
      </c>
      <c r="BJ147" s="96">
        <f t="shared" ca="1" si="95"/>
        <v>2.1907635527719376</v>
      </c>
      <c r="BK147" s="96">
        <f t="shared" ca="1" si="96"/>
        <v>2.1871576065250631</v>
      </c>
      <c r="BL147" s="62"/>
      <c r="BM147" s="96">
        <f t="shared" ca="1" si="97"/>
        <v>3.7575772785895092E-2</v>
      </c>
      <c r="BO147" s="58"/>
    </row>
    <row r="148" spans="3:67" x14ac:dyDescent="0.2">
      <c r="C148" s="56"/>
      <c r="D148" s="63">
        <f t="shared" ca="1" si="83"/>
        <v>5.3560000000000016</v>
      </c>
      <c r="E148" s="45">
        <f t="shared" ca="1" si="101"/>
        <v>0.2746311280342697</v>
      </c>
      <c r="F148" s="45">
        <f t="shared" ca="1" si="66"/>
        <v>0.27488605425987678</v>
      </c>
      <c r="G148" s="45">
        <f t="shared" ca="1" si="67"/>
        <v>0.27437620180866285</v>
      </c>
      <c r="H148" s="45">
        <f t="shared" ca="1" si="68"/>
        <v>0.55574870348425121</v>
      </c>
      <c r="I148" s="45">
        <f t="shared" ca="1" si="69"/>
        <v>0.55571917321758824</v>
      </c>
      <c r="J148" s="45">
        <f t="shared" ca="1" si="70"/>
        <v>0.55568961027677477</v>
      </c>
      <c r="L148" s="58"/>
      <c r="M148" s="58"/>
      <c r="O148" s="58"/>
      <c r="P148" s="58"/>
      <c r="R148" s="59">
        <f t="shared" ca="1" si="79"/>
        <v>0.64941690105281591</v>
      </c>
      <c r="S148" s="59">
        <f t="shared" ca="1" si="80"/>
        <v>0.24923434007685319</v>
      </c>
      <c r="T148" s="59">
        <f t="shared" ca="1" si="71"/>
        <v>-6.211775627354451E-2</v>
      </c>
      <c r="U148" s="59">
        <f t="shared" ca="1" si="81"/>
        <v>-2.3609888910592893</v>
      </c>
      <c r="V148" s="59"/>
      <c r="W148" s="104">
        <f t="shared" ca="1" si="82"/>
        <v>5.6521479132466558E-2</v>
      </c>
      <c r="Z148" s="59">
        <f t="shared" ca="1" si="76"/>
        <v>0.67124533064964043</v>
      </c>
      <c r="AA148" s="59">
        <f t="shared" ca="1" si="77"/>
        <v>0.24881350346005329</v>
      </c>
      <c r="AB148" s="59">
        <f t="shared" ca="1" si="99"/>
        <v>-6.1908159504065953E-2</v>
      </c>
      <c r="AC148" s="59">
        <f t="shared" ca="1" si="84"/>
        <v>-2.513862141308945</v>
      </c>
      <c r="AD148" s="60">
        <f t="shared" ca="1" si="100"/>
        <v>8.095497514151434E-2</v>
      </c>
      <c r="AE148" s="60">
        <f t="shared" ca="1" si="85"/>
        <v>5.4340649056599216E-2</v>
      </c>
      <c r="AF148" s="60"/>
      <c r="AG148" s="96">
        <f t="shared" ca="1" si="86"/>
        <v>2.2422587456887952</v>
      </c>
      <c r="AH148" s="96">
        <f t="shared" ca="1" si="87"/>
        <v>2.2440609264535292</v>
      </c>
      <c r="AI148" s="96">
        <f t="shared" ca="1" si="88"/>
        <v>2.2404562044518608</v>
      </c>
      <c r="AJ148" s="62"/>
      <c r="AK148" s="96">
        <f t="shared" ca="1" si="98"/>
        <v>3.3592498072625557E-2</v>
      </c>
      <c r="AL148" s="62"/>
      <c r="AM148" s="94"/>
      <c r="AX148" s="106">
        <f t="shared" ca="1" si="89"/>
        <v>0.55369600000000008</v>
      </c>
      <c r="AY148" s="106">
        <f t="shared" ca="1" si="90"/>
        <v>0.55372170880000016</v>
      </c>
      <c r="AZ148" s="106">
        <f t="shared" ca="1" si="91"/>
        <v>0.55367029120000011</v>
      </c>
      <c r="BB148" s="109">
        <f ca="1">_xll.EURO(UnderlyingPrice,$D148,IntRate,Yield,AX148,$D$6,1,0)</f>
        <v>3.6047069821099897E-3</v>
      </c>
      <c r="BC148" s="109">
        <f ca="1">_xll.EURO(UnderlyingPrice,$D148*(1+$P$8),IntRate,Yield,AY148,$D$6,1,0)</f>
        <v>3.5890810546154589E-3</v>
      </c>
      <c r="BD148" s="109">
        <f ca="1">_xll.EURO(UnderlyingPrice,$D148*(1-$P$8),IntRate,Yield,AZ148,$D$6,1,0)</f>
        <v>3.6203978643961632E-3</v>
      </c>
      <c r="BF148" s="59">
        <f t="shared" ca="1" si="92"/>
        <v>5.6606990459450245E-2</v>
      </c>
      <c r="BG148" s="62">
        <f t="shared" ca="1" si="93"/>
        <v>5.6715954199077177E-2</v>
      </c>
      <c r="BI148" s="96">
        <f t="shared" ca="1" si="94"/>
        <v>2.2429825875068365</v>
      </c>
      <c r="BJ148" s="96">
        <f t="shared" ca="1" si="95"/>
        <v>2.2447853803329618</v>
      </c>
      <c r="BK148" s="96">
        <f t="shared" ca="1" si="96"/>
        <v>2.2411794340860856</v>
      </c>
      <c r="BL148" s="62"/>
      <c r="BM148" s="96">
        <f t="shared" ca="1" si="97"/>
        <v>3.3696636598885041E-2</v>
      </c>
      <c r="BO148" s="58"/>
    </row>
    <row r="149" spans="3:67" x14ac:dyDescent="0.2">
      <c r="C149" s="56"/>
      <c r="D149" s="63">
        <f t="shared" ca="1" si="83"/>
        <v>5.3880000000000017</v>
      </c>
      <c r="E149" s="45">
        <f t="shared" ca="1" si="101"/>
        <v>0.28224654926225656</v>
      </c>
      <c r="F149" s="45">
        <f t="shared" ca="1" si="66"/>
        <v>0.28250299857210881</v>
      </c>
      <c r="G149" s="45">
        <f t="shared" ca="1" si="67"/>
        <v>0.28199009995240409</v>
      </c>
      <c r="H149" s="45">
        <f t="shared" ca="1" si="68"/>
        <v>0.55661537154922502</v>
      </c>
      <c r="I149" s="45">
        <f t="shared" ca="1" si="69"/>
        <v>0.55658670308267877</v>
      </c>
      <c r="J149" s="45">
        <f t="shared" ca="1" si="70"/>
        <v>0.5565579978869577</v>
      </c>
      <c r="L149" s="58"/>
      <c r="M149" s="58"/>
      <c r="O149" s="58"/>
      <c r="P149" s="58"/>
      <c r="R149" s="59">
        <f t="shared" ca="1" si="79"/>
        <v>0.64555993356326691</v>
      </c>
      <c r="S149" s="59">
        <f t="shared" ca="1" si="80"/>
        <v>0.25519117079604481</v>
      </c>
      <c r="T149" s="59">
        <f t="shared" ca="1" si="71"/>
        <v>-6.5122533652256107E-2</v>
      </c>
      <c r="U149" s="59">
        <f t="shared" ca="1" si="81"/>
        <v>-2.4751953021859854</v>
      </c>
      <c r="V149" s="59"/>
      <c r="W149" s="104">
        <f t="shared" ca="1" si="82"/>
        <v>5.0361589614225523E-2</v>
      </c>
      <c r="Z149" s="59">
        <f t="shared" ca="1" si="76"/>
        <v>0.66725872141044418</v>
      </c>
      <c r="AA149" s="59">
        <f t="shared" ca="1" si="77"/>
        <v>0.25477033417924488</v>
      </c>
      <c r="AB149" s="59">
        <f t="shared" ca="1" si="99"/>
        <v>-6.4907923177804111E-2</v>
      </c>
      <c r="AC149" s="59">
        <f t="shared" ca="1" si="84"/>
        <v>-2.63567148587182</v>
      </c>
      <c r="AD149" s="60">
        <f t="shared" ca="1" si="100"/>
        <v>7.1670827299073536E-2</v>
      </c>
      <c r="AE149" s="60">
        <f t="shared" ca="1" si="85"/>
        <v>4.7822984586008567E-2</v>
      </c>
      <c r="AF149" s="60"/>
      <c r="AG149" s="96">
        <f t="shared" ca="1" si="86"/>
        <v>2.2959405418572234</v>
      </c>
      <c r="AH149" s="96">
        <f t="shared" ca="1" si="87"/>
        <v>2.2977427226219542</v>
      </c>
      <c r="AI149" s="96">
        <f t="shared" ca="1" si="88"/>
        <v>2.2941380006202889</v>
      </c>
      <c r="AJ149" s="62"/>
      <c r="AK149" s="96">
        <f t="shared" ca="1" si="98"/>
        <v>3.0110310278139808E-2</v>
      </c>
      <c r="AL149" s="62"/>
      <c r="AM149" s="94"/>
      <c r="AX149" s="106">
        <f t="shared" ca="1" si="89"/>
        <v>0.55446400000000007</v>
      </c>
      <c r="AY149" s="106">
        <f t="shared" ca="1" si="90"/>
        <v>0.55448986240000009</v>
      </c>
      <c r="AZ149" s="106">
        <f t="shared" ca="1" si="91"/>
        <v>0.55443813760000005</v>
      </c>
      <c r="BB149" s="109">
        <f ca="1">_xll.EURO(UnderlyingPrice,$D149,IntRate,Yield,AX149,$D$6,1,0)</f>
        <v>3.1648378886826173E-3</v>
      </c>
      <c r="BC149" s="109">
        <f ca="1">_xll.EURO(UnderlyingPrice,$D149*(1+$P$8),IntRate,Yield,AY149,$D$6,1,0)</f>
        <v>3.1509581107746903E-3</v>
      </c>
      <c r="BD149" s="109">
        <f ca="1">_xll.EURO(UnderlyingPrice,$D149*(1-$P$8),IntRate,Yield,AZ149,$D$6,1,0)</f>
        <v>3.1787761798848374E-3</v>
      </c>
      <c r="BF149" s="59">
        <f t="shared" ca="1" si="92"/>
        <v>5.0389422855099744E-2</v>
      </c>
      <c r="BG149" s="62">
        <f t="shared" ca="1" si="93"/>
        <v>5.048641829519239E-2</v>
      </c>
      <c r="BI149" s="96">
        <f t="shared" ca="1" si="94"/>
        <v>2.2966826152286806</v>
      </c>
      <c r="BJ149" s="96">
        <f t="shared" ca="1" si="95"/>
        <v>2.2984854080548027</v>
      </c>
      <c r="BK149" s="96">
        <f t="shared" ca="1" si="96"/>
        <v>2.2948794618079296</v>
      </c>
      <c r="BL149" s="62"/>
      <c r="BM149" s="96">
        <f t="shared" ca="1" si="97"/>
        <v>3.0174695145317305E-2</v>
      </c>
      <c r="BO149" s="58"/>
    </row>
    <row r="150" spans="3:67" x14ac:dyDescent="0.2">
      <c r="C150" s="56"/>
      <c r="D150" s="63">
        <f t="shared" ca="1" si="83"/>
        <v>5.4200000000000017</v>
      </c>
      <c r="E150" s="45">
        <f t="shared" ca="1" si="101"/>
        <v>0.2898619704902432</v>
      </c>
      <c r="F150" s="45">
        <f t="shared" ca="1" si="66"/>
        <v>0.29011994288434106</v>
      </c>
      <c r="G150" s="45">
        <f t="shared" ca="1" si="67"/>
        <v>0.28960399809614512</v>
      </c>
      <c r="H150" s="45">
        <f t="shared" ca="1" si="68"/>
        <v>0.55744952894393829</v>
      </c>
      <c r="I150" s="45">
        <f t="shared" ca="1" si="69"/>
        <v>0.5574218440656219</v>
      </c>
      <c r="J150" s="45">
        <f t="shared" ca="1" si="70"/>
        <v>0.55739411831348529</v>
      </c>
      <c r="L150" s="58"/>
      <c r="M150" s="58"/>
      <c r="O150" s="58"/>
      <c r="P150" s="58"/>
      <c r="R150" s="59">
        <f t="shared" ca="1" si="79"/>
        <v>0.64174850960126972</v>
      </c>
      <c r="S150" s="59">
        <f t="shared" ca="1" si="80"/>
        <v>0.26111272769948207</v>
      </c>
      <c r="T150" s="59">
        <f t="shared" ca="1" si="71"/>
        <v>-6.8179856566663866E-2</v>
      </c>
      <c r="U150" s="59">
        <f t="shared" ca="1" si="81"/>
        <v>-2.5913988785919151</v>
      </c>
      <c r="V150" s="59"/>
      <c r="W150" s="104">
        <f t="shared" ca="1" si="82"/>
        <v>4.4788811524370586E-2</v>
      </c>
      <c r="Z150" s="59">
        <f t="shared" ca="1" si="76"/>
        <v>0.6633191865238881</v>
      </c>
      <c r="AA150" s="59">
        <f t="shared" ca="1" si="77"/>
        <v>0.2606918910826822</v>
      </c>
      <c r="AB150" s="59">
        <f t="shared" ca="1" si="99"/>
        <v>-6.7960262076265043E-2</v>
      </c>
      <c r="AC150" s="59">
        <f t="shared" ca="1" si="84"/>
        <v>-2.7596157164991517</v>
      </c>
      <c r="AD150" s="60">
        <f t="shared" ca="1" si="100"/>
        <v>6.3316095015827772E-2</v>
      </c>
      <c r="AE150" s="60">
        <f t="shared" ca="1" si="85"/>
        <v>4.1998780639768085E-2</v>
      </c>
      <c r="AF150" s="60"/>
      <c r="AG150" s="96">
        <f t="shared" ca="1" si="86"/>
        <v>2.3493044572805593</v>
      </c>
      <c r="AH150" s="96">
        <f t="shared" ca="1" si="87"/>
        <v>2.3511066380452896</v>
      </c>
      <c r="AI150" s="96">
        <f t="shared" ca="1" si="88"/>
        <v>2.3475019160436243</v>
      </c>
      <c r="AJ150" s="62"/>
      <c r="AK150" s="96">
        <f t="shared" ca="1" si="98"/>
        <v>2.6937484593812479E-2</v>
      </c>
      <c r="AL150" s="62"/>
      <c r="AM150" s="94"/>
      <c r="AX150" s="106">
        <f t="shared" ca="1" si="89"/>
        <v>0.55523200000000006</v>
      </c>
      <c r="AY150" s="106">
        <f t="shared" ca="1" si="90"/>
        <v>0.55525801600000013</v>
      </c>
      <c r="AZ150" s="106">
        <f t="shared" ca="1" si="91"/>
        <v>0.5552059840000001</v>
      </c>
      <c r="BB150" s="109">
        <f ca="1">_xll.EURO(UnderlyingPrice,$D150,IntRate,Yield,AX150,$D$6,1,0)</f>
        <v>2.7766206203914401E-3</v>
      </c>
      <c r="BC150" s="109">
        <f ca="1">_xll.EURO(UnderlyingPrice,$D150*(1+$P$8),IntRate,Yield,AY150,$D$6,1,0)</f>
        <v>2.764304445439722E-3</v>
      </c>
      <c r="BD150" s="109">
        <f ca="1">_xll.EURO(UnderlyingPrice,$D150*(1-$P$8),IntRate,Yield,AZ150,$D$6,1,0)</f>
        <v>2.7889894313406355E-3</v>
      </c>
      <c r="BF150" s="59">
        <f t="shared" ca="1" si="92"/>
        <v>4.4794458712853258E-2</v>
      </c>
      <c r="BG150" s="62">
        <f t="shared" ca="1" si="93"/>
        <v>4.4880684313195203E-2</v>
      </c>
      <c r="BI150" s="96">
        <f t="shared" ca="1" si="94"/>
        <v>2.3500646542459331</v>
      </c>
      <c r="BJ150" s="96">
        <f t="shared" ca="1" si="95"/>
        <v>2.3518674470720553</v>
      </c>
      <c r="BK150" s="96">
        <f t="shared" ca="1" si="96"/>
        <v>2.3482615008251817</v>
      </c>
      <c r="BL150" s="62"/>
      <c r="BM150" s="96">
        <f t="shared" ca="1" si="97"/>
        <v>2.6983575718958257E-2</v>
      </c>
      <c r="BO150" s="58"/>
    </row>
    <row r="151" spans="3:67" x14ac:dyDescent="0.2">
      <c r="C151" s="56"/>
      <c r="D151" s="63">
        <f t="shared" ca="1" si="83"/>
        <v>5.4520000000000017</v>
      </c>
      <c r="E151" s="45">
        <f t="shared" ca="1" si="101"/>
        <v>0.29747739171822984</v>
      </c>
      <c r="F151" s="45">
        <f t="shared" ca="1" si="66"/>
        <v>0.29773688719657354</v>
      </c>
      <c r="G151" s="45">
        <f t="shared" ca="1" si="67"/>
        <v>0.29721789623988615</v>
      </c>
      <c r="H151" s="45">
        <f t="shared" ca="1" si="68"/>
        <v>0.55824794321015003</v>
      </c>
      <c r="I151" s="45">
        <f t="shared" ca="1" si="69"/>
        <v>0.55822136564687641</v>
      </c>
      <c r="J151" s="45">
        <f t="shared" ca="1" si="70"/>
        <v>0.55819474297474059</v>
      </c>
      <c r="L151" s="58"/>
      <c r="M151" s="58"/>
      <c r="O151" s="58"/>
      <c r="P151" s="58"/>
      <c r="R151" s="59">
        <f t="shared" ca="1" si="79"/>
        <v>0.63798182722650076</v>
      </c>
      <c r="S151" s="59">
        <f t="shared" ca="1" si="80"/>
        <v>0.26699942608221339</v>
      </c>
      <c r="T151" s="59">
        <f t="shared" ca="1" si="71"/>
        <v>-7.1288693528231334E-2</v>
      </c>
      <c r="U151" s="59">
        <f t="shared" ca="1" si="81"/>
        <v>-2.7095604151749955</v>
      </c>
      <c r="V151" s="59"/>
      <c r="W151" s="104">
        <f t="shared" ca="1" si="82"/>
        <v>3.9759414458448418E-2</v>
      </c>
      <c r="Z151" s="59">
        <f t="shared" ca="1" si="76"/>
        <v>0.65942589709454758</v>
      </c>
      <c r="AA151" s="59">
        <f t="shared" ca="1" si="77"/>
        <v>0.26657858946541352</v>
      </c>
      <c r="AB151" s="59">
        <f t="shared" ca="1" si="99"/>
        <v>-7.1064144361369486E-2</v>
      </c>
      <c r="AC151" s="59">
        <f t="shared" ca="1" si="84"/>
        <v>-2.8856529340502743</v>
      </c>
      <c r="AD151" s="60">
        <f t="shared" ca="1" si="100"/>
        <v>5.5818331946021683E-2</v>
      </c>
      <c r="AE151" s="60">
        <f t="shared" ca="1" si="85"/>
        <v>3.6808053617826589E-2</v>
      </c>
      <c r="AF151" s="60"/>
      <c r="AG151" s="96">
        <f t="shared" ca="1" si="86"/>
        <v>2.4023542345167477</v>
      </c>
      <c r="AH151" s="96">
        <f t="shared" ca="1" si="87"/>
        <v>2.4041564152814798</v>
      </c>
      <c r="AI151" s="96">
        <f t="shared" ca="1" si="88"/>
        <v>2.4005516932798123</v>
      </c>
      <c r="AJ151" s="62"/>
      <c r="AK151" s="96">
        <f t="shared" ca="1" si="98"/>
        <v>2.4053819132480815E-2</v>
      </c>
      <c r="AL151" s="62"/>
      <c r="AM151" s="94"/>
      <c r="AX151" s="106">
        <f t="shared" ca="1" si="89"/>
        <v>0.55600000000000005</v>
      </c>
      <c r="AY151" s="106">
        <f t="shared" ca="1" si="90"/>
        <v>0.55602616960000006</v>
      </c>
      <c r="AZ151" s="106">
        <f t="shared" ca="1" si="91"/>
        <v>0.55597383040000004</v>
      </c>
      <c r="BB151" s="109">
        <f ca="1">_xll.EURO(UnderlyingPrice,$D151,IntRate,Yield,AX151,$D$6,1,0)</f>
        <v>2.4343214217805303E-3</v>
      </c>
      <c r="BC151" s="109">
        <f ca="1">_xll.EURO(UnderlyingPrice,$D151*(1+$P$8),IntRate,Yield,AY151,$D$6,1,0)</f>
        <v>2.4234034503616622E-3</v>
      </c>
      <c r="BD151" s="109">
        <f ca="1">_xll.EURO(UnderlyingPrice,$D151*(1-$P$8),IntRate,Yield,AZ151,$D$6,1,0)</f>
        <v>2.4452866776407955E-3</v>
      </c>
      <c r="BF151" s="59">
        <f t="shared" ca="1" si="92"/>
        <v>3.9769174576018917E-2</v>
      </c>
      <c r="BG151" s="62">
        <f t="shared" ca="1" si="93"/>
        <v>3.9845726923149673E-2</v>
      </c>
      <c r="BI151" s="96">
        <f t="shared" ca="1" si="94"/>
        <v>2.403132448387598</v>
      </c>
      <c r="BJ151" s="96">
        <f t="shared" ca="1" si="95"/>
        <v>2.4049352412137219</v>
      </c>
      <c r="BK151" s="96">
        <f t="shared" ca="1" si="96"/>
        <v>2.4013292949668466</v>
      </c>
      <c r="BL151" s="62"/>
      <c r="BM151" s="96">
        <f t="shared" ca="1" si="97"/>
        <v>2.4097852636960817E-2</v>
      </c>
      <c r="BO151" s="58"/>
    </row>
    <row r="152" spans="3:67" x14ac:dyDescent="0.2">
      <c r="C152" s="56"/>
      <c r="D152" s="63">
        <f t="shared" ca="1" si="83"/>
        <v>5.4840000000000018</v>
      </c>
      <c r="E152" s="45">
        <f t="shared" ca="1" si="101"/>
        <v>0.30509281294621649</v>
      </c>
      <c r="F152" s="45">
        <f t="shared" ca="1" si="66"/>
        <v>0.3053538315088058</v>
      </c>
      <c r="G152" s="45">
        <f t="shared" ca="1" si="67"/>
        <v>0.30483179438362717</v>
      </c>
      <c r="H152" s="45">
        <f t="shared" ca="1" si="68"/>
        <v>0.55900738188961996</v>
      </c>
      <c r="I152" s="45">
        <f t="shared" ca="1" si="69"/>
        <v>0.55898203730690121</v>
      </c>
      <c r="J152" s="45">
        <f t="shared" ca="1" si="70"/>
        <v>0.55895664328910621</v>
      </c>
      <c r="L152" s="58"/>
      <c r="M152" s="58"/>
      <c r="O152" s="58"/>
      <c r="P152" s="58"/>
      <c r="R152" s="59">
        <f t="shared" ca="1" si="79"/>
        <v>0.63425910321642631</v>
      </c>
      <c r="S152" s="59">
        <f t="shared" ca="1" si="80"/>
        <v>0.27285167394799514</v>
      </c>
      <c r="T152" s="59">
        <f t="shared" ca="1" si="71"/>
        <v>-7.4448035976223056E-2</v>
      </c>
      <c r="U152" s="59">
        <f t="shared" ca="1" si="81"/>
        <v>-2.8296415782793578</v>
      </c>
      <c r="V152" s="59"/>
      <c r="W152" s="104">
        <f t="shared" ca="1" si="82"/>
        <v>3.5231126441840739E-2</v>
      </c>
      <c r="Z152" s="59">
        <f t="shared" ca="1" si="76"/>
        <v>0.65557804357393756</v>
      </c>
      <c r="AA152" s="59">
        <f t="shared" ca="1" si="77"/>
        <v>0.27243083733119527</v>
      </c>
      <c r="AB152" s="59">
        <f t="shared" ca="1" si="99"/>
        <v>-7.4218561128976179E-2</v>
      </c>
      <c r="AC152" s="59">
        <f t="shared" ca="1" si="84"/>
        <v>-3.0137421706472014</v>
      </c>
      <c r="AD152" s="60">
        <f t="shared" ca="1" si="100"/>
        <v>4.9107565593355912E-2</v>
      </c>
      <c r="AE152" s="60">
        <f t="shared" ca="1" si="85"/>
        <v>3.2193841776371079E-2</v>
      </c>
      <c r="AF152" s="60"/>
      <c r="AG152" s="96">
        <f t="shared" ca="1" si="86"/>
        <v>2.4550935504160329</v>
      </c>
      <c r="AH152" s="96">
        <f t="shared" ca="1" si="87"/>
        <v>2.4568957311807655</v>
      </c>
      <c r="AI152" s="96">
        <f t="shared" ca="1" si="88"/>
        <v>2.4532910091790976</v>
      </c>
      <c r="AJ152" s="62"/>
      <c r="AK152" s="96">
        <f t="shared" ca="1" si="98"/>
        <v>2.1439378383981373E-2</v>
      </c>
      <c r="AL152" s="62"/>
      <c r="AM152" s="94"/>
      <c r="AX152" s="106">
        <f t="shared" ca="1" si="89"/>
        <v>0.55676800000000004</v>
      </c>
      <c r="AY152" s="106">
        <f t="shared" ca="1" si="90"/>
        <v>0.55679432320000011</v>
      </c>
      <c r="AZ152" s="106">
        <f t="shared" ca="1" si="91"/>
        <v>0.55674167680000008</v>
      </c>
      <c r="BB152" s="109">
        <f ca="1">_xll.EURO(UnderlyingPrice,$D152,IntRate,Yield,AX152,$D$6,1,0)</f>
        <v>2.1327901472110583E-3</v>
      </c>
      <c r="BC152" s="109">
        <f ca="1">_xll.EURO(UnderlyingPrice,$D152*(1+$P$8),IntRate,Yield,AY152,$D$6,1,0)</f>
        <v>2.1231208108696761E-3</v>
      </c>
      <c r="BD152" s="109">
        <f ca="1">_xll.EURO(UnderlyingPrice,$D152*(1-$P$8),IntRate,Yield,AZ152,$D$6,1,0)</f>
        <v>2.1425019046900362E-3</v>
      </c>
      <c r="BF152" s="59">
        <f t="shared" ca="1" si="92"/>
        <v>3.5263663376849011E-2</v>
      </c>
      <c r="BG152" s="62">
        <f t="shared" ca="1" si="93"/>
        <v>3.5331542990361398E-2</v>
      </c>
      <c r="BI152" s="96">
        <f t="shared" ca="1" si="94"/>
        <v>2.4558896757526605</v>
      </c>
      <c r="BJ152" s="96">
        <f t="shared" ca="1" si="95"/>
        <v>2.4576924685787849</v>
      </c>
      <c r="BK152" s="96">
        <f t="shared" ca="1" si="96"/>
        <v>2.4540865223319086</v>
      </c>
      <c r="BL152" s="62"/>
      <c r="BM152" s="96">
        <f t="shared" ca="1" si="97"/>
        <v>2.1493185809632002E-2</v>
      </c>
      <c r="BO152" s="58"/>
    </row>
    <row r="153" spans="3:67" x14ac:dyDescent="0.2">
      <c r="C153" s="56"/>
      <c r="D153" s="63">
        <f t="shared" ca="1" si="83"/>
        <v>5.5160000000000018</v>
      </c>
      <c r="E153" s="45">
        <f t="shared" ca="1" si="101"/>
        <v>0.31270823417420313</v>
      </c>
      <c r="F153" s="45">
        <f t="shared" ca="1" si="66"/>
        <v>0.31297077582103805</v>
      </c>
      <c r="G153" s="45">
        <f t="shared" ca="1" si="67"/>
        <v>0.31244569252736842</v>
      </c>
      <c r="H153" s="45">
        <f t="shared" ca="1" si="68"/>
        <v>0.5597246125241071</v>
      </c>
      <c r="I153" s="45">
        <f t="shared" ca="1" si="69"/>
        <v>0.55970062852615499</v>
      </c>
      <c r="J153" s="45">
        <f t="shared" ca="1" si="70"/>
        <v>0.55967659067496545</v>
      </c>
      <c r="L153" s="58"/>
      <c r="M153" s="58"/>
      <c r="O153" s="58"/>
      <c r="P153" s="58"/>
      <c r="R153" s="59">
        <f t="shared" ca="1" si="79"/>
        <v>0.63057957252336505</v>
      </c>
      <c r="S153" s="59">
        <f t="shared" ca="1" si="80"/>
        <v>0.27866987217898254</v>
      </c>
      <c r="T153" s="59">
        <f t="shared" ca="1" si="71"/>
        <v>-7.7656897660250468E-2</v>
      </c>
      <c r="U153" s="59">
        <f t="shared" ca="1" si="81"/>
        <v>-2.9516048822269783</v>
      </c>
      <c r="V153" s="59"/>
      <c r="W153" s="104">
        <f t="shared" ca="1" si="82"/>
        <v>3.1163384041251178E-2</v>
      </c>
      <c r="Z153" s="59">
        <f t="shared" ca="1" si="76"/>
        <v>0.65177483519932444</v>
      </c>
      <c r="AA153" s="59">
        <f t="shared" ca="1" si="77"/>
        <v>0.27824903556218267</v>
      </c>
      <c r="AB153" s="59">
        <f t="shared" ca="1" si="99"/>
        <v>-7.7422525791284794E-2</v>
      </c>
      <c r="AC153" s="59">
        <f t="shared" ca="1" si="84"/>
        <v>-3.1438433645962856</v>
      </c>
      <c r="AD153" s="60">
        <f t="shared" ca="1" si="100"/>
        <v>4.3116765594605408E-2</v>
      </c>
      <c r="AE153" s="60">
        <f t="shared" ca="1" si="85"/>
        <v>2.8102422789751842E-2</v>
      </c>
      <c r="AF153" s="60"/>
      <c r="AG153" s="96">
        <f t="shared" ca="1" si="86"/>
        <v>2.5075260176501799</v>
      </c>
      <c r="AH153" s="96">
        <f t="shared" ca="1" si="87"/>
        <v>2.5093281984149125</v>
      </c>
      <c r="AI153" s="96">
        <f t="shared" ca="1" si="88"/>
        <v>2.5057234764132459</v>
      </c>
      <c r="AJ153" s="62"/>
      <c r="AK153" s="96">
        <f t="shared" ca="1" si="98"/>
        <v>1.9074672198529173E-2</v>
      </c>
      <c r="AL153" s="62"/>
      <c r="AM153" s="94"/>
      <c r="AX153" s="106">
        <f t="shared" ca="1" si="89"/>
        <v>0.55753600000000014</v>
      </c>
      <c r="AY153" s="106">
        <f t="shared" ca="1" si="90"/>
        <v>0.55756247680000015</v>
      </c>
      <c r="AZ153" s="106">
        <f t="shared" ca="1" si="91"/>
        <v>0.55750952320000013</v>
      </c>
      <c r="BB153" s="109">
        <f ca="1">_xll.EURO(UnderlyingPrice,$D153,IntRate,Yield,AX153,$D$6,1,0)</f>
        <v>1.8674091625273462E-3</v>
      </c>
      <c r="BC153" s="109">
        <f ca="1">_xll.EURO(UnderlyingPrice,$D153*(1+$P$8),IntRate,Yield,AY153,$D$6,1,0)</f>
        <v>1.8588534630698678E-3</v>
      </c>
      <c r="BD153" s="109">
        <f ca="1">_xll.EURO(UnderlyingPrice,$D153*(1-$P$8),IntRate,Yield,AZ153,$D$6,1,0)</f>
        <v>1.8760028718180638E-3</v>
      </c>
      <c r="BF153" s="59">
        <f t="shared" ca="1" si="92"/>
        <v>3.1231112726460123E-2</v>
      </c>
      <c r="BG153" s="62">
        <f t="shared" ca="1" si="93"/>
        <v>3.1291230015999177E-2</v>
      </c>
      <c r="BI153" s="96">
        <f t="shared" ca="1" si="94"/>
        <v>2.5083399502398307</v>
      </c>
      <c r="BJ153" s="96">
        <f t="shared" ca="1" si="95"/>
        <v>2.5101427430659546</v>
      </c>
      <c r="BK153" s="96">
        <f t="shared" ca="1" si="96"/>
        <v>2.5065367968190801</v>
      </c>
      <c r="BL153" s="62"/>
      <c r="BM153" s="96">
        <f t="shared" ca="1" si="97"/>
        <v>1.9146422375858462E-2</v>
      </c>
      <c r="BO153" s="58"/>
    </row>
    <row r="154" spans="3:67" x14ac:dyDescent="0.2">
      <c r="C154" s="56"/>
      <c r="D154" s="63">
        <f t="shared" ca="1" si="83"/>
        <v>5.5480000000000018</v>
      </c>
      <c r="E154" s="45">
        <f t="shared" ca="1" si="101"/>
        <v>0.32032365540218999</v>
      </c>
      <c r="F154" s="45">
        <f t="shared" ca="1" si="66"/>
        <v>0.3205877201332703</v>
      </c>
      <c r="G154" s="45">
        <f t="shared" ca="1" si="67"/>
        <v>0.32005959067110967</v>
      </c>
      <c r="H154" s="45">
        <f t="shared" ca="1" si="68"/>
        <v>0.56039640265537116</v>
      </c>
      <c r="I154" s="45">
        <f t="shared" ca="1" si="69"/>
        <v>0.56037390878509674</v>
      </c>
      <c r="J154" s="45">
        <f t="shared" ca="1" si="70"/>
        <v>0.56035135655070101</v>
      </c>
      <c r="L154" s="58"/>
      <c r="M154" s="58"/>
      <c r="O154" s="58"/>
      <c r="P154" s="58"/>
      <c r="R154" s="59">
        <f t="shared" ca="1" si="79"/>
        <v>0.62694248775033912</v>
      </c>
      <c r="S154" s="59">
        <f t="shared" ca="1" si="80"/>
        <v>0.28445441470051241</v>
      </c>
      <c r="T154" s="59">
        <f t="shared" ca="1" si="71"/>
        <v>-8.0914314042611096E-2</v>
      </c>
      <c r="U154" s="59">
        <f t="shared" ca="1" si="81"/>
        <v>-3.0754136666016225</v>
      </c>
      <c r="V154" s="59"/>
      <c r="W154" s="104">
        <f t="shared" ca="1" si="82"/>
        <v>2.7517521409291458E-2</v>
      </c>
      <c r="Z154" s="59">
        <f t="shared" ca="1" si="76"/>
        <v>0.64801549945195991</v>
      </c>
      <c r="AA154" s="59">
        <f t="shared" ca="1" si="77"/>
        <v>0.28403357808371255</v>
      </c>
      <c r="AB154" s="59">
        <f t="shared" ca="1" si="99"/>
        <v>-8.0675073479036435E-2</v>
      </c>
      <c r="AC154" s="59">
        <f t="shared" ca="1" si="84"/>
        <v>-3.275917336113785</v>
      </c>
      <c r="AD154" s="60">
        <f t="shared" ca="1" si="100"/>
        <v>3.7782194356159024E-2</v>
      </c>
      <c r="AE154" s="60">
        <f t="shared" ca="1" si="85"/>
        <v>2.4483447546097412E-2</v>
      </c>
      <c r="AF154" s="60"/>
      <c r="AG154" s="96">
        <f t="shared" ca="1" si="86"/>
        <v>2.559655186197463</v>
      </c>
      <c r="AH154" s="96">
        <f t="shared" ca="1" si="87"/>
        <v>2.5614573669621943</v>
      </c>
      <c r="AI154" s="96">
        <f t="shared" ca="1" si="88"/>
        <v>2.5578526449605294</v>
      </c>
      <c r="AJ154" s="62"/>
      <c r="AK154" s="96">
        <f t="shared" ca="1" si="98"/>
        <v>1.6940802503853533E-2</v>
      </c>
      <c r="AL154" s="62"/>
      <c r="AM154" s="94"/>
      <c r="AX154" s="106">
        <f t="shared" ca="1" si="89"/>
        <v>0.55830400000000013</v>
      </c>
      <c r="AY154" s="106">
        <f t="shared" ca="1" si="90"/>
        <v>0.55833063040000008</v>
      </c>
      <c r="AZ154" s="106">
        <f t="shared" ca="1" si="91"/>
        <v>0.55827736960000007</v>
      </c>
      <c r="BB154" s="109">
        <f ca="1">_xll.EURO(UnderlyingPrice,$D154,IntRate,Yield,AX154,$D$6,1,0)</f>
        <v>1.6340454111093486E-3</v>
      </c>
      <c r="BC154" s="109">
        <f ca="1">_xll.EURO(UnderlyingPrice,$D154*(1+$P$8),IntRate,Yield,AY154,$D$6,1,0)</f>
        <v>1.6264817209059659E-3</v>
      </c>
      <c r="BD154" s="109">
        <f ca="1">_xll.EURO(UnderlyingPrice,$D154*(1-$P$8),IntRate,Yield,AZ154,$D$6,1,0)</f>
        <v>1.6416431170291831E-3</v>
      </c>
      <c r="BF154" s="59">
        <f t="shared" ca="1" si="92"/>
        <v>2.7627826914815502E-2</v>
      </c>
      <c r="BG154" s="62">
        <f t="shared" ca="1" si="93"/>
        <v>2.7681008179425575E-2</v>
      </c>
      <c r="BI154" s="96">
        <f t="shared" ca="1" si="94"/>
        <v>2.5604868230330351</v>
      </c>
      <c r="BJ154" s="96">
        <f t="shared" ca="1" si="95"/>
        <v>2.5622896158591582</v>
      </c>
      <c r="BK154" s="96">
        <f t="shared" ca="1" si="96"/>
        <v>2.5586836696122854</v>
      </c>
      <c r="BL154" s="62"/>
      <c r="BM154" s="96">
        <f t="shared" ca="1" si="97"/>
        <v>1.7035665300073909E-2</v>
      </c>
      <c r="BO154" s="58"/>
    </row>
    <row r="155" spans="3:67" x14ac:dyDescent="0.2">
      <c r="C155" s="56"/>
      <c r="D155" s="63">
        <f t="shared" ca="1" si="83"/>
        <v>5.5800000000000018</v>
      </c>
      <c r="E155" s="45">
        <f t="shared" ca="1" si="101"/>
        <v>0.32793907663017663</v>
      </c>
      <c r="F155" s="45">
        <f t="shared" ca="1" si="66"/>
        <v>0.32820466444550256</v>
      </c>
      <c r="G155" s="45">
        <f t="shared" ca="1" si="67"/>
        <v>0.3276734888148507</v>
      </c>
      <c r="H155" s="45">
        <f t="shared" ca="1" si="68"/>
        <v>0.56101951982517129</v>
      </c>
      <c r="I155" s="45">
        <f t="shared" ca="1" si="69"/>
        <v>0.56099864756418527</v>
      </c>
      <c r="J155" s="45">
        <f t="shared" ca="1" si="70"/>
        <v>0.56097771233469573</v>
      </c>
      <c r="L155" s="58"/>
      <c r="M155" s="58"/>
      <c r="O155" s="58"/>
      <c r="P155" s="58"/>
      <c r="R155" s="59">
        <f t="shared" ca="1" si="79"/>
        <v>0.62334711864496084</v>
      </c>
      <c r="S155" s="59">
        <f t="shared" ca="1" si="80"/>
        <v>0.29020568864114682</v>
      </c>
      <c r="T155" s="59">
        <f t="shared" ca="1" si="71"/>
        <v>-8.4219341719682247E-2</v>
      </c>
      <c r="U155" s="59">
        <f t="shared" ca="1" si="81"/>
        <v>-3.2010320742570157</v>
      </c>
      <c r="V155" s="59"/>
      <c r="W155" s="104">
        <f t="shared" ca="1" si="82"/>
        <v>2.4256904972493172E-2</v>
      </c>
      <c r="Z155" s="59">
        <f t="shared" ca="1" si="76"/>
        <v>0.64429928153395588</v>
      </c>
      <c r="AA155" s="59">
        <f t="shared" ca="1" si="77"/>
        <v>0.28978485202434695</v>
      </c>
      <c r="AB155" s="59">
        <f t="shared" ca="1" si="99"/>
        <v>-8.3975260462772663E-2</v>
      </c>
      <c r="AC155" s="59">
        <f t="shared" ca="1" si="84"/>
        <v>-3.4099257638253242</v>
      </c>
      <c r="AD155" s="60">
        <f t="shared" ca="1" si="100"/>
        <v>3.3043653319256981E-2</v>
      </c>
      <c r="AE155" s="60">
        <f t="shared" ca="1" si="85"/>
        <v>2.129000209285439E-2</v>
      </c>
      <c r="AF155" s="60"/>
      <c r="AG155" s="96">
        <f t="shared" ca="1" si="86"/>
        <v>2.6114845447849482</v>
      </c>
      <c r="AH155" s="96">
        <f t="shared" ca="1" si="87"/>
        <v>2.6132867255496794</v>
      </c>
      <c r="AI155" s="96">
        <f t="shared" ca="1" si="88"/>
        <v>2.6096820035480142</v>
      </c>
      <c r="AJ155" s="62"/>
      <c r="AK155" s="96">
        <f t="shared" ca="1" si="98"/>
        <v>1.501958039304915E-2</v>
      </c>
      <c r="AL155" s="62"/>
      <c r="AM155" s="94"/>
      <c r="AX155" s="106">
        <f t="shared" ca="1" si="89"/>
        <v>0.55907200000000012</v>
      </c>
      <c r="AY155" s="106">
        <f t="shared" ca="1" si="90"/>
        <v>0.55909878400000013</v>
      </c>
      <c r="AZ155" s="106">
        <f t="shared" ca="1" si="91"/>
        <v>0.55904521600000012</v>
      </c>
      <c r="BB155" s="109">
        <f ca="1">_xll.EURO(UnderlyingPrice,$D155,IntRate,Yield,AX155,$D$6,1,0)</f>
        <v>1.4290056675035287E-3</v>
      </c>
      <c r="BC155" s="109">
        <f ca="1">_xll.EURO(UnderlyingPrice,$D155*(1+$P$8),IntRate,Yield,AY155,$D$6,1,0)</f>
        <v>1.4223245945163068E-3</v>
      </c>
      <c r="BD155" s="109">
        <f ca="1">_xll.EURO(UnderlyingPrice,$D155*(1-$P$8),IntRate,Yield,AZ155,$D$6,1,0)</f>
        <v>1.4357171460605972E-3</v>
      </c>
      <c r="BF155" s="59">
        <f t="shared" ca="1" si="92"/>
        <v>2.4413202751944214E-2</v>
      </c>
      <c r="BG155" s="62">
        <f t="shared" ca="1" si="93"/>
        <v>2.4460196132912383E-2</v>
      </c>
      <c r="BI155" s="96">
        <f t="shared" ca="1" si="94"/>
        <v>2.6123337840441914</v>
      </c>
      <c r="BJ155" s="96">
        <f t="shared" ca="1" si="95"/>
        <v>2.6141365768703144</v>
      </c>
      <c r="BK155" s="96">
        <f t="shared" ca="1" si="96"/>
        <v>2.6105306306234413</v>
      </c>
      <c r="BL155" s="62"/>
      <c r="BM155" s="96">
        <f t="shared" ca="1" si="97"/>
        <v>1.5140313812498399E-2</v>
      </c>
      <c r="BO155" s="58"/>
    </row>
    <row r="156" spans="3:67" x14ac:dyDescent="0.2">
      <c r="C156" s="56"/>
      <c r="D156" s="63">
        <f t="shared" ca="1" si="83"/>
        <v>5.6120000000000019</v>
      </c>
      <c r="E156" s="45">
        <f t="shared" ca="1" si="101"/>
        <v>0.33555449785816327</v>
      </c>
      <c r="F156" s="45">
        <f t="shared" ca="1" si="66"/>
        <v>0.33582160875773481</v>
      </c>
      <c r="G156" s="45">
        <f t="shared" ca="1" si="67"/>
        <v>0.33528738695859173</v>
      </c>
      <c r="H156" s="45">
        <f t="shared" ca="1" si="68"/>
        <v>0.56159073157526718</v>
      </c>
      <c r="I156" s="45">
        <f t="shared" ca="1" si="69"/>
        <v>0.56157161434387903</v>
      </c>
      <c r="J156" s="45">
        <f t="shared" ca="1" si="70"/>
        <v>0.56155242944533268</v>
      </c>
      <c r="L156" s="58"/>
      <c r="M156" s="58"/>
      <c r="O156" s="58"/>
      <c r="P156" s="58"/>
      <c r="R156" s="59">
        <f t="shared" ca="1" si="79"/>
        <v>0.61979275161063463</v>
      </c>
      <c r="S156" s="59">
        <f t="shared" ca="1" si="80"/>
        <v>0.29592407448814173</v>
      </c>
      <c r="T156" s="59">
        <f t="shared" ca="1" si="71"/>
        <v>-8.7571057861663262E-2</v>
      </c>
      <c r="U156" s="59">
        <f t="shared" ca="1" si="81"/>
        <v>-3.3284250300224114</v>
      </c>
      <c r="V156" s="59"/>
      <c r="W156" s="104">
        <f t="shared" ca="1" si="82"/>
        <v>2.1347020366792771E-2</v>
      </c>
      <c r="Z156" s="59">
        <f t="shared" ca="1" si="76"/>
        <v>0.64062544386305653</v>
      </c>
      <c r="AA156" s="59">
        <f t="shared" ca="1" si="77"/>
        <v>0.29550323787134186</v>
      </c>
      <c r="AB156" s="59">
        <f t="shared" ca="1" si="99"/>
        <v>-8.732216359244685E-2</v>
      </c>
      <c r="AC156" s="59">
        <f t="shared" ca="1" si="84"/>
        <v>-3.5458311620105789</v>
      </c>
      <c r="AD156" s="60">
        <f t="shared" ca="1" si="100"/>
        <v>2.8844637976254573E-2</v>
      </c>
      <c r="AE156" s="60">
        <f t="shared" ca="1" si="85"/>
        <v>1.8478609006607263E-2</v>
      </c>
      <c r="AF156" s="60"/>
      <c r="AG156" s="96">
        <f t="shared" ca="1" si="86"/>
        <v>2.6630175222895471</v>
      </c>
      <c r="AH156" s="96">
        <f t="shared" ca="1" si="87"/>
        <v>2.6648197030542784</v>
      </c>
      <c r="AI156" s="96">
        <f t="shared" ca="1" si="88"/>
        <v>2.6612149810526131</v>
      </c>
      <c r="AJ156" s="62"/>
      <c r="AK156" s="96">
        <f t="shared" ca="1" si="98"/>
        <v>1.329361634468311E-2</v>
      </c>
      <c r="AL156" s="62"/>
      <c r="AM156" s="94"/>
      <c r="AX156" s="106">
        <f t="shared" ca="1" si="89"/>
        <v>0.55984000000000012</v>
      </c>
      <c r="AY156" s="106">
        <f t="shared" ca="1" si="90"/>
        <v>0.55986693760000006</v>
      </c>
      <c r="AZ156" s="106">
        <f t="shared" ca="1" si="91"/>
        <v>0.55981306240000006</v>
      </c>
      <c r="BB156" s="109">
        <f ca="1">_xll.EURO(UnderlyingPrice,$D156,IntRate,Yield,AX156,$D$6,1,0)</f>
        <v>1.248994954077251E-3</v>
      </c>
      <c r="BC156" s="109">
        <f ca="1">_xll.EURO(UnderlyingPrice,$D156*(1+$P$8),IntRate,Yield,AY156,$D$6,1,0)</f>
        <v>1.2430982738183272E-3</v>
      </c>
      <c r="BD156" s="109">
        <f ca="1">_xll.EURO(UnderlyingPrice,$D156*(1-$P$8),IntRate,Yield,AZ156,$D$6,1,0)</f>
        <v>1.2549187822126218E-3</v>
      </c>
      <c r="BF156" s="59">
        <f t="shared" ca="1" si="92"/>
        <v>2.1549666227001614E-2</v>
      </c>
      <c r="BG156" s="62">
        <f t="shared" ca="1" si="93"/>
        <v>2.1591147538775085E-2</v>
      </c>
      <c r="BI156" s="96">
        <f t="shared" ca="1" si="94"/>
        <v>2.6638842633147353</v>
      </c>
      <c r="BJ156" s="96">
        <f t="shared" ca="1" si="95"/>
        <v>2.6656870561408583</v>
      </c>
      <c r="BK156" s="96">
        <f t="shared" ca="1" si="96"/>
        <v>2.6620811098939847</v>
      </c>
      <c r="BL156" s="62"/>
      <c r="BM156" s="96">
        <f t="shared" ca="1" si="97"/>
        <v>1.3441078894912665E-2</v>
      </c>
      <c r="BO156" s="58"/>
    </row>
    <row r="157" spans="3:67" x14ac:dyDescent="0.2">
      <c r="C157" s="56"/>
      <c r="D157" s="63">
        <f t="shared" ca="1" si="83"/>
        <v>5.6440000000000019</v>
      </c>
      <c r="E157" s="45">
        <f t="shared" ca="1" si="101"/>
        <v>0.34316991908614991</v>
      </c>
      <c r="F157" s="45">
        <f t="shared" ca="1" si="66"/>
        <v>0.34343855306996707</v>
      </c>
      <c r="G157" s="45">
        <f t="shared" ca="1" si="67"/>
        <v>0.34290128510233275</v>
      </c>
      <c r="H157" s="45">
        <f t="shared" ca="1" si="68"/>
        <v>0.56210680544741787</v>
      </c>
      <c r="I157" s="45">
        <f t="shared" ca="1" si="69"/>
        <v>0.56208957860463726</v>
      </c>
      <c r="J157" s="45">
        <f t="shared" ca="1" si="70"/>
        <v>0.56207227930099446</v>
      </c>
      <c r="L157" s="58"/>
      <c r="M157" s="58"/>
      <c r="O157" s="58"/>
      <c r="P157" s="58"/>
      <c r="R157" s="59">
        <f t="shared" ca="1" si="79"/>
        <v>0.61627868923438722</v>
      </c>
      <c r="S157" s="59">
        <f t="shared" ca="1" si="80"/>
        <v>0.30160994623849474</v>
      </c>
      <c r="T157" s="59">
        <f t="shared" ca="1" si="71"/>
        <v>-9.0968559669987695E-2</v>
      </c>
      <c r="U157" s="59">
        <f t="shared" ca="1" si="81"/>
        <v>-3.4575582200797625</v>
      </c>
      <c r="V157" s="59"/>
      <c r="W157" s="104">
        <f t="shared" ca="1" si="82"/>
        <v>1.8755517995797905E-2</v>
      </c>
      <c r="Z157" s="59">
        <f t="shared" ca="1" si="76"/>
        <v>0.63699326558459846</v>
      </c>
      <c r="AA157" s="59">
        <f t="shared" ca="1" si="77"/>
        <v>0.30118910962169487</v>
      </c>
      <c r="AB157" s="59">
        <f t="shared" ca="1" si="99"/>
        <v>-9.0714879754709335E-2</v>
      </c>
      <c r="AC157" s="59">
        <f t="shared" ca="1" si="84"/>
        <v>-3.6835968585656267</v>
      </c>
      <c r="AD157" s="60">
        <f t="shared" ca="1" si="100"/>
        <v>2.5132414326446108E-2</v>
      </c>
      <c r="AE157" s="60">
        <f t="shared" ca="1" si="85"/>
        <v>1.6009178673828055E-2</v>
      </c>
      <c r="AF157" s="60"/>
      <c r="AG157" s="96">
        <f t="shared" ca="1" si="86"/>
        <v>2.7142574890992295</v>
      </c>
      <c r="AH157" s="96">
        <f t="shared" ca="1" si="87"/>
        <v>2.7160596698639612</v>
      </c>
      <c r="AI157" s="96">
        <f t="shared" ca="1" si="88"/>
        <v>2.7124549478622955</v>
      </c>
      <c r="AJ157" s="62"/>
      <c r="AK157" s="96">
        <f t="shared" ca="1" si="98"/>
        <v>1.1746386380904571E-2</v>
      </c>
      <c r="AL157" s="62"/>
      <c r="AM157" s="62"/>
      <c r="AX157" s="106">
        <f t="shared" ca="1" si="89"/>
        <v>0.56060800000000011</v>
      </c>
      <c r="AY157" s="106">
        <f t="shared" ca="1" si="90"/>
        <v>0.5606350912000001</v>
      </c>
      <c r="AZ157" s="106">
        <f t="shared" ca="1" si="91"/>
        <v>0.56058090880000011</v>
      </c>
      <c r="BB157" s="109">
        <f ca="1">_xll.EURO(UnderlyingPrice,$D157,IntRate,Yield,AX157,$D$6,1,0)</f>
        <v>1.0910780574228188E-3</v>
      </c>
      <c r="BC157" s="109">
        <f ca="1">_xll.EURO(UnderlyingPrice,$D157*(1+$P$8),IntRate,Yield,AY157,$D$6,1,0)</f>
        <v>1.085877712771563E-3</v>
      </c>
      <c r="BD157" s="109">
        <f ca="1">_xll.EURO(UnderlyingPrice,$D157*(1-$P$8),IntRate,Yield,AZ157,$D$6,1,0)</f>
        <v>1.0963026149616306E-3</v>
      </c>
      <c r="BF157" s="59">
        <f t="shared" ca="1" si="92"/>
        <v>1.9002580617880568E-2</v>
      </c>
      <c r="BG157" s="62">
        <f t="shared" ca="1" si="93"/>
        <v>1.9039159002102738E-2</v>
      </c>
      <c r="BI157" s="96">
        <f t="shared" ca="1" si="94"/>
        <v>2.7151416323772963</v>
      </c>
      <c r="BJ157" s="96">
        <f t="shared" ca="1" si="95"/>
        <v>2.7169444252034198</v>
      </c>
      <c r="BK157" s="96">
        <f t="shared" ca="1" si="96"/>
        <v>2.7133384789565458</v>
      </c>
      <c r="BL157" s="62"/>
      <c r="BM157" s="96">
        <f t="shared" ca="1" si="97"/>
        <v>1.191997950618605E-2</v>
      </c>
      <c r="BO157" s="58"/>
    </row>
    <row r="158" spans="3:67" x14ac:dyDescent="0.2">
      <c r="C158" s="56"/>
      <c r="D158" s="63">
        <f t="shared" ca="1" si="83"/>
        <v>5.6760000000000019</v>
      </c>
      <c r="E158" s="45">
        <f t="shared" ca="1" si="101"/>
        <v>0.35078534031413655</v>
      </c>
      <c r="F158" s="45">
        <f t="shared" ca="1" si="66"/>
        <v>0.35105549738219954</v>
      </c>
      <c r="G158" s="45">
        <f t="shared" ca="1" si="67"/>
        <v>0.35051518324607378</v>
      </c>
      <c r="H158" s="45">
        <f t="shared" ca="1" si="68"/>
        <v>0.56256450898338317</v>
      </c>
      <c r="I158" s="45">
        <f t="shared" ca="1" si="69"/>
        <v>0.56254930982691842</v>
      </c>
      <c r="J158" s="45">
        <f t="shared" ca="1" si="70"/>
        <v>0.56253403332006413</v>
      </c>
      <c r="L158" s="58"/>
      <c r="M158" s="58"/>
      <c r="O158" s="58"/>
      <c r="P158" s="58"/>
      <c r="R158" s="59">
        <f t="shared" ca="1" si="79"/>
        <v>0.61280424983066983</v>
      </c>
      <c r="S158" s="59">
        <f t="shared" ca="1" si="80"/>
        <v>0.30726367154572337</v>
      </c>
      <c r="T158" s="59">
        <f t="shared" ca="1" si="71"/>
        <v>-9.4410963851758178E-2</v>
      </c>
      <c r="U158" s="59">
        <f t="shared" ca="1" si="81"/>
        <v>-3.5883980719878967</v>
      </c>
      <c r="V158" s="59"/>
      <c r="W158" s="104">
        <f t="shared" ca="1" si="82"/>
        <v>1.6452223263905646E-2</v>
      </c>
      <c r="Z158" s="59">
        <f t="shared" ca="1" si="76"/>
        <v>0.63340204209997775</v>
      </c>
      <c r="AA158" s="59">
        <f t="shared" ca="1" si="77"/>
        <v>0.3068428349289235</v>
      </c>
      <c r="AB158" s="59">
        <f t="shared" ca="1" si="99"/>
        <v>-9.4152525347218602E-2</v>
      </c>
      <c r="AC158" s="59">
        <f t="shared" ca="1" si="84"/>
        <v>-3.8231869736566599</v>
      </c>
      <c r="AD158" s="60">
        <f t="shared" ca="1" si="100"/>
        <v>2.1858028810414803E-2</v>
      </c>
      <c r="AE158" s="60">
        <f t="shared" ca="1" si="85"/>
        <v>1.3844920084796883E-2</v>
      </c>
      <c r="AF158" s="60"/>
      <c r="AG158" s="96">
        <f t="shared" ca="1" si="86"/>
        <v>2.7652077584357597</v>
      </c>
      <c r="AH158" s="96">
        <f t="shared" ca="1" si="87"/>
        <v>2.7670099392004932</v>
      </c>
      <c r="AI158" s="96">
        <f t="shared" ca="1" si="88"/>
        <v>2.7634052171988257</v>
      </c>
      <c r="AJ158" s="62"/>
      <c r="AK158" s="96">
        <f t="shared" ca="1" si="98"/>
        <v>1.0362276947041203E-2</v>
      </c>
      <c r="AL158" s="62"/>
      <c r="AM158" s="62"/>
      <c r="AX158" s="106">
        <f t="shared" ca="1" si="89"/>
        <v>0.5613760000000001</v>
      </c>
      <c r="AY158" s="106">
        <f t="shared" ca="1" si="90"/>
        <v>0.56140324480000015</v>
      </c>
      <c r="AZ158" s="106">
        <f t="shared" ca="1" si="91"/>
        <v>0.56134875520000005</v>
      </c>
      <c r="BB158" s="109">
        <f ca="1">_xll.EURO(UnderlyingPrice,$D158,IntRate,Yield,AX158,$D$6,1,0)</f>
        <v>9.526440505747448E-4</v>
      </c>
      <c r="BC158" s="109">
        <f ca="1">_xll.EURO(UnderlyingPrice,$D158*(1+$P$8),IntRate,Yield,AY158,$D$6,1,0)</f>
        <v>9.480612193156629E-4</v>
      </c>
      <c r="BD158" s="109">
        <f ca="1">_xll.EURO(UnderlyingPrice,$D158*(1-$P$8),IntRate,Yield,AZ158,$D$6,1,0)</f>
        <v>9.5724845449014426E-4</v>
      </c>
      <c r="BF158" s="59">
        <f t="shared" ca="1" si="92"/>
        <v>1.6740131287890987E-2</v>
      </c>
      <c r="BG158" s="62">
        <f t="shared" ca="1" si="93"/>
        <v>1.6772354645680713E-2</v>
      </c>
      <c r="BI158" s="96">
        <f t="shared" ca="1" si="94"/>
        <v>2.7661092055788843</v>
      </c>
      <c r="BJ158" s="96">
        <f t="shared" ca="1" si="95"/>
        <v>2.7679119984050096</v>
      </c>
      <c r="BK158" s="96">
        <f t="shared" ca="1" si="96"/>
        <v>2.7643060521581342</v>
      </c>
      <c r="BL158" s="62"/>
      <c r="BM158" s="96">
        <f t="shared" ca="1" si="97"/>
        <v>1.0560322140284399E-2</v>
      </c>
      <c r="BO158" s="58"/>
    </row>
    <row r="159" spans="3:67" x14ac:dyDescent="0.2">
      <c r="C159" s="56"/>
      <c r="D159" s="63">
        <f t="shared" ca="1" si="83"/>
        <v>5.708000000000002</v>
      </c>
      <c r="E159" s="45">
        <f t="shared" ca="1" si="101"/>
        <v>0.35840076154212319</v>
      </c>
      <c r="F159" s="45">
        <f t="shared" ca="1" si="66"/>
        <v>0.35867244169443158</v>
      </c>
      <c r="G159" s="45">
        <f t="shared" ca="1" si="67"/>
        <v>0.35812908138981503</v>
      </c>
      <c r="H159" s="45">
        <f t="shared" ca="1" si="68"/>
        <v>0.5629606097249219</v>
      </c>
      <c r="I159" s="45">
        <f t="shared" ca="1" si="69"/>
        <v>0.56294757749118152</v>
      </c>
      <c r="J159" s="45">
        <f t="shared" ca="1" si="70"/>
        <v>0.56293446292092475</v>
      </c>
      <c r="L159" s="58"/>
      <c r="M159" s="58"/>
      <c r="O159" s="58"/>
      <c r="P159" s="58"/>
      <c r="R159" s="59">
        <f t="shared" ca="1" si="79"/>
        <v>0.6093687670005048</v>
      </c>
      <c r="S159" s="59">
        <f t="shared" ca="1" si="80"/>
        <v>0.31288561186251712</v>
      </c>
      <c r="T159" s="59">
        <f t="shared" ca="1" si="71"/>
        <v>-9.7897406110581717E-2</v>
      </c>
      <c r="U159" s="59">
        <f t="shared" ca="1" si="81"/>
        <v>-3.720911735330044</v>
      </c>
      <c r="V159" s="59"/>
      <c r="W159" s="104">
        <f t="shared" ca="1" si="82"/>
        <v>1.4409117143739013E-2</v>
      </c>
      <c r="Z159" s="59">
        <f t="shared" ca="1" si="76"/>
        <v>0.62985108461097994</v>
      </c>
      <c r="AA159" s="59">
        <f t="shared" ca="1" si="77"/>
        <v>0.31246477524571725</v>
      </c>
      <c r="AB159" s="59">
        <f t="shared" ca="1" si="99"/>
        <v>-9.7634235769356592E-2</v>
      </c>
      <c r="AC159" s="59">
        <f t="shared" ca="1" si="84"/>
        <v>-3.9645663990398137</v>
      </c>
      <c r="AD159" s="60">
        <f t="shared" ca="1" si="100"/>
        <v>1.8976262954664005E-2</v>
      </c>
      <c r="AE159" s="60">
        <f t="shared" ca="1" si="85"/>
        <v>1.1952219803858282E-2</v>
      </c>
      <c r="AF159" s="60"/>
      <c r="AG159" s="96">
        <f t="shared" ca="1" si="86"/>
        <v>2.8158715876402511</v>
      </c>
      <c r="AH159" s="96">
        <f t="shared" ca="1" si="87"/>
        <v>2.8176737684049828</v>
      </c>
      <c r="AI159" s="96">
        <f t="shared" ca="1" si="88"/>
        <v>2.814069046403318</v>
      </c>
      <c r="AJ159" s="62"/>
      <c r="AK159" s="96">
        <f t="shared" ca="1" si="98"/>
        <v>9.1266112192259444E-3</v>
      </c>
      <c r="AL159" s="62"/>
      <c r="AM159" s="62"/>
      <c r="AX159" s="106">
        <f t="shared" ca="1" si="89"/>
        <v>0.56214400000000009</v>
      </c>
      <c r="AY159" s="106">
        <f t="shared" ca="1" si="90"/>
        <v>0.56217139840000008</v>
      </c>
      <c r="AZ159" s="106">
        <f t="shared" ca="1" si="91"/>
        <v>0.5621166016000001</v>
      </c>
      <c r="BB159" s="109">
        <f ca="1">_xll.EURO(UnderlyingPrice,$D159,IntRate,Yield,AX159,$D$6,1,0)</f>
        <v>8.3137370353185067E-4</v>
      </c>
      <c r="BC159" s="109">
        <f ca="1">_xll.EURO(UnderlyingPrice,$D159*(1+$P$8),IntRate,Yield,AY159,$D$6,1,0)</f>
        <v>8.2733793260288818E-4</v>
      </c>
      <c r="BD159" s="109">
        <f ca="1">_xll.EURO(UnderlyingPrice,$D159*(1-$P$8),IntRate,Yield,AZ159,$D$6,1,0)</f>
        <v>8.3542867550353769E-4</v>
      </c>
      <c r="BF159" s="59">
        <f t="shared" ca="1" si="92"/>
        <v>1.4733193534589835E-2</v>
      </c>
      <c r="BG159" s="62">
        <f t="shared" ca="1" si="93"/>
        <v>1.4761553704440699E-2</v>
      </c>
      <c r="BI159" s="96">
        <f t="shared" ca="1" si="94"/>
        <v>2.8167902413668791</v>
      </c>
      <c r="BJ159" s="96">
        <f t="shared" ca="1" si="95"/>
        <v>2.8185930341930026</v>
      </c>
      <c r="BK159" s="96">
        <f t="shared" ca="1" si="96"/>
        <v>2.8149870879461298</v>
      </c>
      <c r="BL159" s="62"/>
      <c r="BM159" s="96">
        <f t="shared" ca="1" si="97"/>
        <v>9.3466671743120695E-3</v>
      </c>
      <c r="BO159" s="58"/>
    </row>
    <row r="160" spans="3:67" x14ac:dyDescent="0.2">
      <c r="C160" s="56"/>
      <c r="D160" s="63">
        <f t="shared" ca="1" si="83"/>
        <v>5.740000000000002</v>
      </c>
      <c r="E160" s="45">
        <f t="shared" ca="1" si="101"/>
        <v>0.36601618277011005</v>
      </c>
      <c r="F160" s="45">
        <f t="shared" ca="1" si="66"/>
        <v>0.36628938600666383</v>
      </c>
      <c r="G160" s="45">
        <f t="shared" ca="1" si="67"/>
        <v>0.36574297953355606</v>
      </c>
      <c r="H160" s="45">
        <f t="shared" ca="1" si="68"/>
        <v>0.56329187521379409</v>
      </c>
      <c r="I160" s="45">
        <f t="shared" ca="1" si="69"/>
        <v>0.56328115107788546</v>
      </c>
      <c r="J160" s="45">
        <f t="shared" ca="1" si="70"/>
        <v>0.56327033952195915</v>
      </c>
      <c r="L160" s="58"/>
      <c r="M160" s="58"/>
      <c r="O160" s="58"/>
      <c r="P160" s="58"/>
      <c r="R160" s="59">
        <f t="shared" ca="1" si="79"/>
        <v>0.60597158920538008</v>
      </c>
      <c r="S160" s="59">
        <f t="shared" ca="1" si="80"/>
        <v>0.31847612257940233</v>
      </c>
      <c r="T160" s="59">
        <f t="shared" ca="1" si="71"/>
        <v>-0.1014270406532105</v>
      </c>
      <c r="U160" s="59">
        <f t="shared" ca="1" si="81"/>
        <v>-3.8550670629621018</v>
      </c>
      <c r="V160" s="59"/>
      <c r="W160" s="104">
        <f t="shared" ca="1" si="82"/>
        <v>1.2600292297503585E-2</v>
      </c>
      <c r="Z160" s="59">
        <f t="shared" ca="1" si="76"/>
        <v>0.62633971967935076</v>
      </c>
      <c r="AA160" s="59">
        <f t="shared" ca="1" si="77"/>
        <v>0.31805528596260246</v>
      </c>
      <c r="AB160" s="59">
        <f t="shared" ca="1" si="99"/>
        <v>-0.10115916492875282</v>
      </c>
      <c r="AC160" s="59">
        <f t="shared" ca="1" si="84"/>
        <v>-4.1077007780229291</v>
      </c>
      <c r="AD160" s="60">
        <f t="shared" ca="1" si="100"/>
        <v>1.644554304454357E-2</v>
      </c>
      <c r="AE160" s="60">
        <f t="shared" ca="1" si="85"/>
        <v>1.0300496820494116E-2</v>
      </c>
      <c r="AF160" s="60"/>
      <c r="AG160" s="96">
        <f t="shared" ca="1" si="86"/>
        <v>2.866252179422784</v>
      </c>
      <c r="AH160" s="96">
        <f t="shared" ca="1" si="87"/>
        <v>2.8680543601875144</v>
      </c>
      <c r="AI160" s="96">
        <f t="shared" ca="1" si="88"/>
        <v>2.8644496381858495</v>
      </c>
      <c r="AJ160" s="62"/>
      <c r="AK160" s="96">
        <f t="shared" ca="1" si="98"/>
        <v>8.0256594271921125E-3</v>
      </c>
      <c r="AL160" s="62"/>
      <c r="AM160" s="62"/>
      <c r="AX160" s="106">
        <f t="shared" ca="1" si="89"/>
        <v>0.56291200000000008</v>
      </c>
      <c r="AY160" s="106">
        <f t="shared" ca="1" si="90"/>
        <v>0.56293955200000012</v>
      </c>
      <c r="AZ160" s="106">
        <f t="shared" ca="1" si="91"/>
        <v>0.56288444800000015</v>
      </c>
      <c r="BB160" s="109">
        <f ca="1">_xll.EURO(UnderlyingPrice,$D160,IntRate,Yield,AX160,$D$6,1,0)</f>
        <v>7.252096471790058E-4</v>
      </c>
      <c r="BC160" s="109">
        <f ca="1">_xll.EURO(UnderlyingPrice,$D160*(1+$P$8),IntRate,Yield,AY160,$D$6,1,0)</f>
        <v>7.2165805192068999E-4</v>
      </c>
      <c r="BD160" s="109">
        <f ca="1">_xll.EURO(UnderlyingPrice,$D160*(1-$P$8),IntRate,Yield,AZ160,$D$6,1,0)</f>
        <v>7.2877831613201924E-4</v>
      </c>
      <c r="BF160" s="59">
        <f t="shared" ca="1" si="92"/>
        <v>1.2955188464136291E-2</v>
      </c>
      <c r="BG160" s="62">
        <f t="shared" ca="1" si="93"/>
        <v>1.298012612238603E-2</v>
      </c>
      <c r="BI160" s="96">
        <f t="shared" ca="1" si="94"/>
        <v>2.8671879435390739</v>
      </c>
      <c r="BJ160" s="96">
        <f t="shared" ca="1" si="95"/>
        <v>2.8689907363651961</v>
      </c>
      <c r="BK160" s="96">
        <f t="shared" ca="1" si="96"/>
        <v>2.8653847901183234</v>
      </c>
      <c r="BL160" s="62"/>
      <c r="BM160" s="96">
        <f t="shared" ca="1" si="97"/>
        <v>8.2647847573559009E-3</v>
      </c>
      <c r="BO160" s="58"/>
    </row>
    <row r="161" spans="3:67" x14ac:dyDescent="0.2">
      <c r="C161" s="56"/>
      <c r="D161" s="63">
        <f t="shared" ca="1" si="83"/>
        <v>5.772000000000002</v>
      </c>
      <c r="E161" s="45">
        <f t="shared" ca="1" si="101"/>
        <v>0.3736316039980967</v>
      </c>
      <c r="F161" s="45">
        <f t="shared" ca="1" si="66"/>
        <v>0.37390633031889631</v>
      </c>
      <c r="G161" s="45">
        <f t="shared" ca="1" si="67"/>
        <v>0.37335687767729708</v>
      </c>
      <c r="H161" s="45">
        <f t="shared" ca="1" si="68"/>
        <v>0.56355507299175878</v>
      </c>
      <c r="I161" s="45">
        <f t="shared" ca="1" si="69"/>
        <v>0.56354680006748892</v>
      </c>
      <c r="J161" s="45">
        <f t="shared" ca="1" si="70"/>
        <v>0.56353843454155006</v>
      </c>
      <c r="L161" s="58"/>
      <c r="M161" s="58"/>
      <c r="O161" s="58"/>
      <c r="P161" s="58"/>
      <c r="R161" s="59">
        <f t="shared" ca="1" si="79"/>
        <v>0.60261207935531558</v>
      </c>
      <c r="S161" s="59">
        <f t="shared" ca="1" si="80"/>
        <v>0.32403555315955168</v>
      </c>
      <c r="T161" s="59">
        <f t="shared" ca="1" si="71"/>
        <v>-0.10499903971141665</v>
      </c>
      <c r="U161" s="59">
        <f t="shared" ca="1" si="81"/>
        <v>-3.9908325928399209</v>
      </c>
      <c r="V161" s="59"/>
      <c r="W161" s="104">
        <f t="shared" ca="1" si="82"/>
        <v>1.100188950381111E-2</v>
      </c>
      <c r="Z161" s="59">
        <f t="shared" ca="1" si="76"/>
        <v>0.6228672888010176</v>
      </c>
      <c r="AA161" s="59">
        <f t="shared" ca="1" si="77"/>
        <v>0.32361471654275181</v>
      </c>
      <c r="AB161" s="59">
        <f t="shared" ca="1" si="99"/>
        <v>-0.10472648476304561</v>
      </c>
      <c r="AC161" s="59">
        <f t="shared" ca="1" si="84"/>
        <v>-4.2525564860460401</v>
      </c>
      <c r="AD161" s="60">
        <f t="shared" ca="1" si="100"/>
        <v>1.4227814167169808E-2</v>
      </c>
      <c r="AE161" s="60">
        <f t="shared" ca="1" si="85"/>
        <v>8.8620400358697671E-3</v>
      </c>
      <c r="AF161" s="60"/>
      <c r="AG161" s="96">
        <f t="shared" ca="1" si="86"/>
        <v>2.9163526830772852</v>
      </c>
      <c r="AH161" s="96">
        <f t="shared" ca="1" si="87"/>
        <v>2.9181548638420174</v>
      </c>
      <c r="AI161" s="96">
        <f t="shared" ca="1" si="88"/>
        <v>2.9145501418403503</v>
      </c>
      <c r="AJ161" s="62"/>
      <c r="AK161" s="96">
        <f t="shared" ca="1" si="98"/>
        <v>7.046635628115549E-3</v>
      </c>
      <c r="AL161" s="62"/>
      <c r="AM161" s="62"/>
      <c r="AX161" s="106">
        <f t="shared" ca="1" si="89"/>
        <v>0.56368000000000007</v>
      </c>
      <c r="AY161" s="106">
        <f t="shared" ca="1" si="90"/>
        <v>0.56370770560000016</v>
      </c>
      <c r="AZ161" s="106">
        <f t="shared" ca="1" si="91"/>
        <v>0.56365229440000009</v>
      </c>
      <c r="BB161" s="109">
        <f ca="1">_xll.EURO(UnderlyingPrice,$D161,IntRate,Yield,AX161,$D$6,1,0)</f>
        <v>6.323291436114431E-4</v>
      </c>
      <c r="BC161" s="109">
        <f ca="1">_xll.EURO(UnderlyingPrice,$D161*(1+$P$8),IntRate,Yield,AY161,$D$6,1,0)</f>
        <v>6.2920566976034861E-4</v>
      </c>
      <c r="BD161" s="109">
        <f ca="1">_xll.EURO(UnderlyingPrice,$D161*(1-$P$8),IntRate,Yield,AZ161,$D$6,1,0)</f>
        <v>6.3546778547282981E-4</v>
      </c>
      <c r="BF161" s="59">
        <f t="shared" ca="1" si="92"/>
        <v>1.1381931787022525E-2</v>
      </c>
      <c r="BG161" s="62">
        <f t="shared" ca="1" si="93"/>
        <v>1.1403841057266825E-2</v>
      </c>
      <c r="BI161" s="96">
        <f t="shared" ca="1" si="94"/>
        <v>2.9173054624589674</v>
      </c>
      <c r="BJ161" s="96">
        <f t="shared" ca="1" si="95"/>
        <v>2.9191082552850913</v>
      </c>
      <c r="BK161" s="96">
        <f t="shared" ca="1" si="96"/>
        <v>2.9155023090382164</v>
      </c>
      <c r="BL161" s="62"/>
      <c r="BM161" s="96">
        <f t="shared" ca="1" si="97"/>
        <v>7.3016030829177311E-3</v>
      </c>
      <c r="BO161" s="58"/>
    </row>
    <row r="162" spans="3:67" x14ac:dyDescent="0.2">
      <c r="C162" s="56"/>
      <c r="D162" s="63">
        <f t="shared" ca="1" si="83"/>
        <v>5.804000000000002</v>
      </c>
      <c r="E162" s="45">
        <f t="shared" ca="1" si="101"/>
        <v>0.38124702522608334</v>
      </c>
      <c r="F162" s="45">
        <f t="shared" ca="1" si="66"/>
        <v>0.38152327463112856</v>
      </c>
      <c r="G162" s="45">
        <f t="shared" ca="1" si="67"/>
        <v>0.38097077582103811</v>
      </c>
      <c r="H162" s="45">
        <f t="shared" ca="1" si="68"/>
        <v>0.56374697060057544</v>
      </c>
      <c r="I162" s="45">
        <f t="shared" ca="1" si="69"/>
        <v>0.56374129394045069</v>
      </c>
      <c r="J162" s="45">
        <f t="shared" ca="1" si="70"/>
        <v>0.56373551939808042</v>
      </c>
      <c r="L162" s="58"/>
      <c r="M162" s="58"/>
      <c r="O162" s="58"/>
      <c r="P162" s="58"/>
      <c r="R162" s="59">
        <f t="shared" ca="1" si="79"/>
        <v>0.5992896144105585</v>
      </c>
      <c r="S162" s="59">
        <f t="shared" ca="1" si="80"/>
        <v>0.32956424726986866</v>
      </c>
      <c r="T162" s="59">
        <f t="shared" ca="1" si="71"/>
        <v>-0.10861259307855513</v>
      </c>
      <c r="U162" s="59">
        <f t="shared" ca="1" si="81"/>
        <v>-4.128177530404856</v>
      </c>
      <c r="V162" s="59"/>
      <c r="W162" s="104">
        <f t="shared" ca="1" si="82"/>
        <v>9.592018661358899E-3</v>
      </c>
      <c r="Z162" s="59">
        <f t="shared" ca="1" si="76"/>
        <v>0.61943314799439586</v>
      </c>
      <c r="AA162" s="59">
        <f t="shared" ca="1" si="77"/>
        <v>0.32914341065306879</v>
      </c>
      <c r="AB162" s="59">
        <f t="shared" ca="1" si="99"/>
        <v>-0.10833538477633468</v>
      </c>
      <c r="AC162" s="59">
        <f t="shared" ca="1" si="84"/>
        <v>-4.3991006118584206</v>
      </c>
      <c r="AD162" s="60">
        <f t="shared" ca="1" si="100"/>
        <v>1.2288386964040556E-2</v>
      </c>
      <c r="AE162" s="60">
        <f t="shared" ca="1" si="85"/>
        <v>7.6118342209089383E-3</v>
      </c>
      <c r="AF162" s="60"/>
      <c r="AG162" s="96">
        <f t="shared" ca="1" si="86"/>
        <v>2.9661761956628334</v>
      </c>
      <c r="AH162" s="96">
        <f t="shared" ca="1" si="87"/>
        <v>2.9679783764275656</v>
      </c>
      <c r="AI162" s="96">
        <f t="shared" ca="1" si="88"/>
        <v>2.9643736544258985</v>
      </c>
      <c r="AJ162" s="62"/>
      <c r="AK162" s="96">
        <f t="shared" ca="1" si="98"/>
        <v>6.1776831927433679E-3</v>
      </c>
      <c r="AL162" s="62"/>
      <c r="AM162" s="62"/>
      <c r="AX162" s="106">
        <f t="shared" ca="1" si="89"/>
        <v>0.56444800000000006</v>
      </c>
      <c r="AY162" s="106">
        <f t="shared" ca="1" si="90"/>
        <v>0.5644758592000001</v>
      </c>
      <c r="AZ162" s="106">
        <f t="shared" ca="1" si="91"/>
        <v>0.56442014080000014</v>
      </c>
      <c r="BB162" s="109">
        <f ca="1">_xll.EURO(UnderlyingPrice,$D162,IntRate,Yield,AX162,$D$6,1,0)</f>
        <v>5.5111930827621107E-4</v>
      </c>
      <c r="BC162" s="109">
        <f ca="1">_xll.EURO(UnderlyingPrice,$D162*(1+$P$8),IntRate,Yield,AY162,$D$6,1,0)</f>
        <v>5.4837405403399334E-4</v>
      </c>
      <c r="BD162" s="109">
        <f ca="1">_xll.EURO(UnderlyingPrice,$D162*(1-$P$8),IntRate,Yield,AZ162,$D$6,1,0)</f>
        <v>5.5387802560327541E-4</v>
      </c>
      <c r="BF162" s="59">
        <f t="shared" ca="1" si="92"/>
        <v>9.9914790924976824E-3</v>
      </c>
      <c r="BG162" s="62">
        <f t="shared" ca="1" si="93"/>
        <v>1.0010711857170144E-2</v>
      </c>
      <c r="BI162" s="96">
        <f t="shared" ca="1" si="94"/>
        <v>2.9671458962374695</v>
      </c>
      <c r="BJ162" s="96">
        <f t="shared" ca="1" si="95"/>
        <v>2.968948689063593</v>
      </c>
      <c r="BK162" s="96">
        <f t="shared" ca="1" si="96"/>
        <v>2.9653427428167181</v>
      </c>
      <c r="BL162" s="62"/>
      <c r="BM162" s="96">
        <f t="shared" ca="1" si="97"/>
        <v>6.4451511632342626E-3</v>
      </c>
      <c r="BO162" s="58"/>
    </row>
    <row r="163" spans="3:67" x14ac:dyDescent="0.2">
      <c r="C163" s="56"/>
      <c r="D163" s="63">
        <f t="shared" ca="1" si="83"/>
        <v>5.8360000000000021</v>
      </c>
      <c r="E163" s="45">
        <f t="shared" ca="1" si="101"/>
        <v>0.38886244645406998</v>
      </c>
      <c r="F163" s="45">
        <f t="shared" ca="1" si="66"/>
        <v>0.38914021894336082</v>
      </c>
      <c r="G163" s="45">
        <f t="shared" ca="1" si="67"/>
        <v>0.38858467396477914</v>
      </c>
      <c r="H163" s="45">
        <f t="shared" ca="1" si="68"/>
        <v>0.56386433558200344</v>
      </c>
      <c r="I163" s="45">
        <f t="shared" ca="1" si="69"/>
        <v>0.56386140217722946</v>
      </c>
      <c r="J163" s="45">
        <f t="shared" ca="1" si="70"/>
        <v>0.56385836550993318</v>
      </c>
      <c r="L163" s="58"/>
      <c r="M163" s="58"/>
      <c r="O163" s="58"/>
      <c r="P163" s="58"/>
      <c r="R163" s="59">
        <f t="shared" ca="1" si="79"/>
        <v>0.59600358499638129</v>
      </c>
      <c r="S163" s="59">
        <f t="shared" ca="1" si="80"/>
        <v>0.33506254290846643</v>
      </c>
      <c r="T163" s="59">
        <f t="shared" ca="1" si="71"/>
        <v>-0.11226690766028791</v>
      </c>
      <c r="U163" s="59">
        <f t="shared" ca="1" si="81"/>
        <v>-4.2670717315075697</v>
      </c>
      <c r="V163" s="59"/>
      <c r="W163" s="104">
        <f t="shared" ca="1" si="82"/>
        <v>8.3506681618541849E-3</v>
      </c>
      <c r="Z163" s="59">
        <f t="shared" ca="1" si="76"/>
        <v>0.61603666740224017</v>
      </c>
      <c r="AA163" s="59">
        <f t="shared" ca="1" si="77"/>
        <v>0.33464170629166656</v>
      </c>
      <c r="AB163" s="59">
        <f t="shared" ca="1" si="99"/>
        <v>-0.11198507158979804</v>
      </c>
      <c r="AC163" s="59">
        <f t="shared" ca="1" si="84"/>
        <v>-4.5473009392707935</v>
      </c>
      <c r="AD163" s="60">
        <f t="shared" ca="1" si="100"/>
        <v>1.0595764435541418E-2</v>
      </c>
      <c r="AE163" s="60">
        <f t="shared" ca="1" si="85"/>
        <v>6.5273794114501134E-3</v>
      </c>
      <c r="AF163" s="60"/>
      <c r="AG163" s="96">
        <f t="shared" ca="1" si="86"/>
        <v>3.0157257631524765</v>
      </c>
      <c r="AH163" s="96">
        <f t="shared" ca="1" si="87"/>
        <v>3.0175279439172082</v>
      </c>
      <c r="AI163" s="96">
        <f t="shared" ca="1" si="88"/>
        <v>3.0139232219155412</v>
      </c>
      <c r="AJ163" s="62"/>
      <c r="AK163" s="96">
        <f t="shared" ca="1" si="98"/>
        <v>5.4078510764539412E-3</v>
      </c>
      <c r="AL163" s="62"/>
      <c r="AM163" s="62"/>
      <c r="AX163" s="106">
        <f t="shared" ca="1" si="89"/>
        <v>0.56521600000000016</v>
      </c>
      <c r="AY163" s="106">
        <f t="shared" ca="1" si="90"/>
        <v>0.56524401280000014</v>
      </c>
      <c r="AZ163" s="106">
        <f t="shared" ca="1" si="91"/>
        <v>0.56518798720000007</v>
      </c>
      <c r="BB163" s="109">
        <f ca="1">_xll.EURO(UnderlyingPrice,$D163,IntRate,Yield,AX163,$D$6,1,0)</f>
        <v>4.8015462552256777E-4</v>
      </c>
      <c r="BC163" s="109">
        <f ca="1">_xll.EURO(UnderlyingPrice,$D163*(1+$P$8),IntRate,Yield,AY163,$D$6,1,0)</f>
        <v>4.7774322073358688E-4</v>
      </c>
      <c r="BD163" s="109">
        <f ca="1">_xll.EURO(UnderlyingPrice,$D163*(1-$P$8),IntRate,Yield,AZ163,$D$6,1,0)</f>
        <v>4.825779699572149E-4</v>
      </c>
      <c r="BF163" s="59">
        <f t="shared" ca="1" si="92"/>
        <v>8.7639699670866902E-3</v>
      </c>
      <c r="BG163" s="62">
        <f t="shared" ca="1" si="93"/>
        <v>8.7808398789799205E-3</v>
      </c>
      <c r="BI163" s="96">
        <f t="shared" ca="1" si="94"/>
        <v>3.0167122918821088</v>
      </c>
      <c r="BJ163" s="96">
        <f t="shared" ca="1" si="95"/>
        <v>3.0185150847082323</v>
      </c>
      <c r="BK163" s="96">
        <f t="shared" ca="1" si="96"/>
        <v>3.0149091384613573</v>
      </c>
      <c r="BL163" s="62"/>
      <c r="BM163" s="96">
        <f t="shared" ca="1" si="97"/>
        <v>5.684497552134936E-3</v>
      </c>
      <c r="BO163" s="58"/>
    </row>
    <row r="164" spans="3:67" x14ac:dyDescent="0.2">
      <c r="C164" s="56"/>
      <c r="D164" s="63">
        <f t="shared" ca="1" si="83"/>
        <v>5.8680000000000021</v>
      </c>
      <c r="E164" s="45">
        <f t="shared" ca="1" si="101"/>
        <v>0.39647786768205662</v>
      </c>
      <c r="F164" s="45">
        <f t="shared" ca="1" si="66"/>
        <v>0.39675716325559307</v>
      </c>
      <c r="G164" s="45">
        <f t="shared" ca="1" si="67"/>
        <v>0.39619857210852039</v>
      </c>
      <c r="H164" s="45">
        <f t="shared" ca="1" si="68"/>
        <v>0.56390393547780227</v>
      </c>
      <c r="I164" s="45">
        <f t="shared" ca="1" si="69"/>
        <v>0.56390389425828435</v>
      </c>
      <c r="J164" s="45">
        <f t="shared" ca="1" si="70"/>
        <v>0.56390374429549117</v>
      </c>
      <c r="L164" s="58"/>
      <c r="M164" s="58"/>
      <c r="O164" s="58"/>
      <c r="P164" s="58"/>
      <c r="R164" s="59">
        <f t="shared" ca="1" si="79"/>
        <v>0.5927533950304843</v>
      </c>
      <c r="S164" s="59">
        <f t="shared" ca="1" si="80"/>
        <v>0.34053077252866248</v>
      </c>
      <c r="T164" s="59">
        <f t="shared" ca="1" si="71"/>
        <v>-0.11596120703896767</v>
      </c>
      <c r="U164" s="59">
        <f t="shared" ca="1" si="81"/>
        <v>-4.4074856858510056</v>
      </c>
      <c r="V164" s="59"/>
      <c r="W164" s="104">
        <f t="shared" ca="1" si="82"/>
        <v>7.2596059573557361E-3</v>
      </c>
      <c r="Z164" s="59">
        <f t="shared" ca="1" si="76"/>
        <v>0.61267723090652249</v>
      </c>
      <c r="AA164" s="59">
        <f t="shared" ca="1" si="77"/>
        <v>0.34010993591186262</v>
      </c>
      <c r="AB164" s="59">
        <f t="shared" ca="1" si="99"/>
        <v>-0.11567476850597129</v>
      </c>
      <c r="AC164" s="59">
        <f t="shared" ca="1" si="84"/>
        <v>-4.6971259294623229</v>
      </c>
      <c r="AD164" s="60">
        <f t="shared" ca="1" si="100"/>
        <v>9.1214551704340077E-3</v>
      </c>
      <c r="AE164" s="60">
        <f t="shared" ca="1" si="85"/>
        <v>5.5885078956594897E-3</v>
      </c>
      <c r="AF164" s="60"/>
      <c r="AG164" s="96">
        <f t="shared" ca="1" si="86"/>
        <v>3.065004381550644</v>
      </c>
      <c r="AH164" s="96">
        <f t="shared" ca="1" si="87"/>
        <v>3.0668065623153762</v>
      </c>
      <c r="AI164" s="96">
        <f t="shared" ca="1" si="88"/>
        <v>3.0632018403137105</v>
      </c>
      <c r="AJ164" s="62"/>
      <c r="AK164" s="96">
        <f t="shared" ca="1" si="98"/>
        <v>4.7270627513665113E-3</v>
      </c>
      <c r="AL164" s="62"/>
      <c r="AM164" s="62"/>
      <c r="AX164" s="106">
        <f t="shared" ca="1" si="89"/>
        <v>0.56598400000000015</v>
      </c>
      <c r="AY164" s="106">
        <f t="shared" ca="1" si="90"/>
        <v>0.56601216640000007</v>
      </c>
      <c r="AZ164" s="106">
        <f t="shared" ca="1" si="91"/>
        <v>0.56595583360000012</v>
      </c>
      <c r="BB164" s="109">
        <f ca="1">_xll.EURO(UnderlyingPrice,$D164,IntRate,Yield,AX164,$D$6,1,0)</f>
        <v>4.181765984327835E-4</v>
      </c>
      <c r="BC164" s="109">
        <f ca="1">_xll.EURO(UnderlyingPrice,$D164*(1+$P$8),IntRate,Yield,AY164,$D$6,1,0)</f>
        <v>4.1605963770605103E-4</v>
      </c>
      <c r="BD164" s="109">
        <f ca="1">_xll.EURO(UnderlyingPrice,$D164*(1-$P$8),IntRate,Yield,AZ164,$D$6,1,0)</f>
        <v>4.2030413913793536E-4</v>
      </c>
      <c r="BF164" s="59">
        <f t="shared" ca="1" si="92"/>
        <v>7.6814742700273718E-3</v>
      </c>
      <c r="BG164" s="62">
        <f t="shared" ca="1" si="93"/>
        <v>7.6962604679071166E-3</v>
      </c>
      <c r="BI164" s="96">
        <f t="shared" ca="1" si="94"/>
        <v>3.0660076464148265</v>
      </c>
      <c r="BJ164" s="96">
        <f t="shared" ca="1" si="95"/>
        <v>3.0678104392409509</v>
      </c>
      <c r="BK164" s="96">
        <f t="shared" ca="1" si="96"/>
        <v>3.0642044929940768</v>
      </c>
      <c r="BL164" s="62"/>
      <c r="BM164" s="96">
        <f t="shared" ca="1" si="97"/>
        <v>5.0096871482573089E-3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2.75" x14ac:dyDescent="0.2"/>
  <sheetData>
    <row r="1" spans="1:21" ht="13.5" thickBot="1" x14ac:dyDescent="0.25"/>
    <row r="2" spans="1:21" ht="13.5" thickBot="1" x14ac:dyDescent="0.25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5" thickBot="1" x14ac:dyDescent="0.25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2.75" x14ac:dyDescent="0.2"/>
  <sheetData>
    <row r="1" spans="1:5" x14ac:dyDescent="0.2">
      <c r="A1" s="67" t="s">
        <v>52</v>
      </c>
      <c r="B1" s="67"/>
      <c r="C1" s="67"/>
      <c r="D1" s="67"/>
      <c r="E1" s="67"/>
    </row>
    <row r="2" spans="1:5" x14ac:dyDescent="0.2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61</vt:i4>
      </vt:variant>
    </vt:vector>
  </HeadingPairs>
  <TitlesOfParts>
    <vt:vector size="67" baseType="lpstr">
      <vt:lpstr>VolSkew</vt:lpstr>
      <vt:lpstr>Shimko</vt:lpstr>
      <vt:lpstr>ENA VolSkew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2001-05-10T13:12:21Z</cp:lastPrinted>
  <dcterms:created xsi:type="dcterms:W3CDTF">2001-03-30T18:44:24Z</dcterms:created>
  <dcterms:modified xsi:type="dcterms:W3CDTF">2023-09-11T04:28:48Z</dcterms:modified>
</cp:coreProperties>
</file>