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CurveManager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E11E03D-2A63-48F8-875B-708757A83B7A}" xr6:coauthVersionLast="47" xr6:coauthVersionMax="47" xr10:uidLastSave="{00000000-0000-0000-0000-000000000000}"/>
  <bookViews>
    <workbookView xWindow="-120" yWindow="-120" windowWidth="23280" windowHeight="12480" activeTab="2"/>
  </bookViews>
  <sheets>
    <sheet name="1" sheetId="3" r:id="rId1"/>
    <sheet name="cash" sheetId="2" r:id="rId2"/>
    <sheet name="EOL" sheetId="1" r:id="rId3"/>
  </sheets>
  <externalReferences>
    <externalReference r:id="rId4"/>
  </externalReferences>
  <definedNames>
    <definedName name="aDiscount_factor">#REF!</definedName>
    <definedName name="apCurve">#REF!</definedName>
    <definedName name="apDate">#REF!</definedName>
    <definedName name="apRisk">#REF!</definedName>
    <definedName name="Basis_Adjustment">#REF!</definedName>
    <definedName name="cmCurve">#REF!</definedName>
    <definedName name="Curve_Code">#REF!</definedName>
    <definedName name="dCurveCode">#REF!</definedName>
    <definedName name="dDate">#REF!</definedName>
    <definedName name="Derived">#REF!</definedName>
    <definedName name="Discount_Factor">#REF!</definedName>
    <definedName name="dRiskType">#REF!</definedName>
    <definedName name="Effective_Date">#REF!</definedName>
    <definedName name="Environment">#REF!</definedName>
    <definedName name="HPL_PASTE">#REF!</definedName>
    <definedName name="HPLClear">#REF!</definedName>
    <definedName name="HPLSHPDynaRange">OFFSET(#REF!,0,0,COUNTA(#REF!),1)</definedName>
    <definedName name="Index_Adjustment">#REF!</definedName>
    <definedName name="Interest_Rate">#REF!</definedName>
    <definedName name="Names">[1]BASIS!$B$3:$C$30</definedName>
    <definedName name="network">#REF!</definedName>
    <definedName name="Period">#REF!</definedName>
    <definedName name="rAmount">#REF!</definedName>
    <definedName name="rBookType">#REF!</definedName>
    <definedName name="rCurveCode">#REF!</definedName>
    <definedName name="rCurveDefID">#REF!</definedName>
    <definedName name="rCurveDefIdStatus">#REF!</definedName>
    <definedName name="rCurvePointStatus">#REF!</definedName>
    <definedName name="rCurveType">#REF!</definedName>
    <definedName name="Reference_Date">#REF!</definedName>
    <definedName name="rEffDate">#REF!</definedName>
    <definedName name="Risk">#REF!</definedName>
    <definedName name="rngBlue">#REF!</definedName>
    <definedName name="rngPurple">#REF!</definedName>
    <definedName name="rRefDate">#REF!</definedName>
    <definedName name="rTimeStamp">#REF!</definedName>
    <definedName name="rUpdateMsg">#REF!</definedName>
    <definedName name="service">#REF!</definedName>
    <definedName name="Telerate_Instrument">#REF!</definedName>
    <definedName name="Telerate_Producer">#REF!</definedName>
    <definedName name="Test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3" l="1"/>
  <c r="G1" i="3"/>
  <c r="M3" i="3"/>
  <c r="N3" i="3"/>
  <c r="C4" i="3"/>
  <c r="E4" i="3"/>
  <c r="G4" i="3"/>
  <c r="H4" i="3"/>
  <c r="I4" i="3"/>
  <c r="M4" i="3"/>
  <c r="N4" i="3"/>
  <c r="C5" i="3"/>
  <c r="D5" i="3"/>
  <c r="E5" i="3"/>
  <c r="F5" i="3"/>
  <c r="G5" i="3"/>
  <c r="H5" i="3"/>
  <c r="I5" i="3"/>
  <c r="M5" i="3"/>
  <c r="N5" i="3"/>
  <c r="C6" i="3"/>
  <c r="D6" i="3"/>
  <c r="E6" i="3"/>
  <c r="F6" i="3"/>
  <c r="G6" i="3"/>
  <c r="H6" i="3"/>
  <c r="I6" i="3"/>
  <c r="M6" i="3"/>
  <c r="N6" i="3"/>
  <c r="C7" i="3"/>
  <c r="D7" i="3"/>
  <c r="G7" i="3"/>
  <c r="H7" i="3"/>
  <c r="I7" i="3"/>
  <c r="C11" i="3"/>
  <c r="D11" i="3"/>
  <c r="E11" i="3"/>
  <c r="F11" i="3"/>
  <c r="G11" i="3"/>
  <c r="H11" i="3"/>
  <c r="I11" i="3"/>
  <c r="C12" i="3"/>
  <c r="D12" i="3"/>
  <c r="E12" i="3"/>
  <c r="F12" i="3"/>
  <c r="G12" i="3"/>
  <c r="H12" i="3"/>
  <c r="I12" i="3"/>
  <c r="M12" i="3"/>
  <c r="N12" i="3"/>
  <c r="C13" i="3"/>
  <c r="D13" i="3"/>
  <c r="E13" i="3"/>
  <c r="F13" i="3"/>
  <c r="G13" i="3"/>
  <c r="H13" i="3"/>
  <c r="I13" i="3"/>
  <c r="M13" i="3"/>
  <c r="N13" i="3"/>
  <c r="C14" i="3"/>
  <c r="D14" i="3"/>
  <c r="E14" i="3"/>
  <c r="F14" i="3"/>
  <c r="G14" i="3"/>
  <c r="H14" i="3"/>
  <c r="I14" i="3"/>
  <c r="C18" i="3"/>
  <c r="D18" i="3"/>
  <c r="E18" i="3"/>
  <c r="F18" i="3"/>
  <c r="G18" i="3"/>
  <c r="H18" i="3"/>
  <c r="I18" i="3"/>
  <c r="L18" i="3"/>
  <c r="M18" i="3"/>
  <c r="N18" i="3"/>
  <c r="O18" i="3"/>
  <c r="C19" i="3"/>
  <c r="D19" i="3"/>
  <c r="E19" i="3"/>
  <c r="F19" i="3"/>
  <c r="G19" i="3"/>
  <c r="H19" i="3"/>
  <c r="I19" i="3"/>
  <c r="C20" i="3"/>
  <c r="D20" i="3"/>
  <c r="E20" i="3"/>
  <c r="F20" i="3"/>
  <c r="G20" i="3"/>
  <c r="H20" i="3"/>
  <c r="I20" i="3"/>
  <c r="L20" i="3"/>
  <c r="M20" i="3"/>
  <c r="N20" i="3"/>
  <c r="O20" i="3"/>
  <c r="C21" i="3"/>
  <c r="D21" i="3"/>
  <c r="E21" i="3"/>
  <c r="F21" i="3"/>
  <c r="C22" i="3"/>
  <c r="D22" i="3"/>
  <c r="L22" i="3"/>
  <c r="M22" i="3"/>
  <c r="N22" i="3"/>
  <c r="O22" i="3"/>
  <c r="C27" i="3"/>
  <c r="D27" i="3"/>
  <c r="E27" i="3"/>
  <c r="F27" i="3"/>
  <c r="G27" i="3"/>
  <c r="H27" i="3"/>
  <c r="I27" i="3"/>
  <c r="M27" i="3"/>
  <c r="N27" i="3"/>
  <c r="C28" i="3"/>
  <c r="D28" i="3"/>
  <c r="E28" i="3"/>
  <c r="F28" i="3"/>
  <c r="G28" i="3"/>
  <c r="H28" i="3"/>
  <c r="I28" i="3"/>
  <c r="M28" i="3"/>
  <c r="N28" i="3"/>
  <c r="C29" i="3"/>
  <c r="D29" i="3"/>
  <c r="E29" i="3"/>
  <c r="F29" i="3"/>
  <c r="G29" i="3"/>
  <c r="H29" i="3"/>
  <c r="I29" i="3"/>
  <c r="M29" i="3"/>
  <c r="N29" i="3"/>
  <c r="C30" i="3"/>
  <c r="D30" i="3"/>
  <c r="E30" i="3"/>
  <c r="F30" i="3"/>
  <c r="G30" i="3"/>
  <c r="H30" i="3"/>
  <c r="I30" i="3"/>
  <c r="F3" i="1"/>
</calcChain>
</file>

<file path=xl/sharedStrings.xml><?xml version="1.0" encoding="utf-8"?>
<sst xmlns="http://schemas.openxmlformats.org/spreadsheetml/2006/main" count="213" uniqueCount="127">
  <si>
    <t>Nov'01 Index Markets</t>
  </si>
  <si>
    <t>US Gas Phy Index IF TGT Z-SL</t>
  </si>
  <si>
    <t>US Gas Phy Index IF ANR LA</t>
  </si>
  <si>
    <t>US Gas Phy Index IF SONAT LA</t>
  </si>
  <si>
    <t>US Gas Phy Index IF FGT Z2</t>
  </si>
  <si>
    <t>US Gas Phy Index IF PEPL</t>
  </si>
  <si>
    <t>US Gas Phy Index IF TCO Pool</t>
  </si>
  <si>
    <t>US Gas Phy Index IF Dom SP TT</t>
  </si>
  <si>
    <t>US Gas Phy Index IF TETCO ELA</t>
  </si>
  <si>
    <t xml:space="preserve">US Gas Phy Index IF TETCO WLA </t>
  </si>
  <si>
    <t>US Gas Phy Index IF TETCO M3</t>
  </si>
  <si>
    <t>US Gas Phy Index IF TETCO STX</t>
  </si>
  <si>
    <t>US Gas Phy Index IF TranscoSt.65</t>
  </si>
  <si>
    <t>US Gas Phy Index IF Transco Z6NY</t>
  </si>
  <si>
    <t>US Gas Phy Index IF COL Gulf LA</t>
  </si>
  <si>
    <t>US Gas Phy Index IF EP SanJuan</t>
  </si>
  <si>
    <t>US Gas Phy Index IF EP Perm</t>
  </si>
  <si>
    <t>US Gas Phy Index NGI SoCal Topck</t>
  </si>
  <si>
    <t>US Gas Phy Index IF NWPL RkyMtn</t>
  </si>
  <si>
    <t>US Gas Phy Index NGI SoCal E H R</t>
  </si>
  <si>
    <t>promt</t>
  </si>
  <si>
    <t>promt +1</t>
  </si>
  <si>
    <t>Oct--Sep</t>
  </si>
  <si>
    <t>(Nov-Mar)-Promt</t>
  </si>
  <si>
    <t>POWER PRICES</t>
  </si>
  <si>
    <t>NY Pool NYC</t>
  </si>
  <si>
    <t>PJM West</t>
  </si>
  <si>
    <t>Cinergy</t>
  </si>
  <si>
    <t>Next day</t>
  </si>
  <si>
    <t>Next week</t>
  </si>
  <si>
    <t>Balmo</t>
  </si>
  <si>
    <t>Product</t>
  </si>
  <si>
    <t>ID</t>
  </si>
  <si>
    <t>Bid</t>
  </si>
  <si>
    <t>Offer</t>
  </si>
  <si>
    <t>Bid Vol</t>
  </si>
  <si>
    <t>Offer Vol</t>
  </si>
  <si>
    <t>Last Message: 1:20:53 PM</t>
  </si>
  <si>
    <t>Status</t>
  </si>
  <si>
    <t>I</t>
  </si>
  <si>
    <t>HeHub</t>
  </si>
  <si>
    <t>Transco st. 65</t>
  </si>
  <si>
    <t>TETCO M3</t>
  </si>
  <si>
    <t>TETCO ELA</t>
  </si>
  <si>
    <t>Nymex promt</t>
  </si>
  <si>
    <t>Cash-futures spread</t>
  </si>
  <si>
    <t>NYMEX</t>
  </si>
  <si>
    <t>BASIS</t>
  </si>
  <si>
    <t xml:space="preserve">Bid </t>
  </si>
  <si>
    <t>Cash</t>
  </si>
  <si>
    <t>HH sprd</t>
  </si>
  <si>
    <t>BOM</t>
  </si>
  <si>
    <t>Promt</t>
  </si>
  <si>
    <t>Nov-Mar</t>
  </si>
  <si>
    <t xml:space="preserve"> E    G</t>
  </si>
  <si>
    <t xml:space="preserve"> A    U</t>
  </si>
  <si>
    <t xml:space="preserve"> S    L</t>
  </si>
  <si>
    <t>Col Onshore</t>
  </si>
  <si>
    <t xml:space="preserve">  T      F</t>
  </si>
  <si>
    <t>Nov-Mar 01-02</t>
  </si>
  <si>
    <t>Cal' 02</t>
  </si>
  <si>
    <t xml:space="preserve"> E    M</t>
  </si>
  <si>
    <t>SPREADS</t>
  </si>
  <si>
    <t xml:space="preserve"> A    A</t>
  </si>
  <si>
    <t>Transco Z6</t>
  </si>
  <si>
    <t xml:space="preserve"> S    R</t>
  </si>
  <si>
    <t xml:space="preserve"> T    K</t>
  </si>
  <si>
    <t>TCO</t>
  </si>
  <si>
    <t xml:space="preserve">       E</t>
  </si>
  <si>
    <t>CNG</t>
  </si>
  <si>
    <t xml:space="preserve">       T</t>
  </si>
  <si>
    <t xml:space="preserve"> C    M</t>
  </si>
  <si>
    <t xml:space="preserve"> E    A</t>
  </si>
  <si>
    <t>Chi Peoples</t>
  </si>
  <si>
    <t xml:space="preserve"> N    R</t>
  </si>
  <si>
    <t>Consumers</t>
  </si>
  <si>
    <t>MichCon</t>
  </si>
  <si>
    <t xml:space="preserve"> R    E</t>
  </si>
  <si>
    <t>Dawn</t>
  </si>
  <si>
    <t xml:space="preserve"> A    T</t>
  </si>
  <si>
    <t>Niagara</t>
  </si>
  <si>
    <t xml:space="preserve"> L</t>
  </si>
  <si>
    <t xml:space="preserve"> W</t>
  </si>
  <si>
    <t>PG&amp;E citygate</t>
  </si>
  <si>
    <t xml:space="preserve"> E</t>
  </si>
  <si>
    <t>Socal Topk</t>
  </si>
  <si>
    <t xml:space="preserve"> S</t>
  </si>
  <si>
    <t>CIG Rky Mtn</t>
  </si>
  <si>
    <t xml:space="preserve"> T</t>
  </si>
  <si>
    <t>Waha</t>
  </si>
  <si>
    <t>MID</t>
  </si>
  <si>
    <t>ResidOil Platts No 6 NYH 1% (per MMBTU)</t>
  </si>
  <si>
    <t>Oct</t>
  </si>
  <si>
    <t>Listener Stopped...</t>
  </si>
  <si>
    <t>Futures</t>
  </si>
  <si>
    <t>Dec01           USD/MM</t>
  </si>
  <si>
    <t>Jan02           USD/MM</t>
  </si>
  <si>
    <t>Feb02           USD/MM</t>
  </si>
  <si>
    <t>Dec01-Mar02     USD/MM</t>
  </si>
  <si>
    <t>Apr-Oct02       USD/MM</t>
  </si>
  <si>
    <t>Jan-Dec02       USD/MM</t>
  </si>
  <si>
    <t>Jan-Dec03       USD/MM</t>
  </si>
  <si>
    <t>US Pwr Phy Firm  PJM-W Peak              Nov01           USD/MWh</t>
  </si>
  <si>
    <t>US Pwr Phy Firm  PJM-W Peak              Dec01           USD/MWh</t>
  </si>
  <si>
    <t>US Pwr Phy Firm  PJM-W Peak              Jan-Dec02       USD/MWh</t>
  </si>
  <si>
    <t>US Pwr Phy Firm  PJM-W Peak              Jan-Feb02       USD/MWh</t>
  </si>
  <si>
    <t>US Pwr Phy Firm  PJM-W Peak              Jan02           USD/MWh</t>
  </si>
  <si>
    <t>US Pwr Phy Firm  PJM-W Peak              Feb02           USD/MWh</t>
  </si>
  <si>
    <t>US Pwr Phy Firm  PJM-W Peak              Mar-Apr02       USD/MWh</t>
  </si>
  <si>
    <t>US Pwr Phy Firm  PJM-W Peak              Mar02           USD/MWh</t>
  </si>
  <si>
    <t>US Pwr Phy Firm  PJM-W Peak              Apr02           USD/MWh</t>
  </si>
  <si>
    <t>US Pwr Phy Firm  PJM-W Peak              May02           USD/MWh</t>
  </si>
  <si>
    <t>US Pwr Phy Firm  PJM-W Peak              Jun02           USD/MWh</t>
  </si>
  <si>
    <t>US Pwr Phy Firm  PJM-W Peak              Jul-Aug02       USD/MWh</t>
  </si>
  <si>
    <t>US Pwr Phy Firm  PJM-W Peak              Sep02           USD/MWh</t>
  </si>
  <si>
    <t>US Pwr Phy Firm  PJM-W Peak              Jan-Dec03       USD/MWh</t>
  </si>
  <si>
    <t>US Pwr Phy Firm  PJM-W Peak              Jan-Feb03       USD/MWh</t>
  </si>
  <si>
    <t>US Pwr Phy Firm  PJM-W Peak              Mar-Apr03       USD/MWh</t>
  </si>
  <si>
    <t>US Pwr Phy Firm  PJM-W Peak              May03           USD/MWh</t>
  </si>
  <si>
    <t>US Pwr Phy Firm  PJM-W Peak              Jun03           USD/MWh</t>
  </si>
  <si>
    <t>US Pwr Phy Firm  PJM-W Peak              Jul-Aug03       USD/MWh</t>
  </si>
  <si>
    <t>US Pwr Phy Firm  PJM-W Peak              Sep03           USD/MWh</t>
  </si>
  <si>
    <t>US Pwr Phy Firm  PJM-W Peak              Oct-Dec03       USD/MWh</t>
  </si>
  <si>
    <t>US Pwr Phy Firm  PJM-W Peak              Jan-Dec04       USD/MWh</t>
  </si>
  <si>
    <t>US Pwr Phy Firm  PJM-W Peak              Jul-Aug04       USD/MWh</t>
  </si>
  <si>
    <t>US Pwr Phy Firm  PJM-W Peak              Jan-Dec05       USD/MWh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</si>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</sst>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_);[Red]\(&quot;$&quot;#,##0\)"/>
    <numFmt numFmtId="43" formatCode="_(* #,##0.00_);_(* \(#,##0.00\);_(* &quot;-&quot;??_);_(@_)"/>
    <numFmt numFmtId="164" formatCode="0.000"/>
    <numFmt numFmtId="168" formatCode="_ &quot;\&quot;* #,##0.00_ ;_ &quot;\&quot;* &quot;\&quot;&quot;\&quot;&quot;\&quot;&quot;\&quot;&quot;\&quot;\-#,##0.00_ ;_ &quot;\&quot;* &quot;-&quot;??_ ;_ @_ "/>
    <numFmt numFmtId="169" formatCode="yy&quot;\&quot;&quot;\&quot;&quot;\&quot;\-mm&quot;\&quot;&quot;\&quot;&quot;\&quot;\-dd&quot;\&quot;&quot;\&quot;&quot;\&quot;&quot;\&quot;\ h:mm"/>
    <numFmt numFmtId="170" formatCode="#&quot;\&quot;&quot;\&quot;&quot;\&quot;&quot;\&quot;\ ??/??"/>
    <numFmt numFmtId="178" formatCode="#,##0.000"/>
    <numFmt numFmtId="180" formatCode="0.00_);[Red]\(0.00\)"/>
    <numFmt numFmtId="181" formatCode="0.000_);[Red]\(0.000\)"/>
    <numFmt numFmtId="182" formatCode="_(* #,##0.000_);_(* \(#,##0.000\);_(* &quot;-&quot;???_);_(@_)"/>
    <numFmt numFmtId="183" formatCode="#,##0.000_);[Red]\(#,##0.000\)"/>
    <numFmt numFmtId="185" formatCode="0.0000_);[Red]\(0.0000\)"/>
    <numFmt numFmtId="186" formatCode="#,##0.0000"/>
  </numFmts>
  <fonts count="17">
    <font>
      <sz val="10"/>
      <name val="Arial"/>
    </font>
    <font>
      <sz val="10"/>
      <name val="Arial"/>
    </font>
    <font>
      <sz val="11"/>
      <name val="??"/>
      <family val="3"/>
      <charset val="129"/>
    </font>
    <font>
      <sz val="10"/>
      <name val="MS Sans Serif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color indexed="12"/>
      <name val="Arial"/>
      <family val="2"/>
    </font>
    <font>
      <b/>
      <sz val="9"/>
      <name val="Arial"/>
      <family val="2"/>
    </font>
    <font>
      <sz val="9"/>
      <name val="Arial"/>
    </font>
    <font>
      <sz val="9"/>
      <name val="Arial"/>
      <family val="2"/>
    </font>
    <font>
      <b/>
      <sz val="9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u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</fills>
  <borders count="17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6" fontId="2" fillId="0" borderId="0">
      <protection locked="0"/>
    </xf>
    <xf numFmtId="168" fontId="2" fillId="0" borderId="0">
      <protection locked="0"/>
    </xf>
    <xf numFmtId="0" fontId="5" fillId="0" borderId="0" applyNumberFormat="0" applyFill="0" applyBorder="0" applyAlignment="0" applyProtection="0"/>
    <xf numFmtId="169" fontId="2" fillId="0" borderId="0">
      <protection locked="0"/>
    </xf>
    <xf numFmtId="169" fontId="2" fillId="0" borderId="0">
      <protection locked="0"/>
    </xf>
    <xf numFmtId="0" fontId="6" fillId="0" borderId="1" applyNumberFormat="0" applyFill="0" applyAlignment="0" applyProtection="0"/>
    <xf numFmtId="0" fontId="3" fillId="2" borderId="0" applyNumberFormat="0" applyFont="0" applyAlignment="0" applyProtection="0"/>
    <xf numFmtId="170" fontId="2" fillId="0" borderId="0"/>
    <xf numFmtId="169" fontId="2" fillId="0" borderId="2">
      <protection locked="0"/>
    </xf>
    <xf numFmtId="37" fontId="4" fillId="3" borderId="0" applyNumberFormat="0" applyBorder="0" applyAlignment="0" applyProtection="0"/>
    <xf numFmtId="37" fontId="7" fillId="0" borderId="0"/>
    <xf numFmtId="3" fontId="8" fillId="0" borderId="1" applyProtection="0"/>
  </cellStyleXfs>
  <cellXfs count="152">
    <xf numFmtId="0" fontId="0" fillId="0" borderId="0" xfId="0"/>
    <xf numFmtId="0" fontId="9" fillId="4" borderId="3" xfId="0" applyFont="1" applyFill="1" applyBorder="1" applyAlignment="1">
      <alignment horizontal="left"/>
    </xf>
    <xf numFmtId="0" fontId="10" fillId="0" borderId="0" xfId="0" applyFont="1"/>
    <xf numFmtId="178" fontId="9" fillId="4" borderId="3" xfId="0" applyNumberFormat="1" applyFont="1" applyFill="1" applyBorder="1" applyAlignment="1">
      <alignment horizontal="center"/>
    </xf>
    <xf numFmtId="178" fontId="9" fillId="4" borderId="4" xfId="0" applyNumberFormat="1" applyFont="1" applyFill="1" applyBorder="1" applyAlignment="1">
      <alignment horizontal="center"/>
    </xf>
    <xf numFmtId="178" fontId="10" fillId="0" borderId="0" xfId="0" applyNumberFormat="1" applyFont="1" applyFill="1"/>
    <xf numFmtId="178" fontId="10" fillId="0" borderId="0" xfId="0" applyNumberFormat="1" applyFont="1"/>
    <xf numFmtId="0" fontId="10" fillId="0" borderId="0" xfId="0" applyFont="1" applyFill="1"/>
    <xf numFmtId="19" fontId="12" fillId="0" borderId="0" xfId="0" applyNumberFormat="1" applyFont="1" applyFill="1" applyAlignment="1">
      <alignment horizontal="right"/>
    </xf>
    <xf numFmtId="1" fontId="10" fillId="0" borderId="0" xfId="0" applyNumberFormat="1" applyFont="1"/>
    <xf numFmtId="1" fontId="9" fillId="4" borderId="3" xfId="0" applyNumberFormat="1" applyFont="1" applyFill="1" applyBorder="1" applyAlignment="1">
      <alignment horizontal="center"/>
    </xf>
    <xf numFmtId="0" fontId="9" fillId="4" borderId="4" xfId="0" applyNumberFormat="1" applyFont="1" applyFill="1" applyBorder="1" applyAlignment="1">
      <alignment horizontal="center"/>
    </xf>
    <xf numFmtId="0" fontId="10" fillId="0" borderId="0" xfId="0" applyNumberFormat="1" applyFont="1" applyAlignment="1">
      <alignment horizontal="center"/>
    </xf>
    <xf numFmtId="0" fontId="11" fillId="0" borderId="0" xfId="0" applyFont="1"/>
    <xf numFmtId="0" fontId="1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3" fillId="5" borderId="0" xfId="0" applyFont="1" applyFill="1" applyBorder="1" applyAlignment="1">
      <alignment horizontal="right"/>
    </xf>
    <xf numFmtId="0" fontId="14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3" fillId="6" borderId="0" xfId="0" applyFont="1" applyFill="1" applyAlignment="1">
      <alignment horizontal="center"/>
    </xf>
    <xf numFmtId="0" fontId="13" fillId="6" borderId="0" xfId="0" applyFont="1" applyFill="1" applyBorder="1" applyAlignment="1">
      <alignment horizontal="right"/>
    </xf>
    <xf numFmtId="182" fontId="13" fillId="6" borderId="0" xfId="0" applyNumberFormat="1" applyFont="1" applyFill="1" applyBorder="1" applyAlignment="1">
      <alignment horizontal="center"/>
    </xf>
    <xf numFmtId="0" fontId="0" fillId="0" borderId="0" xfId="0" applyBorder="1"/>
    <xf numFmtId="0" fontId="13" fillId="0" borderId="0" xfId="0" applyFont="1" applyAlignment="1">
      <alignment horizontal="center"/>
    </xf>
    <xf numFmtId="0" fontId="13" fillId="0" borderId="0" xfId="0" applyFont="1" applyBorder="1"/>
    <xf numFmtId="0" fontId="13" fillId="7" borderId="5" xfId="0" applyFont="1" applyFill="1" applyBorder="1"/>
    <xf numFmtId="0" fontId="13" fillId="7" borderId="2" xfId="0" applyFont="1" applyFill="1" applyBorder="1" applyAlignment="1">
      <alignment horizontal="center"/>
    </xf>
    <xf numFmtId="0" fontId="13" fillId="7" borderId="6" xfId="0" applyFont="1" applyFill="1" applyBorder="1" applyAlignment="1">
      <alignment horizontal="center"/>
    </xf>
    <xf numFmtId="0" fontId="0" fillId="0" borderId="5" xfId="0" applyBorder="1"/>
    <xf numFmtId="0" fontId="13" fillId="8" borderId="7" xfId="0" applyFont="1" applyFill="1" applyBorder="1" applyAlignment="1">
      <alignment horizontal="center"/>
    </xf>
    <xf numFmtId="0" fontId="13" fillId="8" borderId="2" xfId="0" applyFont="1" applyFill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9" borderId="7" xfId="0" applyFont="1" applyFill="1" applyBorder="1" applyAlignment="1">
      <alignment horizontal="center"/>
    </xf>
    <xf numFmtId="0" fontId="13" fillId="9" borderId="2" xfId="0" applyFont="1" applyFill="1" applyBorder="1" applyAlignment="1">
      <alignment horizontal="center"/>
    </xf>
    <xf numFmtId="0" fontId="13" fillId="9" borderId="6" xfId="0" applyFont="1" applyFill="1" applyBorder="1" applyAlignment="1">
      <alignment horizontal="center"/>
    </xf>
    <xf numFmtId="0" fontId="13" fillId="0" borderId="8" xfId="0" applyFont="1" applyBorder="1" applyAlignment="1">
      <alignment horizontal="right"/>
    </xf>
    <xf numFmtId="164" fontId="13" fillId="0" borderId="0" xfId="0" applyNumberFormat="1" applyFont="1" applyBorder="1" applyAlignment="1">
      <alignment horizontal="center"/>
    </xf>
    <xf numFmtId="164" fontId="13" fillId="0" borderId="9" xfId="0" applyNumberFormat="1" applyFont="1" applyBorder="1" applyAlignment="1">
      <alignment horizontal="center"/>
    </xf>
    <xf numFmtId="0" fontId="13" fillId="7" borderId="0" xfId="0" applyFont="1" applyFill="1"/>
    <xf numFmtId="182" fontId="13" fillId="7" borderId="10" xfId="1" applyNumberFormat="1" applyFont="1" applyFill="1" applyBorder="1" applyAlignment="1">
      <alignment horizontal="center"/>
    </xf>
    <xf numFmtId="181" fontId="13" fillId="3" borderId="0" xfId="0" applyNumberFormat="1" applyFont="1" applyFill="1" applyBorder="1" applyAlignment="1">
      <alignment horizontal="center"/>
    </xf>
    <xf numFmtId="182" fontId="13" fillId="0" borderId="10" xfId="0" applyNumberFormat="1" applyFont="1" applyBorder="1" applyAlignment="1">
      <alignment horizontal="center"/>
    </xf>
    <xf numFmtId="181" fontId="13" fillId="0" borderId="10" xfId="0" applyNumberFormat="1" applyFont="1" applyBorder="1" applyAlignment="1">
      <alignment horizontal="center"/>
    </xf>
    <xf numFmtId="181" fontId="13" fillId="0" borderId="0" xfId="0" applyNumberFormat="1" applyFont="1" applyBorder="1" applyAlignment="1">
      <alignment horizontal="center"/>
    </xf>
    <xf numFmtId="181" fontId="13" fillId="0" borderId="9" xfId="0" applyNumberFormat="1" applyFont="1" applyBorder="1" applyAlignment="1">
      <alignment horizontal="center"/>
    </xf>
    <xf numFmtId="2" fontId="13" fillId="0" borderId="0" xfId="0" applyNumberFormat="1" applyFont="1" applyAlignment="1">
      <alignment horizontal="center"/>
    </xf>
    <xf numFmtId="0" fontId="9" fillId="7" borderId="0" xfId="0" applyFont="1" applyFill="1"/>
    <xf numFmtId="0" fontId="13" fillId="0" borderId="11" xfId="0" applyFont="1" applyBorder="1" applyAlignment="1">
      <alignment horizontal="right"/>
    </xf>
    <xf numFmtId="181" fontId="13" fillId="3" borderId="12" xfId="0" applyNumberFormat="1" applyFont="1" applyFill="1" applyBorder="1" applyAlignment="1">
      <alignment horizontal="center"/>
    </xf>
    <xf numFmtId="182" fontId="13" fillId="0" borderId="13" xfId="0" applyNumberFormat="1" applyFont="1" applyBorder="1" applyAlignment="1">
      <alignment horizontal="center"/>
    </xf>
    <xf numFmtId="181" fontId="13" fillId="0" borderId="13" xfId="0" applyNumberFormat="1" applyFont="1" applyBorder="1" applyAlignment="1">
      <alignment horizontal="center"/>
    </xf>
    <xf numFmtId="181" fontId="13" fillId="0" borderId="12" xfId="0" applyNumberFormat="1" applyFont="1" applyBorder="1" applyAlignment="1">
      <alignment horizontal="center"/>
    </xf>
    <xf numFmtId="181" fontId="13" fillId="0" borderId="14" xfId="0" applyNumberFormat="1" applyFont="1" applyBorder="1" applyAlignment="1">
      <alignment horizontal="center"/>
    </xf>
    <xf numFmtId="0" fontId="13" fillId="0" borderId="0" xfId="0" applyFont="1"/>
    <xf numFmtId="43" fontId="13" fillId="0" borderId="0" xfId="0" applyNumberFormat="1" applyFont="1" applyAlignment="1">
      <alignment horizontal="center"/>
    </xf>
    <xf numFmtId="181" fontId="13" fillId="0" borderId="0" xfId="0" applyNumberFormat="1" applyFont="1" applyAlignment="1">
      <alignment horizontal="center"/>
    </xf>
    <xf numFmtId="164" fontId="13" fillId="0" borderId="12" xfId="0" applyNumberFormat="1" applyFont="1" applyBorder="1" applyAlignment="1">
      <alignment horizontal="center"/>
    </xf>
    <xf numFmtId="164" fontId="13" fillId="0" borderId="14" xfId="0" applyNumberFormat="1" applyFont="1" applyBorder="1" applyAlignment="1">
      <alignment horizontal="center"/>
    </xf>
    <xf numFmtId="43" fontId="13" fillId="0" borderId="0" xfId="0" applyNumberFormat="1" applyFont="1" applyBorder="1" applyAlignment="1">
      <alignment horizontal="center"/>
    </xf>
    <xf numFmtId="2" fontId="13" fillId="0" borderId="0" xfId="0" applyNumberFormat="1" applyFont="1" applyBorder="1" applyAlignment="1">
      <alignment horizontal="center"/>
    </xf>
    <xf numFmtId="0" fontId="13" fillId="10" borderId="0" xfId="0" applyFont="1" applyFill="1"/>
    <xf numFmtId="43" fontId="13" fillId="8" borderId="7" xfId="0" applyNumberFormat="1" applyFont="1" applyFill="1" applyBorder="1" applyAlignment="1">
      <alignment horizontal="center"/>
    </xf>
    <xf numFmtId="181" fontId="13" fillId="8" borderId="2" xfId="0" applyNumberFormat="1" applyFont="1" applyFill="1" applyBorder="1" applyAlignment="1">
      <alignment horizontal="center"/>
    </xf>
    <xf numFmtId="43" fontId="13" fillId="0" borderId="7" xfId="0" applyNumberFormat="1" applyFont="1" applyBorder="1" applyAlignment="1">
      <alignment horizontal="center"/>
    </xf>
    <xf numFmtId="2" fontId="13" fillId="9" borderId="7" xfId="0" applyNumberFormat="1" applyFont="1" applyFill="1" applyBorder="1" applyAlignment="1">
      <alignment horizontal="center"/>
    </xf>
    <xf numFmtId="2" fontId="13" fillId="9" borderId="2" xfId="0" applyNumberFormat="1" applyFont="1" applyFill="1" applyBorder="1" applyAlignment="1">
      <alignment horizontal="center"/>
    </xf>
    <xf numFmtId="2" fontId="13" fillId="9" borderId="6" xfId="0" applyNumberFormat="1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7" borderId="7" xfId="0" applyFont="1" applyFill="1" applyBorder="1" applyAlignment="1">
      <alignment horizontal="center"/>
    </xf>
    <xf numFmtId="0" fontId="13" fillId="0" borderId="10" xfId="0" applyFont="1" applyBorder="1" applyAlignment="1">
      <alignment horizontal="right"/>
    </xf>
    <xf numFmtId="0" fontId="13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3" xfId="0" applyFont="1" applyBorder="1" applyAlignment="1">
      <alignment horizontal="right"/>
    </xf>
    <xf numFmtId="0" fontId="13" fillId="3" borderId="0" xfId="0" applyFont="1" applyFill="1"/>
    <xf numFmtId="43" fontId="13" fillId="8" borderId="2" xfId="0" applyNumberFormat="1" applyFont="1" applyFill="1" applyBorder="1" applyAlignment="1">
      <alignment horizontal="center"/>
    </xf>
    <xf numFmtId="181" fontId="13" fillId="0" borderId="15" xfId="0" applyNumberFormat="1" applyFont="1" applyBorder="1" applyAlignment="1">
      <alignment horizontal="center"/>
    </xf>
    <xf numFmtId="0" fontId="0" fillId="0" borderId="5" xfId="0" applyFill="1" applyBorder="1"/>
    <xf numFmtId="181" fontId="13" fillId="8" borderId="6" xfId="0" applyNumberFormat="1" applyFont="1" applyFill="1" applyBorder="1" applyAlignment="1">
      <alignment horizontal="center"/>
    </xf>
    <xf numFmtId="0" fontId="13" fillId="11" borderId="0" xfId="0" applyFont="1" applyFill="1"/>
    <xf numFmtId="0" fontId="13" fillId="0" borderId="8" xfId="0" applyFont="1" applyFill="1" applyBorder="1" applyAlignment="1">
      <alignment horizontal="right"/>
    </xf>
    <xf numFmtId="181" fontId="13" fillId="3" borderId="9" xfId="0" applyNumberFormat="1" applyFont="1" applyFill="1" applyBorder="1" applyAlignment="1">
      <alignment horizontal="center"/>
    </xf>
    <xf numFmtId="0" fontId="13" fillId="0" borderId="11" xfId="0" applyFont="1" applyFill="1" applyBorder="1" applyAlignment="1">
      <alignment horizontal="right"/>
    </xf>
    <xf numFmtId="181" fontId="13" fillId="3" borderId="14" xfId="0" applyNumberFormat="1" applyFont="1" applyFill="1" applyBorder="1" applyAlignment="1">
      <alignment horizontal="center"/>
    </xf>
    <xf numFmtId="182" fontId="13" fillId="7" borderId="10" xfId="0" quotePrefix="1" applyNumberFormat="1" applyFont="1" applyFill="1" applyBorder="1" applyAlignment="1">
      <alignment horizontal="center"/>
    </xf>
    <xf numFmtId="182" fontId="13" fillId="7" borderId="13" xfId="0" quotePrefix="1" applyNumberFormat="1" applyFont="1" applyFill="1" applyBorder="1" applyAlignment="1">
      <alignment horizontal="center"/>
    </xf>
    <xf numFmtId="182" fontId="13" fillId="7" borderId="0" xfId="0" quotePrefix="1" applyNumberFormat="1" applyFont="1" applyFill="1" applyBorder="1" applyAlignment="1">
      <alignment horizontal="center"/>
    </xf>
    <xf numFmtId="182" fontId="13" fillId="7" borderId="12" xfId="0" quotePrefix="1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2" fontId="10" fillId="11" borderId="0" xfId="0" applyNumberFormat="1" applyFont="1" applyFill="1" applyAlignment="1">
      <alignment horizontal="center"/>
    </xf>
    <xf numFmtId="182" fontId="13" fillId="0" borderId="16" xfId="0" applyNumberFormat="1" applyFont="1" applyBorder="1" applyAlignment="1">
      <alignment horizontal="center"/>
    </xf>
    <xf numFmtId="182" fontId="13" fillId="0" borderId="15" xfId="0" applyNumberFormat="1" applyFont="1" applyFill="1" applyBorder="1" applyAlignment="1">
      <alignment horizontal="center"/>
    </xf>
    <xf numFmtId="181" fontId="13" fillId="0" borderId="0" xfId="0" applyNumberFormat="1" applyFont="1" applyFill="1" applyBorder="1" applyAlignment="1">
      <alignment horizontal="center"/>
    </xf>
    <xf numFmtId="180" fontId="13" fillId="0" borderId="0" xfId="0" applyNumberFormat="1" applyFont="1" applyFill="1" applyAlignment="1">
      <alignment horizontal="center"/>
    </xf>
    <xf numFmtId="180" fontId="13" fillId="0" borderId="0" xfId="0" applyNumberFormat="1" applyFont="1" applyFill="1" applyBorder="1" applyAlignment="1">
      <alignment horizontal="center"/>
    </xf>
    <xf numFmtId="180" fontId="13" fillId="0" borderId="6" xfId="0" applyNumberFormat="1" applyFont="1" applyFill="1" applyBorder="1" applyAlignment="1">
      <alignment horizontal="center"/>
    </xf>
    <xf numFmtId="181" fontId="13" fillId="0" borderId="15" xfId="0" applyNumberFormat="1" applyFont="1" applyFill="1" applyBorder="1" applyAlignment="1">
      <alignment horizontal="center"/>
    </xf>
    <xf numFmtId="181" fontId="13" fillId="0" borderId="9" xfId="0" applyNumberFormat="1" applyFont="1" applyFill="1" applyBorder="1" applyAlignment="1">
      <alignment horizontal="center"/>
    </xf>
    <xf numFmtId="181" fontId="13" fillId="0" borderId="14" xfId="0" applyNumberFormat="1" applyFont="1" applyFill="1" applyBorder="1" applyAlignment="1">
      <alignment horizontal="center"/>
    </xf>
    <xf numFmtId="0" fontId="10" fillId="12" borderId="0" xfId="0" applyFont="1" applyFill="1"/>
    <xf numFmtId="38" fontId="0" fillId="0" borderId="0" xfId="0" applyNumberFormat="1" applyBorder="1"/>
    <xf numFmtId="3" fontId="0" fillId="0" borderId="0" xfId="0" applyNumberFormat="1" applyBorder="1"/>
    <xf numFmtId="0" fontId="13" fillId="0" borderId="0" xfId="0" applyFont="1" applyFill="1" applyBorder="1" applyAlignment="1">
      <alignment horizontal="right"/>
    </xf>
    <xf numFmtId="0" fontId="13" fillId="0" borderId="12" xfId="0" applyFont="1" applyBorder="1" applyAlignment="1">
      <alignment horizontal="center"/>
    </xf>
    <xf numFmtId="2" fontId="0" fillId="0" borderId="0" xfId="0" applyNumberFormat="1"/>
    <xf numFmtId="3" fontId="0" fillId="0" borderId="0" xfId="0" applyNumberFormat="1"/>
    <xf numFmtId="0" fontId="13" fillId="5" borderId="2" xfId="0" applyFont="1" applyFill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13" fillId="0" borderId="10" xfId="0" applyNumberFormat="1" applyFont="1" applyFill="1" applyBorder="1" applyAlignment="1">
      <alignment horizontal="right"/>
    </xf>
    <xf numFmtId="4" fontId="13" fillId="0" borderId="9" xfId="0" applyNumberFormat="1" applyFont="1" applyBorder="1" applyAlignment="1">
      <alignment horizontal="center"/>
    </xf>
    <xf numFmtId="0" fontId="13" fillId="0" borderId="10" xfId="0" applyFont="1" applyFill="1" applyBorder="1" applyAlignment="1">
      <alignment horizontal="right"/>
    </xf>
    <xf numFmtId="0" fontId="13" fillId="0" borderId="13" xfId="0" applyFont="1" applyFill="1" applyBorder="1" applyAlignment="1">
      <alignment horizontal="right"/>
    </xf>
    <xf numFmtId="4" fontId="13" fillId="0" borderId="14" xfId="0" applyNumberFormat="1" applyFont="1" applyBorder="1" applyAlignment="1">
      <alignment horizontal="center"/>
    </xf>
    <xf numFmtId="4" fontId="13" fillId="0" borderId="10" xfId="0" applyNumberFormat="1" applyFont="1" applyBorder="1" applyAlignment="1">
      <alignment horizontal="center"/>
    </xf>
    <xf numFmtId="4" fontId="13" fillId="0" borderId="13" xfId="0" applyNumberFormat="1" applyFont="1" applyBorder="1" applyAlignment="1">
      <alignment horizontal="center"/>
    </xf>
    <xf numFmtId="0" fontId="13" fillId="7" borderId="7" xfId="0" applyFont="1" applyFill="1" applyBorder="1"/>
    <xf numFmtId="164" fontId="13" fillId="0" borderId="13" xfId="0" applyNumberFormat="1" applyFont="1" applyBorder="1" applyAlignment="1">
      <alignment horizontal="center"/>
    </xf>
    <xf numFmtId="0" fontId="0" fillId="13" borderId="7" xfId="0" applyFill="1" applyBorder="1"/>
    <xf numFmtId="2" fontId="13" fillId="13" borderId="7" xfId="0" applyNumberFormat="1" applyFont="1" applyFill="1" applyBorder="1" applyAlignment="1">
      <alignment horizontal="center"/>
    </xf>
    <xf numFmtId="2" fontId="13" fillId="13" borderId="6" xfId="0" applyNumberFormat="1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16" fontId="10" fillId="0" borderId="0" xfId="0" applyNumberFormat="1" applyFont="1"/>
    <xf numFmtId="185" fontId="13" fillId="0" borderId="10" xfId="0" applyNumberFormat="1" applyFont="1" applyBorder="1" applyAlignment="1">
      <alignment horizontal="center"/>
    </xf>
    <xf numFmtId="185" fontId="13" fillId="0" borderId="0" xfId="0" applyNumberFormat="1" applyFont="1" applyBorder="1" applyAlignment="1">
      <alignment horizontal="center"/>
    </xf>
    <xf numFmtId="185" fontId="13" fillId="0" borderId="9" xfId="0" applyNumberFormat="1" applyFont="1" applyBorder="1" applyAlignment="1">
      <alignment horizontal="center"/>
    </xf>
    <xf numFmtId="185" fontId="13" fillId="0" borderId="13" xfId="0" applyNumberFormat="1" applyFont="1" applyBorder="1" applyAlignment="1">
      <alignment horizontal="center"/>
    </xf>
    <xf numFmtId="185" fontId="13" fillId="0" borderId="12" xfId="0" applyNumberFormat="1" applyFont="1" applyBorder="1" applyAlignment="1">
      <alignment horizontal="center"/>
    </xf>
    <xf numFmtId="185" fontId="13" fillId="0" borderId="14" xfId="0" applyNumberFormat="1" applyFont="1" applyBorder="1" applyAlignment="1">
      <alignment horizontal="center"/>
    </xf>
    <xf numFmtId="182" fontId="13" fillId="0" borderId="12" xfId="0" applyNumberFormat="1" applyFont="1" applyFill="1" applyBorder="1" applyAlignment="1">
      <alignment horizontal="center"/>
    </xf>
    <xf numFmtId="183" fontId="13" fillId="0" borderId="10" xfId="0" applyNumberFormat="1" applyFont="1" applyBorder="1" applyAlignment="1">
      <alignment horizontal="center"/>
    </xf>
    <xf numFmtId="183" fontId="13" fillId="0" borderId="0" xfId="0" applyNumberFormat="1" applyFont="1" applyAlignment="1">
      <alignment horizontal="center"/>
    </xf>
    <xf numFmtId="183" fontId="13" fillId="0" borderId="15" xfId="0" applyNumberFormat="1" applyFont="1" applyBorder="1" applyAlignment="1">
      <alignment horizontal="center"/>
    </xf>
    <xf numFmtId="183" fontId="13" fillId="0" borderId="9" xfId="0" applyNumberFormat="1" applyFont="1" applyBorder="1" applyAlignment="1">
      <alignment horizontal="center"/>
    </xf>
    <xf numFmtId="183" fontId="13" fillId="0" borderId="13" xfId="0" applyNumberFormat="1" applyFont="1" applyBorder="1" applyAlignment="1">
      <alignment horizontal="center"/>
    </xf>
    <xf numFmtId="183" fontId="13" fillId="0" borderId="12" xfId="0" applyNumberFormat="1" applyFont="1" applyBorder="1" applyAlignment="1">
      <alignment horizontal="center"/>
    </xf>
    <xf numFmtId="183" fontId="13" fillId="0" borderId="14" xfId="0" applyNumberFormat="1" applyFont="1" applyBorder="1" applyAlignment="1">
      <alignment horizontal="center"/>
    </xf>
    <xf numFmtId="0" fontId="13" fillId="5" borderId="6" xfId="0" applyFont="1" applyFill="1" applyBorder="1" applyAlignment="1">
      <alignment horizontal="center"/>
    </xf>
    <xf numFmtId="0" fontId="13" fillId="5" borderId="2" xfId="0" applyFont="1" applyFill="1" applyBorder="1" applyAlignment="1">
      <alignment horizontal="left"/>
    </xf>
    <xf numFmtId="0" fontId="10" fillId="14" borderId="0" xfId="0" applyFont="1" applyFill="1"/>
    <xf numFmtId="186" fontId="10" fillId="0" borderId="0" xfId="0" applyNumberFormat="1" applyFont="1"/>
    <xf numFmtId="186" fontId="9" fillId="4" borderId="3" xfId="0" applyNumberFormat="1" applyFont="1" applyFill="1" applyBorder="1" applyAlignment="1">
      <alignment horizontal="center"/>
    </xf>
    <xf numFmtId="186" fontId="9" fillId="4" borderId="4" xfId="0" applyNumberFormat="1" applyFont="1" applyFill="1" applyBorder="1" applyAlignment="1">
      <alignment horizontal="center"/>
    </xf>
    <xf numFmtId="186" fontId="10" fillId="0" borderId="0" xfId="0" applyNumberFormat="1" applyFont="1" applyFill="1"/>
    <xf numFmtId="186" fontId="10" fillId="12" borderId="0" xfId="0" applyNumberFormat="1" applyFont="1" applyFill="1"/>
    <xf numFmtId="186" fontId="10" fillId="14" borderId="0" xfId="0" applyNumberFormat="1" applyFont="1" applyFill="1"/>
    <xf numFmtId="0" fontId="13" fillId="0" borderId="0" xfId="0" applyFont="1" applyBorder="1" applyAlignment="1">
      <alignment horizontal="right"/>
    </xf>
    <xf numFmtId="0" fontId="10" fillId="0" borderId="0" xfId="0" quotePrefix="1" applyFont="1"/>
    <xf numFmtId="0" fontId="15" fillId="0" borderId="0" xfId="0" applyFont="1" applyAlignment="1">
      <alignment horizontal="center"/>
    </xf>
    <xf numFmtId="0" fontId="15" fillId="0" borderId="0" xfId="0" applyFont="1"/>
    <xf numFmtId="0" fontId="16" fillId="0" borderId="0" xfId="0" applyFont="1"/>
  </cellXfs>
  <cellStyles count="14">
    <cellStyle name="Comma" xfId="1" builtinId="3"/>
    <cellStyle name="Date" xfId="2"/>
    <cellStyle name="Fixed" xfId="3"/>
    <cellStyle name="HEADER" xfId="4"/>
    <cellStyle name="Heading1" xfId="5"/>
    <cellStyle name="Heading2" xfId="6"/>
    <cellStyle name="HIGHLIGHT" xfId="7"/>
    <cellStyle name="NewFill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ect" xfId="13"/>
  </cellStyles>
  <dxfs count="2">
    <dxf>
      <font>
        <condense val="0"/>
        <extend val="0"/>
        <color auto="1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266700</xdr:colOff>
          <xdr:row>1</xdr:row>
          <xdr:rowOff>114300</xdr:rowOff>
        </xdr:to>
        <xdr:sp macro="" textlink="">
          <xdr:nvSpPr>
            <xdr:cNvPr id="20481" name="Rvx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306EBCB1-4E02-FDBB-1EDA-67A4F72421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0</xdr:row>
          <xdr:rowOff>38100</xdr:rowOff>
        </xdr:from>
        <xdr:to>
          <xdr:col>0</xdr:col>
          <xdr:colOff>390525</xdr:colOff>
          <xdr:row>1</xdr:row>
          <xdr:rowOff>114300</xdr:rowOff>
        </xdr:to>
        <xdr:sp macro="" textlink="">
          <xdr:nvSpPr>
            <xdr:cNvPr id="20484" name="cmdStart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22E8935-B20F-ED43-CA4B-8048833373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409575</xdr:colOff>
          <xdr:row>0</xdr:row>
          <xdr:rowOff>38100</xdr:rowOff>
        </xdr:from>
        <xdr:to>
          <xdr:col>0</xdr:col>
          <xdr:colOff>762000</xdr:colOff>
          <xdr:row>1</xdr:row>
          <xdr:rowOff>114300</xdr:rowOff>
        </xdr:to>
        <xdr:sp macro="" textlink="">
          <xdr:nvSpPr>
            <xdr:cNvPr id="20486" name="cmd_Stop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4A93E68B-9846-A9BF-6D5F-5B2AE37515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undy_Ops/Netbacks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S"/>
      <sheetName val="NETBACKS"/>
      <sheetName val="SUMMARY"/>
    </sheetNames>
    <sheetDataSet>
      <sheetData sheetId="0">
        <row r="3">
          <cell r="B3" t="str">
            <v>AECO</v>
          </cell>
          <cell r="C3">
            <v>-0.31</v>
          </cell>
        </row>
        <row r="4">
          <cell r="B4" t="str">
            <v>ANR LA</v>
          </cell>
          <cell r="C4">
            <v>-6.25E-2</v>
          </cell>
        </row>
        <row r="5">
          <cell r="B5" t="str">
            <v>ANR OK</v>
          </cell>
          <cell r="C5">
            <v>-0.13750000000000001</v>
          </cell>
        </row>
        <row r="6">
          <cell r="B6" t="str">
            <v>Carlton</v>
          </cell>
          <cell r="C6">
            <v>0.22</v>
          </cell>
        </row>
        <row r="7">
          <cell r="B7" t="str">
            <v>Chicago</v>
          </cell>
          <cell r="C7">
            <v>0.155</v>
          </cell>
        </row>
        <row r="8">
          <cell r="B8" t="str">
            <v>Dawn</v>
          </cell>
          <cell r="C8">
            <v>0.33</v>
          </cell>
        </row>
        <row r="9">
          <cell r="B9" t="str">
            <v>Demarc</v>
          </cell>
          <cell r="C9">
            <v>5.0000000000000001E-3</v>
          </cell>
        </row>
        <row r="10">
          <cell r="B10" t="str">
            <v>Emerson</v>
          </cell>
          <cell r="C10">
            <v>0.1</v>
          </cell>
        </row>
        <row r="11">
          <cell r="B11" t="str">
            <v>Empress</v>
          </cell>
          <cell r="C11">
            <v>-0.31</v>
          </cell>
        </row>
        <row r="12">
          <cell r="B12" t="str">
            <v>Harper</v>
          </cell>
          <cell r="C12">
            <v>7.0000000000000007E-2</v>
          </cell>
        </row>
        <row r="13">
          <cell r="B13" t="str">
            <v>IZ2</v>
          </cell>
          <cell r="C13">
            <v>0.9</v>
          </cell>
        </row>
        <row r="14">
          <cell r="B14" t="str">
            <v>Malin</v>
          </cell>
          <cell r="C14">
            <v>0.15</v>
          </cell>
        </row>
        <row r="15">
          <cell r="B15" t="str">
            <v>Mich Conn</v>
          </cell>
          <cell r="C15">
            <v>0.28499999999999998</v>
          </cell>
        </row>
        <row r="16">
          <cell r="B16" t="str">
            <v>Midcon</v>
          </cell>
          <cell r="C16">
            <v>-0.16</v>
          </cell>
        </row>
        <row r="17">
          <cell r="B17" t="str">
            <v>ML3</v>
          </cell>
          <cell r="C17">
            <v>0.28499999999999998</v>
          </cell>
        </row>
        <row r="18">
          <cell r="B18" t="str">
            <v>ML7</v>
          </cell>
          <cell r="C18">
            <v>0.29499999999999998</v>
          </cell>
        </row>
        <row r="19">
          <cell r="B19" t="str">
            <v>NGPL LA</v>
          </cell>
          <cell r="C19">
            <v>-0.06</v>
          </cell>
        </row>
        <row r="20">
          <cell r="B20" t="str">
            <v>Leidy</v>
          </cell>
          <cell r="C20">
            <v>0.85</v>
          </cell>
        </row>
        <row r="21">
          <cell r="B21" t="str">
            <v>Panhandle</v>
          </cell>
          <cell r="C21">
            <v>-0.14000000000000001</v>
          </cell>
        </row>
        <row r="22">
          <cell r="B22" t="str">
            <v>Parkway</v>
          </cell>
          <cell r="C22">
            <v>0.52</v>
          </cell>
        </row>
        <row r="23">
          <cell r="B23" t="str">
            <v>NGPL SoTx</v>
          </cell>
          <cell r="C23">
            <v>-0.1</v>
          </cell>
        </row>
        <row r="24">
          <cell r="B24" t="str">
            <v>St. Clair</v>
          </cell>
          <cell r="C24">
            <v>0.32500000000000001</v>
          </cell>
        </row>
        <row r="25">
          <cell r="B25" t="str">
            <v>TCO</v>
          </cell>
          <cell r="C25">
            <v>0.28000000000000003</v>
          </cell>
        </row>
        <row r="26">
          <cell r="B26" t="str">
            <v>TENN LA</v>
          </cell>
          <cell r="C26">
            <v>-6.5000000000000002E-2</v>
          </cell>
        </row>
        <row r="27">
          <cell r="B27" t="str">
            <v>TNZ6</v>
          </cell>
          <cell r="C27">
            <v>0.85</v>
          </cell>
        </row>
        <row r="28">
          <cell r="B28" t="str">
            <v>TXOK</v>
          </cell>
          <cell r="C28">
            <v>-9.2499999999999999E-2</v>
          </cell>
        </row>
        <row r="29">
          <cell r="B29" t="str">
            <v>Ventura</v>
          </cell>
          <cell r="C29">
            <v>0.06</v>
          </cell>
        </row>
        <row r="30">
          <cell r="B30" t="str">
            <v>Trunk/LA</v>
          </cell>
          <cell r="C30">
            <v>-5.2499999999999998E-2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30"/>
  <sheetViews>
    <sheetView workbookViewId="0">
      <selection activeCell="F9" sqref="F9"/>
    </sheetView>
  </sheetViews>
  <sheetFormatPr defaultRowHeight="12.75"/>
  <cols>
    <col min="1" max="1" width="7" customWidth="1"/>
    <col min="2" max="2" width="13.85546875" bestFit="1" customWidth="1"/>
    <col min="3" max="3" width="8.140625" customWidth="1"/>
    <col min="4" max="4" width="8.28515625" customWidth="1"/>
    <col min="5" max="6" width="7.5703125" customWidth="1"/>
    <col min="8" max="8" width="10.85546875" customWidth="1"/>
    <col min="9" max="9" width="8.85546875" customWidth="1"/>
    <col min="10" max="10" width="8.140625" customWidth="1"/>
    <col min="11" max="11" width="13.28515625" customWidth="1"/>
    <col min="12" max="12" width="10.42578125" customWidth="1"/>
    <col min="13" max="13" width="8.5703125" customWidth="1"/>
    <col min="14" max="14" width="8.28515625" customWidth="1"/>
    <col min="15" max="15" width="9" bestFit="1" customWidth="1"/>
  </cols>
  <sheetData>
    <row r="1" spans="1:15" ht="15.75">
      <c r="B1" s="16" t="s">
        <v>44</v>
      </c>
      <c r="C1" s="17" t="e">
        <f>(M3+N3)/2</f>
        <v>#N/A</v>
      </c>
      <c r="D1" s="18"/>
      <c r="E1" s="19"/>
      <c r="F1" s="20" t="s">
        <v>45</v>
      </c>
      <c r="G1" s="21" t="e">
        <f>C1-E4</f>
        <v>#N/A</v>
      </c>
      <c r="H1" s="100"/>
      <c r="I1" s="101"/>
      <c r="J1" s="105"/>
      <c r="M1" s="23" t="s">
        <v>46</v>
      </c>
      <c r="N1" s="15"/>
    </row>
    <row r="2" spans="1:15" ht="13.5" thickBot="1">
      <c r="B2" s="22"/>
      <c r="C2" s="18"/>
      <c r="D2" s="18"/>
      <c r="E2" s="18"/>
      <c r="F2" s="18"/>
      <c r="G2" s="24"/>
      <c r="H2" s="24" t="s">
        <v>47</v>
      </c>
      <c r="I2" s="24"/>
      <c r="L2" s="25"/>
      <c r="M2" s="26" t="s">
        <v>48</v>
      </c>
      <c r="N2" s="27" t="s">
        <v>34</v>
      </c>
    </row>
    <row r="3" spans="1:15" ht="14.25" thickTop="1" thickBot="1">
      <c r="B3" s="28"/>
      <c r="C3" s="29" t="s">
        <v>49</v>
      </c>
      <c r="D3" s="30" t="s">
        <v>50</v>
      </c>
      <c r="E3" s="31" t="s">
        <v>51</v>
      </c>
      <c r="F3" s="32" t="s">
        <v>50</v>
      </c>
      <c r="G3" s="33" t="s">
        <v>52</v>
      </c>
      <c r="H3" s="34" t="s">
        <v>92</v>
      </c>
      <c r="I3" s="35" t="s">
        <v>53</v>
      </c>
      <c r="L3" s="36" t="s">
        <v>52</v>
      </c>
      <c r="M3" s="37" t="e">
        <f>VLOOKUP(49613,EOL!D:H,4,0)</f>
        <v>#N/A</v>
      </c>
      <c r="N3" s="38" t="e">
        <f>VLOOKUP(49613,EOL!D:H,5,0)</f>
        <v>#N/A</v>
      </c>
    </row>
    <row r="4" spans="1:15" ht="13.5" thickTop="1">
      <c r="A4" s="39" t="s">
        <v>54</v>
      </c>
      <c r="B4" s="36" t="s">
        <v>40</v>
      </c>
      <c r="C4" s="40" t="e">
        <f>VLOOKUP(27763,EOL!D:H,3,0)</f>
        <v>#N/A</v>
      </c>
      <c r="D4" s="41"/>
      <c r="E4" s="42" t="e">
        <f>IF(VLOOKUP(28312,EOL!D:K,8,0)="A",VLOOKUP(28312,EOL!D:K,3,0),IF(VLOOKUP(28251,EOL!D:K,8,0)="A",VLOOKUP(28251,EOL!D:K,3,0),"-"))</f>
        <v>#N/A</v>
      </c>
      <c r="F4" s="91"/>
      <c r="G4" s="124" t="e">
        <f>VLOOKUP(37083,EOL!D:H,3,0)</f>
        <v>#N/A</v>
      </c>
      <c r="H4" s="125" t="e">
        <f>VLOOKUP(37084,EOL!D:I,3,0)</f>
        <v>#N/A</v>
      </c>
      <c r="I4" s="126" t="e">
        <f>VLOOKUP(37879,EOL!D:H,3,0)</f>
        <v>#N/A</v>
      </c>
      <c r="L4" s="112" t="s">
        <v>92</v>
      </c>
      <c r="M4" s="37" t="e">
        <f>VLOOKUP(49615,EOL!D:H,4,0)</f>
        <v>#N/A</v>
      </c>
      <c r="N4" s="38" t="e">
        <f>VLOOKUP(49615,EOL!D:H,5,0)</f>
        <v>#N/A</v>
      </c>
      <c r="O4" s="104"/>
    </row>
    <row r="5" spans="1:15">
      <c r="A5" s="39" t="s">
        <v>55</v>
      </c>
      <c r="B5" s="36" t="s">
        <v>41</v>
      </c>
      <c r="C5" s="84" t="e">
        <f>VLOOKUP(27771,EOL!D:H,3,0)</f>
        <v>#N/A</v>
      </c>
      <c r="D5" s="41" t="e">
        <f>IF(C5="-","-",C5-$C$4)</f>
        <v>#N/A</v>
      </c>
      <c r="E5" s="42" t="e">
        <f>IF(VLOOKUP(28194,EOL!D:K,8,0)="A",VLOOKUP(28194,EOL!D:K,3,0),IF(VLOOKUP(28166,EOL!D:K,8,0)="A",VLOOKUP(28166,EOL!D:K,3,0),"-"))</f>
        <v>#N/A</v>
      </c>
      <c r="F5" s="97" t="e">
        <f>IF(E5="-","-",E5-E$4)</f>
        <v>#N/A</v>
      </c>
      <c r="G5" s="124" t="e">
        <f>VLOOKUP(36167,EOL!D:H,3,0)</f>
        <v>#N/A</v>
      </c>
      <c r="H5" s="125" t="e">
        <f>VLOOKUP(36168,EOL!D:I,3,0)</f>
        <v>#N/A</v>
      </c>
      <c r="I5" s="126" t="e">
        <f>VLOOKUP(37882,EOL!D:H,3,0)</f>
        <v>#N/A</v>
      </c>
      <c r="L5" s="36" t="s">
        <v>59</v>
      </c>
      <c r="M5" s="37" t="e">
        <f>VLOOKUP(35353,EOL!D:H,4,0)</f>
        <v>#N/A</v>
      </c>
      <c r="N5" s="38" t="e">
        <f>VLOOKUP(35353,EOL!D:H,5,0)</f>
        <v>#N/A</v>
      </c>
    </row>
    <row r="6" spans="1:15">
      <c r="A6" s="39" t="s">
        <v>56</v>
      </c>
      <c r="B6" s="36" t="s">
        <v>57</v>
      </c>
      <c r="C6" s="84" t="e">
        <f>VLOOKUP(27759,EOL!D:H,3,0)</f>
        <v>#N/A</v>
      </c>
      <c r="D6" s="41" t="e">
        <f>IF(C6="-","-",C6-$C$4)</f>
        <v>#N/A</v>
      </c>
      <c r="E6" s="42" t="e">
        <f>IF(VLOOKUP(28204,EOL!D:K,8,0)="A",VLOOKUP(28204,EOL!D:K,3,0),IF(VLOOKUP(28205,EOL!D:K,8,0)="A",VLOOKUP(28205,EOL!D:K,3,0),"-"))</f>
        <v>#N/A</v>
      </c>
      <c r="F6" s="97" t="e">
        <f>IF(E6="-","-",E6-E$4)</f>
        <v>#N/A</v>
      </c>
      <c r="G6" s="124" t="e">
        <f>VLOOKUP(36094,EOL!D:H,3,0)</f>
        <v>#N/A</v>
      </c>
      <c r="H6" s="125" t="e">
        <f>VLOOKUP(36095,EOL!D:I,3,0)</f>
        <v>#N/A</v>
      </c>
      <c r="I6" s="126" t="e">
        <f>VLOOKUP(37878,EOL!D:H,3,0)</f>
        <v>#N/A</v>
      </c>
      <c r="L6" s="48" t="s">
        <v>60</v>
      </c>
      <c r="M6" s="57" t="e">
        <f>VLOOKUP(48724,EOL!D:H,4,0)</f>
        <v>#N/A</v>
      </c>
      <c r="N6" s="58" t="e">
        <f>VLOOKUP(48724,EOL!D:H,5,0)</f>
        <v>#N/A</v>
      </c>
      <c r="O6" s="105"/>
    </row>
    <row r="7" spans="1:15">
      <c r="A7" s="47" t="s">
        <v>58</v>
      </c>
      <c r="B7" s="48" t="s">
        <v>43</v>
      </c>
      <c r="C7" s="85" t="e">
        <f>VLOOKUP(27767,EOL!D:H,3,0)</f>
        <v>#N/A</v>
      </c>
      <c r="D7" s="49" t="e">
        <f>IF(C7="-","-",C7-$C$4)</f>
        <v>#N/A</v>
      </c>
      <c r="E7" s="50"/>
      <c r="F7" s="98"/>
      <c r="G7" s="127" t="e">
        <f>VLOOKUP(36165,EOL!D:H,3,0)</f>
        <v>#N/A</v>
      </c>
      <c r="H7" s="128" t="e">
        <f>VLOOKUP(36166,EOL!D:I,3,0)</f>
        <v>#N/A</v>
      </c>
      <c r="I7" s="129" t="e">
        <f>VLOOKUP(37881,EOL!D:H,3,0)</f>
        <v>#N/A</v>
      </c>
    </row>
    <row r="8" spans="1:15" ht="11.25" customHeight="1">
      <c r="A8" s="54"/>
      <c r="C8" s="55"/>
      <c r="D8" s="56"/>
      <c r="E8" s="55"/>
      <c r="F8" s="93"/>
      <c r="G8" s="46"/>
      <c r="H8" s="46"/>
    </row>
    <row r="9" spans="1:15">
      <c r="A9" s="54"/>
      <c r="B9" s="22"/>
      <c r="C9" s="59"/>
      <c r="D9" s="44"/>
      <c r="E9" s="59"/>
      <c r="F9" s="94"/>
      <c r="G9" s="60"/>
      <c r="H9" s="60"/>
    </row>
    <row r="10" spans="1:15" ht="13.5" thickBot="1">
      <c r="A10" s="61" t="s">
        <v>61</v>
      </c>
      <c r="B10" s="28"/>
      <c r="C10" s="62" t="s">
        <v>49</v>
      </c>
      <c r="D10" s="63" t="s">
        <v>50</v>
      </c>
      <c r="E10" s="64" t="s">
        <v>51</v>
      </c>
      <c r="F10" s="95" t="s">
        <v>50</v>
      </c>
      <c r="G10" s="65" t="s">
        <v>52</v>
      </c>
      <c r="H10" s="66" t="s">
        <v>92</v>
      </c>
      <c r="I10" s="67" t="s">
        <v>53</v>
      </c>
      <c r="M10" s="68" t="s">
        <v>62</v>
      </c>
    </row>
    <row r="11" spans="1:15" ht="14.25" thickTop="1" thickBot="1">
      <c r="A11" s="61" t="s">
        <v>63</v>
      </c>
      <c r="B11" s="36" t="s">
        <v>64</v>
      </c>
      <c r="C11" s="84" t="e">
        <f>VLOOKUP(27947,EOL!D:H,3,0)</f>
        <v>#N/A</v>
      </c>
      <c r="D11" s="41" t="e">
        <f>IF(C11="-","-",C11-$C$4)</f>
        <v>#N/A</v>
      </c>
      <c r="E11" s="90" t="e">
        <f>IF(VLOOKUP(28167,EOL!D:K,8,0)="A",VLOOKUP(28167,EOL!D:K,3,0),IF(VLOOKUP(28195,EOL!D:K,8,0)="A",VLOOKUP(28195,EOL!D:K,3,0),"-"))</f>
        <v>#N/A</v>
      </c>
      <c r="F11" s="96" t="e">
        <f>IF(E11="-","-",E11-E$4)</f>
        <v>#N/A</v>
      </c>
      <c r="G11" s="43" t="e">
        <f>VLOOKUP(36169,EOL!D:H,3,0)</f>
        <v>#N/A</v>
      </c>
      <c r="H11" s="23" t="e">
        <f>VLOOKUP(36170,EOL!D:H,3,0)</f>
        <v>#N/A</v>
      </c>
      <c r="I11" s="76" t="e">
        <f>VLOOKUP(35000,EOL!D:H,3,0)</f>
        <v>#N/A</v>
      </c>
      <c r="L11" s="117"/>
      <c r="M11" s="69" t="s">
        <v>48</v>
      </c>
      <c r="N11" s="27" t="s">
        <v>34</v>
      </c>
    </row>
    <row r="12" spans="1:15" ht="13.5" thickTop="1">
      <c r="A12" s="61" t="s">
        <v>65</v>
      </c>
      <c r="B12" s="36" t="s">
        <v>42</v>
      </c>
      <c r="C12" s="84" t="e">
        <f>VLOOKUP(27830,EOL!D:H,3,0)</f>
        <v>#N/A</v>
      </c>
      <c r="D12" s="41" t="e">
        <f>IF(C12="-","-",C12-$C$4)</f>
        <v>#N/A</v>
      </c>
      <c r="E12" s="42" t="e">
        <f>IF(VLOOKUP(28193,EOL!D:K,8,0)="A",VLOOKUP(28193,EOL!D:K,3,0),IF(VLOOKUP(28165,EOL!D:K,8,0)="A",VLOOKUP(28165,EOL!D:K,3,0),"-"))</f>
        <v>#N/A</v>
      </c>
      <c r="F12" s="97" t="e">
        <f>IF(E12="-","-",E12-E$4)</f>
        <v>#N/A</v>
      </c>
      <c r="G12" s="43" t="e">
        <f>VLOOKUP(37103,EOL!D:H,3,0)</f>
        <v>#N/A</v>
      </c>
      <c r="H12" s="23" t="e">
        <f>VLOOKUP(37104,EOL!D:H,3,0)</f>
        <v>#N/A</v>
      </c>
      <c r="I12" s="45" t="e">
        <f>VLOOKUP(34999,EOL!D:H,3,0)</f>
        <v>#N/A</v>
      </c>
      <c r="L12" s="70" t="s">
        <v>22</v>
      </c>
      <c r="M12" s="72" t="e">
        <f>VLOOKUP(49625,EOL!D:H,4,0)</f>
        <v>#N/A</v>
      </c>
      <c r="N12" s="71" t="e">
        <f>VLOOKUP(49625,EOL!D:H,5,0)</f>
        <v>#N/A</v>
      </c>
    </row>
    <row r="13" spans="1:15">
      <c r="A13" s="61" t="s">
        <v>66</v>
      </c>
      <c r="B13" s="36" t="s">
        <v>67</v>
      </c>
      <c r="C13" s="84" t="e">
        <f>VLOOKUP(27766,EOL!D:H,3,0)</f>
        <v>#N/A</v>
      </c>
      <c r="D13" s="41" t="e">
        <f>IF(C13="-","-",C13-$C$4)</f>
        <v>#N/A</v>
      </c>
      <c r="E13" s="42" t="e">
        <f>IF(VLOOKUP(28271,EOL!D:K,8,0)="A",VLOOKUP(28271,EOL!D:K,3,0),IF(VLOOKUP(28270,EOL!D:K,8,0)="A",VLOOKUP(28270,EOL!D:K,3,0),"-"))</f>
        <v>#N/A</v>
      </c>
      <c r="F13" s="97" t="e">
        <f>IF(E13="-","-",E13-E$4)</f>
        <v>#N/A</v>
      </c>
      <c r="G13" s="43" t="e">
        <f>VLOOKUP(36161,EOL!D:H,3,0)</f>
        <v>#N/A</v>
      </c>
      <c r="H13" s="23" t="e">
        <f>VLOOKUP(36162,EOL!D:H,3,0)</f>
        <v>#N/A</v>
      </c>
      <c r="I13" s="45" t="e">
        <f>VLOOKUP(34998,EOL!D:H,3,0)</f>
        <v>#N/A</v>
      </c>
      <c r="L13" s="73" t="s">
        <v>23</v>
      </c>
      <c r="M13" s="118" t="e">
        <f>M5-N3</f>
        <v>#N/A</v>
      </c>
      <c r="N13" s="58" t="e">
        <f>N5-M3</f>
        <v>#N/A</v>
      </c>
    </row>
    <row r="14" spans="1:15">
      <c r="A14" s="61" t="s">
        <v>68</v>
      </c>
      <c r="B14" s="48" t="s">
        <v>69</v>
      </c>
      <c r="C14" s="85" t="e">
        <f>VLOOKUP(27754,EOL!D:H,3,0)</f>
        <v>#N/A</v>
      </c>
      <c r="D14" s="49" t="e">
        <f>IF(C14="-","-",C14-$C$4)</f>
        <v>#N/A</v>
      </c>
      <c r="E14" s="50" t="e">
        <f>IF(VLOOKUP(28202,EOL!D:K,8,0)="A",VLOOKUP(28202,EOL!D:K,3,0),IF(VLOOKUP(28203,EOL!D:K,8,0)="A",VLOOKUP(28203,EOL!D:K,3,0),"-"))</f>
        <v>#N/A</v>
      </c>
      <c r="F14" s="98" t="e">
        <f>IF(E14="-","-",E14-E$4)</f>
        <v>#N/A</v>
      </c>
      <c r="G14" s="51" t="e">
        <f>VLOOKUP(37071,EOL!D:H,3,0)</f>
        <v>#N/A</v>
      </c>
      <c r="H14" s="103" t="e">
        <f>VLOOKUP(37073,EOL!D:H,3,0)</f>
        <v>#N/A</v>
      </c>
      <c r="I14" s="53" t="e">
        <f>VLOOKUP(34993,EOL!D:H,3,0)</f>
        <v>#N/A</v>
      </c>
      <c r="L14" s="147"/>
      <c r="M14" s="37"/>
      <c r="N14" s="37"/>
    </row>
    <row r="15" spans="1:15">
      <c r="A15" s="61" t="s">
        <v>70</v>
      </c>
      <c r="C15" s="55"/>
      <c r="D15" s="56"/>
      <c r="E15" s="55"/>
      <c r="F15" s="93"/>
      <c r="G15" s="56"/>
      <c r="H15" s="56"/>
      <c r="I15" s="56"/>
    </row>
    <row r="16" spans="1:15">
      <c r="A16" s="54"/>
      <c r="B16" s="22"/>
      <c r="C16" s="59"/>
      <c r="D16" s="44"/>
      <c r="E16" s="59"/>
      <c r="F16" s="94"/>
      <c r="G16" s="60"/>
      <c r="H16" s="60" t="s">
        <v>47</v>
      </c>
      <c r="I16" s="60"/>
      <c r="M16" s="109" t="s">
        <v>24</v>
      </c>
    </row>
    <row r="17" spans="1:15" ht="13.5" thickBot="1">
      <c r="A17" s="74" t="s">
        <v>71</v>
      </c>
      <c r="B17" s="28"/>
      <c r="C17" s="75" t="s">
        <v>49</v>
      </c>
      <c r="D17" s="63" t="s">
        <v>50</v>
      </c>
      <c r="E17" s="64" t="s">
        <v>51</v>
      </c>
      <c r="F17" s="95" t="s">
        <v>50</v>
      </c>
      <c r="G17" s="65" t="s">
        <v>52</v>
      </c>
      <c r="H17" s="66" t="s">
        <v>92</v>
      </c>
      <c r="I17" s="67" t="s">
        <v>53</v>
      </c>
      <c r="K17" s="54"/>
      <c r="L17" s="122" t="s">
        <v>29</v>
      </c>
      <c r="M17" s="106" t="s">
        <v>30</v>
      </c>
      <c r="N17" s="138" t="s">
        <v>52</v>
      </c>
      <c r="O17" s="139" t="s">
        <v>28</v>
      </c>
    </row>
    <row r="18" spans="1:15" ht="13.5" thickTop="1">
      <c r="A18" s="74" t="s">
        <v>72</v>
      </c>
      <c r="B18" s="36" t="s">
        <v>73</v>
      </c>
      <c r="C18" s="86" t="e">
        <f>VLOOKUP(27819,EOL!D:H,3,0)</f>
        <v>#N/A</v>
      </c>
      <c r="D18" s="41" t="e">
        <f>IF(C18="-","-",C18-$C$4)</f>
        <v>#N/A</v>
      </c>
      <c r="E18" s="42" t="e">
        <f>IF(VLOOKUP(28206,EOL!D:K,8,0)="A",VLOOKUP(28206,EOL!D:K,3,0),IF(VLOOKUP(28319,EOL!D:K,8,0)="A",VLOOKUP(28319,EOL!D:K,3,0),"-"))</f>
        <v>#N/A</v>
      </c>
      <c r="F18" s="92" t="e">
        <f>IF(E18="-","-",E18-E$4)</f>
        <v>#N/A</v>
      </c>
      <c r="G18" s="44" t="e">
        <f>VLOOKUP(36100,EOL!D:H,3,0)</f>
        <v>#N/A</v>
      </c>
      <c r="H18" s="44" t="e">
        <f>VLOOKUP(36101,EOL!D:H,3,0)</f>
        <v>#N/A</v>
      </c>
      <c r="I18" s="76" t="e">
        <f>VLOOKUP(29762,EOL!D:H,3,0)</f>
        <v>#N/A</v>
      </c>
      <c r="K18" s="14" t="s">
        <v>25</v>
      </c>
      <c r="L18" s="72" t="e">
        <f>IF(VLOOKUP(54117,EOL!D:K,8,0)="A",(VLOOKUP(54117,EOL!D:H,4,0)+VLOOKUP(54117,EOL!D:H,5,0))/2,"-")</f>
        <v>#N/A</v>
      </c>
      <c r="M18" s="68" t="e">
        <f>IF(VLOOKUP(32233,EOL!D:K,8,0)="A",(VLOOKUP(32233,EOL!D:H,4,0)+VLOOKUP(32233,EOL!D:H,5,0))/2,"-")</f>
        <v>#N/A</v>
      </c>
      <c r="N18" s="71" t="e">
        <f>IF(VLOOKUP(40519,EOL!D:K,8,0)="A",(VLOOKUP(40519,EOL!D:H,4,0)+VLOOKUP(40519,EOL!D:H,5,0))/2,"-")</f>
        <v>#N/A</v>
      </c>
      <c r="O18" s="72" t="e">
        <f>IF(VLOOKUP(54962,EOL!D:K,8,0)="A",(VLOOKUP(54962,EOL!D:H,4,0)+VLOOKUP(54962,EOL!D:H,5,0))/2,"-")</f>
        <v>#N/A</v>
      </c>
    </row>
    <row r="19" spans="1:15">
      <c r="A19" s="74" t="s">
        <v>74</v>
      </c>
      <c r="B19" s="36" t="s">
        <v>75</v>
      </c>
      <c r="C19" s="86" t="e">
        <f>VLOOKUP(27760,EOL!D:H,3,0)</f>
        <v>#N/A</v>
      </c>
      <c r="D19" s="41" t="e">
        <f>IF(C19="-","-",C19-$C$4)</f>
        <v>#N/A</v>
      </c>
      <c r="E19" s="42" t="e">
        <f>IF(VLOOKUP(28923,EOL!D:K,8,0)="A",VLOOKUP(28923,EOL!D:K,3,0),IF(VLOOKUP(28924,EOL!D:K,8,0)="A",VLOOKUP(28924,EOL!D:K,3,0),"-"))</f>
        <v>#N/A</v>
      </c>
      <c r="F19" s="92" t="e">
        <f>IF(E19="-","-",E19-E$4)</f>
        <v>#N/A</v>
      </c>
      <c r="G19" s="44" t="e">
        <f>VLOOKUP(37096,EOL!D:H,3,0)</f>
        <v>#N/A</v>
      </c>
      <c r="H19" s="44" t="e">
        <f>VLOOKUP(37098,EOL!D:H,3,0)</f>
        <v>#N/A</v>
      </c>
      <c r="I19" s="45" t="e">
        <f>VLOOKUP(38153,EOL!D:H,3,0)</f>
        <v>#N/A</v>
      </c>
      <c r="K19" s="14"/>
      <c r="L19" s="72"/>
      <c r="M19" s="68"/>
      <c r="N19" s="71"/>
      <c r="O19" s="72"/>
    </row>
    <row r="20" spans="1:15">
      <c r="A20" s="74" t="s">
        <v>66</v>
      </c>
      <c r="B20" s="36" t="s">
        <v>76</v>
      </c>
      <c r="C20" s="86" t="e">
        <f>VLOOKUP(27764,EOL!D:H,3,0)</f>
        <v>#N/A</v>
      </c>
      <c r="D20" s="41" t="e">
        <f>IF(C20="-","-",C20-$C$4)</f>
        <v>#N/A</v>
      </c>
      <c r="E20" s="42" t="e">
        <f>IF(VLOOKUP(28257,EOL!D:K,8,0)="A",VLOOKUP(28257,EOL!D:K,3,0),IF(VLOOKUP(28256,EOL!D:K,8,0)="A",VLOOKUP(28256,EOL!D:K,3,0),"-"))</f>
        <v>#N/A</v>
      </c>
      <c r="F20" s="92" t="e">
        <f>IF(E20="-","-",E20-E$4)</f>
        <v>#N/A</v>
      </c>
      <c r="G20" s="44" t="e">
        <f>VLOOKUP(36207,EOL!D:H,3,0)</f>
        <v>#N/A</v>
      </c>
      <c r="H20" s="44" t="e">
        <f>VLOOKUP(36208,EOL!D:H,3,0)</f>
        <v>#N/A</v>
      </c>
      <c r="I20" s="45" t="e">
        <f>VLOOKUP(38153,EOL!D:H,3,0)</f>
        <v>#N/A</v>
      </c>
      <c r="K20" s="14" t="s">
        <v>26</v>
      </c>
      <c r="L20" s="72" t="e">
        <f>IF(VLOOKUP(52917,EOL!D:K,8,0)="A",(VLOOKUP(52917,EOL!D:H,4,0)+VLOOKUP(52917,EOL!D:H,5,0))/2,"-")</f>
        <v>#N/A</v>
      </c>
      <c r="M20" s="68" t="e">
        <f>IF(VLOOKUP(54994,EOL!D:K,8,0)="A",(VLOOKUP(54994,EOL!D:H,4,0)+VLOOKUP(54994,EOL!D:H,5,0))/2,"-")</f>
        <v>#N/A</v>
      </c>
      <c r="N20" s="71" t="e">
        <f>IF(VLOOKUP(40993,EOL!D:K,8,0)="A",(VLOOKUP(40993,EOL!D:H,4,0)+VLOOKUP(40993,EOL!D:H,5,0))/2,"-")</f>
        <v>#N/A</v>
      </c>
      <c r="O20" s="72" t="e">
        <f>IF(VLOOKUP(54992,EOL!D:K,8,0)="A",(VLOOKUP(54992,EOL!D:H,4,0)+VLOOKUP(54992,EOL!D:H,5,0))/2,"-")</f>
        <v>#N/A</v>
      </c>
    </row>
    <row r="21" spans="1:15">
      <c r="A21" s="74" t="s">
        <v>77</v>
      </c>
      <c r="B21" s="36" t="s">
        <v>78</v>
      </c>
      <c r="C21" s="86" t="e">
        <f>VLOOKUP(29602,EOL!D:H,3,0)</f>
        <v>#N/A</v>
      </c>
      <c r="D21" s="41" t="e">
        <f>IF(C21="-","-",C21-$C$4)</f>
        <v>#N/A</v>
      </c>
      <c r="E21" s="42" t="e">
        <f>IF(VLOOKUP(29720,EOL!D:K,8,0)="A",VLOOKUP(29720,EOL!D:K,3,0),IF(VLOOKUP(29605,EOL!D:K,8,0)="A",VLOOKUP(29605,EOL!D:K,3,0),"-"))</f>
        <v>#N/A</v>
      </c>
      <c r="F21" s="92" t="e">
        <f>IF(E21="-","-",E21-E$4)</f>
        <v>#N/A</v>
      </c>
      <c r="G21" s="44"/>
      <c r="H21" s="44"/>
      <c r="I21" s="45"/>
      <c r="K21" s="14"/>
      <c r="L21" s="72"/>
      <c r="M21" s="68"/>
      <c r="N21" s="71"/>
      <c r="O21" s="72"/>
    </row>
    <row r="22" spans="1:15">
      <c r="A22" s="74" t="s">
        <v>79</v>
      </c>
      <c r="B22" s="48" t="s">
        <v>80</v>
      </c>
      <c r="C22" s="87" t="e">
        <f>VLOOKUP(29606,EOL!D:H,3,0)</f>
        <v>#N/A</v>
      </c>
      <c r="D22" s="49" t="e">
        <f>IF(C22="-","-",C22-$C$4)</f>
        <v>#N/A</v>
      </c>
      <c r="E22" s="50"/>
      <c r="F22" s="130"/>
      <c r="G22" s="52"/>
      <c r="H22" s="52"/>
      <c r="I22" s="53"/>
      <c r="K22" s="14" t="s">
        <v>27</v>
      </c>
      <c r="L22" s="107" t="e">
        <f>IF(VLOOKUP(29070,EOL!D:K,8,0)="A",(VLOOKUP(29070,EOL!D:H,4,0)+VLOOKUP(29070,EOL!D:H,5,0))/2,"-")</f>
        <v>#N/A</v>
      </c>
      <c r="M22" s="103" t="e">
        <f>IF(VLOOKUP(29065,EOL!D:K,8,0)="A",(VLOOKUP(29065,EOL!D:H,4,0)+VLOOKUP(29065,EOL!D:H,5,0))/2,"-")</f>
        <v>#N/A</v>
      </c>
      <c r="N22" s="108" t="e">
        <f>IF(VLOOKUP(40869,EOL!D:K,8,0)="A",(VLOOKUP(40869,EOL!D:H,4,0)+VLOOKUP(40869,EOL!D:H,5,0))/2,"-")</f>
        <v>#N/A</v>
      </c>
      <c r="O22" s="107" t="e">
        <f>IF(VLOOKUP(29066,EOL!D:K,8,0)="A",VLOOKUP(29066,EOL!D:K,3,0),IF(VLOOKUP(29066,EOL!D:K,8,0)="A",VLOOKUP(29066,EOL!D:K,3,0),"-"))</f>
        <v>#N/A</v>
      </c>
    </row>
    <row r="23" spans="1:15">
      <c r="A23" s="74" t="s">
        <v>81</v>
      </c>
      <c r="C23" s="55"/>
      <c r="D23" s="56"/>
      <c r="E23" s="55"/>
      <c r="F23" s="93"/>
      <c r="G23" s="46"/>
      <c r="H23" s="46"/>
      <c r="I23" s="46"/>
    </row>
    <row r="24" spans="1:15">
      <c r="A24" s="54"/>
      <c r="C24" s="55"/>
      <c r="D24" s="56"/>
      <c r="E24" s="55"/>
      <c r="F24" s="93"/>
      <c r="G24" s="46"/>
      <c r="H24" s="46"/>
      <c r="I24" s="46"/>
    </row>
    <row r="25" spans="1:15">
      <c r="A25" s="54"/>
      <c r="B25" s="22"/>
      <c r="C25" s="59"/>
      <c r="D25" s="44"/>
      <c r="E25" s="59"/>
      <c r="F25" s="94"/>
      <c r="G25" s="60"/>
      <c r="H25" s="60" t="s">
        <v>47</v>
      </c>
      <c r="I25" s="60"/>
      <c r="M25" s="23" t="s">
        <v>91</v>
      </c>
    </row>
    <row r="26" spans="1:15" ht="13.5" thickBot="1">
      <c r="A26" s="54"/>
      <c r="B26" s="77"/>
      <c r="C26" s="75" t="s">
        <v>49</v>
      </c>
      <c r="D26" s="78" t="s">
        <v>50</v>
      </c>
      <c r="E26" s="64" t="s">
        <v>51</v>
      </c>
      <c r="F26" s="95" t="s">
        <v>50</v>
      </c>
      <c r="G26" s="65" t="s">
        <v>52</v>
      </c>
      <c r="H26" s="66" t="s">
        <v>92</v>
      </c>
      <c r="I26" s="67" t="s">
        <v>53</v>
      </c>
      <c r="L26" s="119"/>
      <c r="M26" s="120" t="s">
        <v>33</v>
      </c>
      <c r="N26" s="121" t="s">
        <v>34</v>
      </c>
    </row>
    <row r="27" spans="1:15" ht="13.5" thickTop="1">
      <c r="A27" s="79" t="s">
        <v>82</v>
      </c>
      <c r="B27" s="80" t="s">
        <v>83</v>
      </c>
      <c r="C27" s="86" t="e">
        <f>VLOOKUP(27765,EOL!D:H,3,0)</f>
        <v>#N/A</v>
      </c>
      <c r="D27" s="81" t="e">
        <f>IF(C27="-","-",C27-$C$4)</f>
        <v>#N/A</v>
      </c>
      <c r="E27" s="90" t="e">
        <f>IF(VLOOKUP(28317,EOL!D:K,8,0)="A",VLOOKUP(28317,EOL!D:K,3,0),IF(VLOOKUP(28266,EOL!D:K,8,0)="A",VLOOKUP(28266,EOL!D:K,3,0),"-"))</f>
        <v>#N/A</v>
      </c>
      <c r="F27" s="96" t="e">
        <f>IF(E27="-","-",E27-E$4)</f>
        <v>#N/A</v>
      </c>
      <c r="G27" s="131" t="e">
        <f>VLOOKUP(39256,EOL!D:H,3,0)</f>
        <v>#N/A</v>
      </c>
      <c r="H27" s="132" t="e">
        <f>VLOOKUP(39258,EOL!D:H,3,0)</f>
        <v>#N/A</v>
      </c>
      <c r="I27" s="133" t="e">
        <f>VLOOKUP(45213,EOL!D:H,3,0)</f>
        <v>#N/A</v>
      </c>
      <c r="L27" s="110" t="s">
        <v>20</v>
      </c>
      <c r="M27" s="115" t="e">
        <f>IF(VLOOKUP(44327,EOL!D:K,8,0)="A",(VLOOKUP(44327,EOL!D:H,4,0)*1.04+2.71)/6.32,"-")</f>
        <v>#N/A</v>
      </c>
      <c r="N27" s="111" t="e">
        <f>IF(VLOOKUP(44327,EOL!D:K,8,0)="A",(VLOOKUP(44327,EOL!D:H,5,0)*1.04+2.71)/6.32,"-")</f>
        <v>#N/A</v>
      </c>
    </row>
    <row r="28" spans="1:15">
      <c r="A28" s="79" t="s">
        <v>84</v>
      </c>
      <c r="B28" s="80" t="s">
        <v>85</v>
      </c>
      <c r="C28" s="86" t="e">
        <f>VLOOKUP(27762,EOL!D:H,3,0)</f>
        <v>#N/A</v>
      </c>
      <c r="D28" s="81" t="e">
        <f>IF(C28="-","-",C28-$C$4)</f>
        <v>#N/A</v>
      </c>
      <c r="E28" s="42" t="e">
        <f>IF(VLOOKUP(28324,EOL!D:K,8,0)="A",VLOOKUP(28324,EOL!D:K,3,0),IF(VLOOKUP(48140,EOL!D:K,8,0)="A",VLOOKUP(48140,EOL!D:K,3,0),"-"))</f>
        <v>#N/A</v>
      </c>
      <c r="F28" s="97" t="e">
        <f>IF(E28="-","-",E28-E$4)</f>
        <v>#N/A</v>
      </c>
      <c r="G28" s="131" t="e">
        <f>VLOOKUP(36213,EOL!D:H,3,0)</f>
        <v>#N/A</v>
      </c>
      <c r="H28" s="132" t="e">
        <f>VLOOKUP(36214,EOL!D:H,3,0)</f>
        <v>#N/A</v>
      </c>
      <c r="I28" s="134" t="e">
        <f>VLOOKUP(34973,EOL!D:H,3,0)</f>
        <v>#N/A</v>
      </c>
      <c r="L28" s="112" t="s">
        <v>21</v>
      </c>
      <c r="M28" s="115" t="e">
        <f>IF(VLOOKUP(44329,EOL!D:K,8,0)="A",(VLOOKUP(44329,EOL!D:H,4,0)*1.04+2.71)/6.32,"-")</f>
        <v>#N/A</v>
      </c>
      <c r="N28" s="111" t="e">
        <f>IF(VLOOKUP(44329,EOL!D:K,8,0)="A",(VLOOKUP(44329,EOL!D:H,5,0)*1.04+2.71)/6.32,"-")</f>
        <v>#N/A</v>
      </c>
    </row>
    <row r="29" spans="1:15">
      <c r="A29" s="79" t="s">
        <v>86</v>
      </c>
      <c r="B29" s="80" t="s">
        <v>87</v>
      </c>
      <c r="C29" s="86" t="e">
        <f>VLOOKUP(33884,EOL!D:H,3,0)</f>
        <v>#N/A</v>
      </c>
      <c r="D29" s="81" t="e">
        <f>IF(C29="-","-",C29-$C$4)</f>
        <v>#N/A</v>
      </c>
      <c r="E29" s="42" t="e">
        <f>IF(VLOOKUP(44746,EOL!D:K,8,0)="A",VLOOKUP(44746,EOL!D:K,3,0),IF(VLOOKUP(48078,EOL!D:K,8,0)="A",VLOOKUP(48078,EOL!D:K,3,0),"-"))</f>
        <v>#N/A</v>
      </c>
      <c r="F29" s="97" t="e">
        <f>IF(E29="-","-",E29-E$4)</f>
        <v>#N/A</v>
      </c>
      <c r="G29" s="131" t="e">
        <f>VLOOKUP(41283,EOL!D:H,3,0)</f>
        <v>#N/A</v>
      </c>
      <c r="H29" s="132" t="e">
        <f>VLOOKUP(41313,EOL!D:H,3,0)</f>
        <v>#N/A</v>
      </c>
      <c r="I29" s="134" t="e">
        <f>VLOOKUP(41229,EOL!D:H,3,0)</f>
        <v>#N/A</v>
      </c>
      <c r="L29" s="113"/>
      <c r="M29" s="116" t="e">
        <f>IF(VLOOKUP(44395,EOL!D:K,8,0)="A",(VLOOKUP(44395,EOL!D:H,4,0)*1.04+2.71)/6.32,"-")</f>
        <v>#N/A</v>
      </c>
      <c r="N29" s="114" t="e">
        <f>IF(VLOOKUP(44395,EOL!D:K,8,0)="A",(VLOOKUP(44395,EOL!D:H,5,0)*1.04+2.71)/6.32,"-")</f>
        <v>#N/A</v>
      </c>
    </row>
    <row r="30" spans="1:15">
      <c r="A30" s="79" t="s">
        <v>88</v>
      </c>
      <c r="B30" s="82" t="s">
        <v>89</v>
      </c>
      <c r="C30" s="85" t="e">
        <f>VLOOKUP(27664,EOL!D:H,3,0)</f>
        <v>#N/A</v>
      </c>
      <c r="D30" s="83" t="e">
        <f>IF(C30="-","-",C30-$C$4)</f>
        <v>#N/A</v>
      </c>
      <c r="E30" s="50" t="e">
        <f>IF(VLOOKUP(28273,EOL!D:K,8,0)="A",VLOOKUP(28273,EOL!D:K,3,0),IF(VLOOKUP(28325,EOL!D:K,8,0)="A",VLOOKUP(28325,EOL!D:K,3,0),"-"))</f>
        <v>#N/A</v>
      </c>
      <c r="F30" s="98" t="e">
        <f>IF(E30="-","-",E30-E$4)</f>
        <v>#N/A</v>
      </c>
      <c r="G30" s="135" t="e">
        <f>VLOOKUP(47099,EOL!D:H,3,0)</f>
        <v>#N/A</v>
      </c>
      <c r="H30" s="136" t="e">
        <f>VLOOKUP(37116,EOL!D:H,3,0)</f>
        <v>#N/A</v>
      </c>
      <c r="I30" s="137" t="e">
        <f>VLOOKUP(37322,EOL!D:H,3,0)</f>
        <v>#N/A</v>
      </c>
      <c r="K30" s="102"/>
    </row>
  </sheetData>
  <sheetCalcPr fullCalcOnLoad="1"/>
  <phoneticPr fontId="7" type="noConversion"/>
  <conditionalFormatting sqref="F4">
    <cfRule type="cellIs" dxfId="1" priority="1" stopIfTrue="1" operator="lessThan">
      <formula>0</formula>
    </cfRule>
  </conditionalFormatting>
  <conditionalFormatting sqref="F22">
    <cfRule type="cellIs" dxfId="0" priority="2" stopIfTrue="1" operator="lessThan">
      <formula>0</formula>
    </cfRule>
  </conditionalFormatting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4:B62"/>
  <sheetViews>
    <sheetView workbookViewId="0"/>
  </sheetViews>
  <sheetFormatPr defaultRowHeight="12.75"/>
  <cols>
    <col min="1" max="1" width="29.42578125" bestFit="1" customWidth="1"/>
    <col min="2" max="2" width="6" bestFit="1" customWidth="1"/>
  </cols>
  <sheetData>
    <row r="4" spans="1:2">
      <c r="A4" s="149" t="s">
        <v>0</v>
      </c>
    </row>
    <row r="5" spans="1:2">
      <c r="A5" s="2" t="s">
        <v>1</v>
      </c>
      <c r="B5" s="13"/>
    </row>
    <row r="6" spans="1:2">
      <c r="A6" s="2" t="s">
        <v>2</v>
      </c>
      <c r="B6" s="9">
        <v>37110</v>
      </c>
    </row>
    <row r="7" spans="1:2">
      <c r="A7" s="2" t="s">
        <v>3</v>
      </c>
      <c r="B7" s="9">
        <v>56036</v>
      </c>
    </row>
    <row r="8" spans="1:2">
      <c r="A8" s="2" t="s">
        <v>4</v>
      </c>
      <c r="B8" s="9">
        <v>37165</v>
      </c>
    </row>
    <row r="9" spans="1:2">
      <c r="A9" s="2" t="s">
        <v>5</v>
      </c>
      <c r="B9" s="9">
        <v>36315</v>
      </c>
    </row>
    <row r="10" spans="1:2">
      <c r="A10" s="2" t="s">
        <v>6</v>
      </c>
      <c r="B10" s="9">
        <v>36324</v>
      </c>
    </row>
    <row r="11" spans="1:2">
      <c r="A11" s="2" t="s">
        <v>7</v>
      </c>
      <c r="B11" s="9">
        <v>37134</v>
      </c>
    </row>
    <row r="12" spans="1:2">
      <c r="A12" s="2" t="s">
        <v>8</v>
      </c>
      <c r="B12" s="9">
        <v>40063</v>
      </c>
    </row>
    <row r="13" spans="1:2">
      <c r="A13" s="2" t="s">
        <v>9</v>
      </c>
      <c r="B13" s="9">
        <v>45854</v>
      </c>
    </row>
    <row r="14" spans="1:2">
      <c r="A14" s="2" t="s">
        <v>10</v>
      </c>
      <c r="B14" s="9">
        <v>37603</v>
      </c>
    </row>
    <row r="15" spans="1:2">
      <c r="A15" s="2" t="s">
        <v>11</v>
      </c>
      <c r="B15" s="9">
        <v>45850</v>
      </c>
    </row>
    <row r="16" spans="1:2">
      <c r="A16" s="2" t="s">
        <v>12</v>
      </c>
      <c r="B16" s="9">
        <v>40103</v>
      </c>
    </row>
    <row r="17" spans="1:2">
      <c r="A17" s="2" t="s">
        <v>13</v>
      </c>
      <c r="B17" s="9">
        <v>37602</v>
      </c>
    </row>
    <row r="18" spans="1:2">
      <c r="A18" s="2" t="s">
        <v>14</v>
      </c>
      <c r="B18" s="9">
        <v>40015</v>
      </c>
    </row>
    <row r="19" spans="1:2">
      <c r="A19" s="2" t="s">
        <v>15</v>
      </c>
      <c r="B19" s="9">
        <v>49649</v>
      </c>
    </row>
    <row r="20" spans="1:2">
      <c r="A20" s="2" t="s">
        <v>16</v>
      </c>
      <c r="B20" s="9">
        <v>36321</v>
      </c>
    </row>
    <row r="21" spans="1:2">
      <c r="A21" s="148" t="s">
        <v>19</v>
      </c>
      <c r="B21" s="9">
        <v>37197</v>
      </c>
    </row>
    <row r="22" spans="1:2">
      <c r="A22" s="2" t="s">
        <v>17</v>
      </c>
      <c r="B22" s="9">
        <v>37189</v>
      </c>
    </row>
    <row r="23" spans="1:2">
      <c r="A23" s="2" t="s">
        <v>18</v>
      </c>
      <c r="B23" s="9">
        <v>37306</v>
      </c>
    </row>
    <row r="26" spans="1:2">
      <c r="A26" s="150" t="s">
        <v>94</v>
      </c>
    </row>
    <row r="27" spans="1:2">
      <c r="A27" s="2" t="s">
        <v>95</v>
      </c>
      <c r="B27" s="13">
        <v>58074</v>
      </c>
    </row>
    <row r="28" spans="1:2">
      <c r="A28" s="2" t="s">
        <v>96</v>
      </c>
      <c r="B28" s="9">
        <v>58076</v>
      </c>
    </row>
    <row r="29" spans="1:2">
      <c r="A29" s="2" t="s">
        <v>97</v>
      </c>
      <c r="B29" s="9">
        <v>58078</v>
      </c>
    </row>
    <row r="30" spans="1:2">
      <c r="A30" s="2" t="s">
        <v>98</v>
      </c>
      <c r="B30" s="9">
        <v>64458</v>
      </c>
    </row>
    <row r="31" spans="1:2">
      <c r="A31" s="2" t="s">
        <v>99</v>
      </c>
      <c r="B31" s="9">
        <v>54674</v>
      </c>
    </row>
    <row r="32" spans="1:2">
      <c r="A32" s="2" t="s">
        <v>100</v>
      </c>
      <c r="B32" s="9">
        <v>48724</v>
      </c>
    </row>
    <row r="33" spans="1:2">
      <c r="A33" s="2" t="s">
        <v>101</v>
      </c>
      <c r="B33" s="9">
        <v>51173</v>
      </c>
    </row>
    <row r="36" spans="1:2">
      <c r="A36" s="151" t="s">
        <v>126</v>
      </c>
    </row>
    <row r="37" spans="1:2">
      <c r="A37" s="2" t="s">
        <v>102</v>
      </c>
      <c r="B37" s="13">
        <v>36483</v>
      </c>
    </row>
    <row r="38" spans="1:2">
      <c r="A38" s="2" t="s">
        <v>102</v>
      </c>
      <c r="B38" s="9">
        <v>54530</v>
      </c>
    </row>
    <row r="39" spans="1:2">
      <c r="A39" s="2" t="s">
        <v>103</v>
      </c>
      <c r="B39" s="9">
        <v>36484</v>
      </c>
    </row>
    <row r="40" spans="1:2">
      <c r="A40" s="2" t="s">
        <v>103</v>
      </c>
      <c r="B40" s="9">
        <v>54532</v>
      </c>
    </row>
    <row r="41" spans="1:2">
      <c r="A41" s="2" t="s">
        <v>104</v>
      </c>
      <c r="B41" s="9">
        <v>30045</v>
      </c>
    </row>
    <row r="42" spans="1:2">
      <c r="A42" s="2" t="s">
        <v>105</v>
      </c>
      <c r="B42" s="9">
        <v>33032</v>
      </c>
    </row>
    <row r="43" spans="1:2">
      <c r="A43" s="2" t="s">
        <v>106</v>
      </c>
      <c r="B43" s="9">
        <v>41001</v>
      </c>
    </row>
    <row r="44" spans="1:2">
      <c r="A44" s="2" t="s">
        <v>107</v>
      </c>
      <c r="B44" s="9">
        <v>53573</v>
      </c>
    </row>
    <row r="45" spans="1:2">
      <c r="A45" s="2" t="s">
        <v>108</v>
      </c>
      <c r="B45" s="9">
        <v>48656</v>
      </c>
    </row>
    <row r="46" spans="1:2">
      <c r="A46" s="2" t="s">
        <v>109</v>
      </c>
      <c r="B46" s="9">
        <v>48052</v>
      </c>
    </row>
    <row r="47" spans="1:2">
      <c r="A47" s="2" t="s">
        <v>110</v>
      </c>
      <c r="B47" s="9">
        <v>48054</v>
      </c>
    </row>
    <row r="48" spans="1:2">
      <c r="A48" s="2" t="s">
        <v>111</v>
      </c>
      <c r="B48" s="9">
        <v>48050</v>
      </c>
    </row>
    <row r="49" spans="1:2">
      <c r="A49" s="2" t="s">
        <v>112</v>
      </c>
      <c r="B49" s="9">
        <v>45311</v>
      </c>
    </row>
    <row r="50" spans="1:2">
      <c r="A50" s="2" t="s">
        <v>113</v>
      </c>
      <c r="B50" s="9">
        <v>33033</v>
      </c>
    </row>
    <row r="51" spans="1:2">
      <c r="A51" s="2" t="s">
        <v>114</v>
      </c>
      <c r="B51" s="9">
        <v>48658</v>
      </c>
    </row>
    <row r="52" spans="1:2">
      <c r="A52" s="2" t="s">
        <v>115</v>
      </c>
      <c r="B52" s="9">
        <v>33031</v>
      </c>
    </row>
    <row r="53" spans="1:2">
      <c r="A53" s="2" t="s">
        <v>116</v>
      </c>
      <c r="B53" s="9">
        <v>33309</v>
      </c>
    </row>
    <row r="54" spans="1:2">
      <c r="A54" s="2" t="s">
        <v>117</v>
      </c>
      <c r="B54" s="9">
        <v>55274</v>
      </c>
    </row>
    <row r="55" spans="1:2">
      <c r="A55" s="2" t="s">
        <v>118</v>
      </c>
      <c r="B55" s="9">
        <v>55276</v>
      </c>
    </row>
    <row r="56" spans="1:2">
      <c r="A56" s="2" t="s">
        <v>119</v>
      </c>
      <c r="B56" s="9">
        <v>53431</v>
      </c>
    </row>
    <row r="57" spans="1:2">
      <c r="A57" s="2" t="s">
        <v>120</v>
      </c>
      <c r="B57" s="9">
        <v>33034</v>
      </c>
    </row>
    <row r="58" spans="1:2">
      <c r="A58" s="2" t="s">
        <v>121</v>
      </c>
      <c r="B58" s="9">
        <v>55278</v>
      </c>
    </row>
    <row r="59" spans="1:2">
      <c r="A59" s="2" t="s">
        <v>122</v>
      </c>
      <c r="B59" s="9">
        <v>55280</v>
      </c>
    </row>
    <row r="60" spans="1:2">
      <c r="A60" s="2" t="s">
        <v>123</v>
      </c>
      <c r="B60" s="9">
        <v>50520</v>
      </c>
    </row>
    <row r="61" spans="1:2">
      <c r="A61" s="2" t="s">
        <v>124</v>
      </c>
      <c r="B61" s="9">
        <v>33035</v>
      </c>
    </row>
    <row r="62" spans="1:2">
      <c r="A62" s="2" t="s">
        <v>125</v>
      </c>
      <c r="B62" s="9">
        <v>50522</v>
      </c>
    </row>
  </sheetData>
  <phoneticPr fontId="7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L78"/>
  <sheetViews>
    <sheetView tabSelected="1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C4" sqref="C4"/>
    </sheetView>
  </sheetViews>
  <sheetFormatPr defaultRowHeight="12"/>
  <cols>
    <col min="1" max="1" width="11.85546875" style="2" customWidth="1"/>
    <col min="2" max="2" width="58.140625" style="2" hidden="1" customWidth="1"/>
    <col min="3" max="3" width="54.5703125" style="2" bestFit="1" customWidth="1"/>
    <col min="4" max="4" width="7" style="9" bestFit="1" customWidth="1"/>
    <col min="5" max="5" width="8.85546875" style="6" customWidth="1"/>
    <col min="6" max="6" width="7" style="88" customWidth="1"/>
    <col min="7" max="8" width="8.42578125" style="141" bestFit="1" customWidth="1"/>
    <col min="9" max="10" width="9.140625" style="2"/>
    <col min="11" max="11" width="6.28515625" style="12" bestFit="1" customWidth="1"/>
    <col min="12" max="12" width="9.140625" style="2"/>
    <col min="13" max="13" width="2.140625" style="2" bestFit="1" customWidth="1"/>
    <col min="14" max="14" width="10.140625" style="2" bestFit="1" customWidth="1"/>
    <col min="15" max="16384" width="9.140625" style="2"/>
  </cols>
  <sheetData>
    <row r="1" spans="2:12">
      <c r="B1" s="2" t="s">
        <v>37</v>
      </c>
      <c r="C1" s="8" t="s">
        <v>93</v>
      </c>
    </row>
    <row r="2" spans="2:12">
      <c r="C2" s="1" t="s">
        <v>31</v>
      </c>
      <c r="D2" s="10" t="s">
        <v>32</v>
      </c>
      <c r="F2" s="89" t="s">
        <v>90</v>
      </c>
      <c r="G2" s="142" t="s">
        <v>33</v>
      </c>
      <c r="H2" s="143" t="s">
        <v>34</v>
      </c>
      <c r="I2" s="3" t="s">
        <v>35</v>
      </c>
      <c r="J2" s="4" t="s">
        <v>36</v>
      </c>
      <c r="K2" s="11" t="s">
        <v>38</v>
      </c>
    </row>
    <row r="3" spans="2:12">
      <c r="C3" s="2" t="s">
        <v>102</v>
      </c>
      <c r="D3" s="13">
        <v>36483</v>
      </c>
      <c r="E3" s="5"/>
      <c r="F3" s="89" t="str">
        <f>IF(AND(K3="A",ABS(G3)&gt;0,ABS(H3)&gt;0),(G3+H3)/2,"-")</f>
        <v>-</v>
      </c>
      <c r="G3" s="144">
        <v>52.25</v>
      </c>
      <c r="H3" s="144">
        <v>53.25</v>
      </c>
      <c r="I3" s="7">
        <v>50</v>
      </c>
      <c r="J3" s="7">
        <v>50</v>
      </c>
      <c r="K3" s="12" t="s">
        <v>39</v>
      </c>
      <c r="L3" s="123"/>
    </row>
    <row r="4" spans="2:12">
      <c r="C4" s="2" t="s">
        <v>102</v>
      </c>
      <c r="D4" s="9">
        <v>54530</v>
      </c>
      <c r="G4" s="144">
        <v>26.45</v>
      </c>
      <c r="H4" s="144">
        <v>26.95</v>
      </c>
      <c r="I4" s="7">
        <v>50</v>
      </c>
      <c r="J4" s="7">
        <v>50</v>
      </c>
      <c r="K4" s="12" t="s">
        <v>39</v>
      </c>
    </row>
    <row r="5" spans="2:12">
      <c r="C5" s="2" t="s">
        <v>103</v>
      </c>
      <c r="D5" s="9">
        <v>36484</v>
      </c>
      <c r="G5" s="144">
        <v>50.75</v>
      </c>
      <c r="H5" s="144">
        <v>51.75</v>
      </c>
      <c r="I5" s="7">
        <v>50</v>
      </c>
      <c r="J5" s="7">
        <v>50</v>
      </c>
      <c r="K5" s="12" t="s">
        <v>39</v>
      </c>
    </row>
    <row r="6" spans="2:12">
      <c r="C6" s="2" t="s">
        <v>103</v>
      </c>
      <c r="D6" s="9">
        <v>54532</v>
      </c>
      <c r="G6" s="144">
        <v>29.5</v>
      </c>
      <c r="H6" s="144">
        <v>30</v>
      </c>
      <c r="I6" s="7">
        <v>50</v>
      </c>
      <c r="J6" s="7">
        <v>50</v>
      </c>
      <c r="K6" s="12" t="s">
        <v>39</v>
      </c>
    </row>
    <row r="7" spans="2:12">
      <c r="C7" s="2" t="s">
        <v>104</v>
      </c>
      <c r="D7" s="9">
        <v>30045</v>
      </c>
      <c r="G7" s="144">
        <v>36.35</v>
      </c>
      <c r="H7" s="144">
        <v>37.15</v>
      </c>
      <c r="I7" s="7">
        <v>50</v>
      </c>
      <c r="J7" s="7">
        <v>50</v>
      </c>
      <c r="K7" s="12" t="s">
        <v>39</v>
      </c>
    </row>
    <row r="8" spans="2:12">
      <c r="C8" s="2" t="s">
        <v>105</v>
      </c>
      <c r="D8" s="9">
        <v>33032</v>
      </c>
      <c r="G8" s="144">
        <v>34.65</v>
      </c>
      <c r="H8" s="144">
        <v>34.950000000000003</v>
      </c>
      <c r="I8" s="7">
        <v>50</v>
      </c>
      <c r="J8" s="7">
        <v>50</v>
      </c>
      <c r="K8" s="12" t="s">
        <v>39</v>
      </c>
    </row>
    <row r="9" spans="2:12">
      <c r="C9" s="2" t="s">
        <v>106</v>
      </c>
      <c r="D9" s="9">
        <v>41001</v>
      </c>
      <c r="G9" s="144"/>
      <c r="H9" s="144"/>
      <c r="I9" s="7"/>
      <c r="J9" s="7"/>
      <c r="K9" s="12" t="s">
        <v>39</v>
      </c>
    </row>
    <row r="10" spans="2:12">
      <c r="C10" s="2" t="s">
        <v>107</v>
      </c>
      <c r="D10" s="9">
        <v>53573</v>
      </c>
      <c r="G10" s="144">
        <v>28.75</v>
      </c>
      <c r="H10" s="144">
        <v>29.75</v>
      </c>
      <c r="I10" s="7">
        <v>50</v>
      </c>
      <c r="J10" s="7">
        <v>50</v>
      </c>
      <c r="K10" s="12" t="s">
        <v>39</v>
      </c>
    </row>
    <row r="11" spans="2:12">
      <c r="C11" s="2" t="s">
        <v>108</v>
      </c>
      <c r="D11" s="9">
        <v>48656</v>
      </c>
      <c r="G11" s="144">
        <v>31.15</v>
      </c>
      <c r="H11" s="144">
        <v>31.65</v>
      </c>
      <c r="I11" s="7">
        <v>50</v>
      </c>
      <c r="J11" s="7">
        <v>50</v>
      </c>
      <c r="K11" s="12" t="s">
        <v>39</v>
      </c>
    </row>
    <row r="12" spans="2:12">
      <c r="C12" s="2" t="s">
        <v>109</v>
      </c>
      <c r="D12" s="9">
        <v>48052</v>
      </c>
      <c r="G12" s="144"/>
      <c r="H12" s="144"/>
      <c r="I12" s="7"/>
      <c r="J12" s="7"/>
      <c r="K12" s="12" t="s">
        <v>39</v>
      </c>
    </row>
    <row r="13" spans="2:12">
      <c r="C13" s="2" t="s">
        <v>110</v>
      </c>
      <c r="D13" s="9">
        <v>48054</v>
      </c>
      <c r="G13" s="144"/>
      <c r="H13" s="144"/>
      <c r="I13" s="7"/>
      <c r="J13" s="7"/>
      <c r="K13" s="12" t="s">
        <v>39</v>
      </c>
    </row>
    <row r="14" spans="2:12">
      <c r="C14" s="2" t="s">
        <v>111</v>
      </c>
      <c r="D14" s="9">
        <v>48050</v>
      </c>
      <c r="G14" s="144">
        <v>35.700000000000003</v>
      </c>
      <c r="H14" s="144">
        <v>36.1</v>
      </c>
      <c r="I14" s="7">
        <v>50</v>
      </c>
      <c r="J14" s="7">
        <v>50</v>
      </c>
      <c r="K14" s="12" t="s">
        <v>39</v>
      </c>
    </row>
    <row r="15" spans="2:12">
      <c r="C15" s="2" t="s">
        <v>112</v>
      </c>
      <c r="D15" s="9">
        <v>45311</v>
      </c>
      <c r="G15" s="144">
        <v>45.55</v>
      </c>
      <c r="H15" s="144">
        <v>46.05</v>
      </c>
      <c r="I15" s="7">
        <v>50</v>
      </c>
      <c r="J15" s="7">
        <v>50</v>
      </c>
      <c r="K15" s="12" t="s">
        <v>39</v>
      </c>
    </row>
    <row r="16" spans="2:12">
      <c r="C16" s="2" t="s">
        <v>113</v>
      </c>
      <c r="D16" s="9">
        <v>33033</v>
      </c>
      <c r="G16" s="144">
        <v>57.55</v>
      </c>
      <c r="H16" s="144">
        <v>58.05</v>
      </c>
      <c r="I16" s="7">
        <v>50</v>
      </c>
      <c r="J16" s="7">
        <v>50</v>
      </c>
      <c r="K16" s="12" t="s">
        <v>39</v>
      </c>
    </row>
    <row r="17" spans="3:11">
      <c r="C17" s="2" t="s">
        <v>114</v>
      </c>
      <c r="D17" s="9">
        <v>48658</v>
      </c>
      <c r="G17" s="144">
        <v>30.9</v>
      </c>
      <c r="H17" s="144">
        <v>31.1</v>
      </c>
      <c r="I17" s="7">
        <v>50</v>
      </c>
      <c r="J17" s="7">
        <v>50</v>
      </c>
      <c r="K17" s="12" t="s">
        <v>39</v>
      </c>
    </row>
    <row r="18" spans="3:11">
      <c r="C18" s="2" t="s">
        <v>115</v>
      </c>
      <c r="D18" s="9">
        <v>33031</v>
      </c>
      <c r="G18" s="144">
        <v>38.299999999999997</v>
      </c>
      <c r="H18" s="144">
        <v>39</v>
      </c>
      <c r="I18" s="7">
        <v>50</v>
      </c>
      <c r="J18" s="7">
        <v>50</v>
      </c>
      <c r="K18" s="12" t="s">
        <v>39</v>
      </c>
    </row>
    <row r="19" spans="3:11">
      <c r="C19" s="2" t="s">
        <v>116</v>
      </c>
      <c r="D19" s="9">
        <v>33309</v>
      </c>
      <c r="G19" s="144">
        <v>36</v>
      </c>
      <c r="H19" s="144">
        <v>36.4</v>
      </c>
      <c r="I19" s="7">
        <v>50</v>
      </c>
      <c r="J19" s="7">
        <v>50</v>
      </c>
      <c r="K19" s="12" t="s">
        <v>39</v>
      </c>
    </row>
    <row r="20" spans="3:11">
      <c r="C20" s="2" t="s">
        <v>117</v>
      </c>
      <c r="D20" s="9">
        <v>55274</v>
      </c>
      <c r="G20" s="144">
        <v>33.1</v>
      </c>
      <c r="H20" s="144">
        <v>33.5</v>
      </c>
      <c r="I20" s="7">
        <v>50</v>
      </c>
      <c r="J20" s="7">
        <v>50</v>
      </c>
      <c r="K20" s="12" t="s">
        <v>39</v>
      </c>
    </row>
    <row r="21" spans="3:11">
      <c r="C21" s="2" t="s">
        <v>118</v>
      </c>
      <c r="D21" s="9">
        <v>55276</v>
      </c>
      <c r="G21" s="144">
        <v>35.9</v>
      </c>
      <c r="H21" s="144">
        <v>36.299999999999997</v>
      </c>
      <c r="I21" s="7">
        <v>50</v>
      </c>
      <c r="J21" s="7">
        <v>50</v>
      </c>
      <c r="K21" s="12" t="s">
        <v>39</v>
      </c>
    </row>
    <row r="22" spans="3:11">
      <c r="C22" s="2" t="s">
        <v>119</v>
      </c>
      <c r="D22" s="9">
        <v>53431</v>
      </c>
      <c r="G22" s="144">
        <v>45.75</v>
      </c>
      <c r="H22" s="144">
        <v>46.15</v>
      </c>
      <c r="I22" s="7">
        <v>50</v>
      </c>
      <c r="J22" s="7">
        <v>50</v>
      </c>
      <c r="K22" s="12" t="s">
        <v>39</v>
      </c>
    </row>
    <row r="23" spans="3:11">
      <c r="C23" s="2" t="s">
        <v>120</v>
      </c>
      <c r="D23" s="9">
        <v>33034</v>
      </c>
      <c r="G23" s="144">
        <v>54.75</v>
      </c>
      <c r="H23" s="144">
        <v>55.25</v>
      </c>
      <c r="I23" s="7">
        <v>50</v>
      </c>
      <c r="J23" s="7">
        <v>50</v>
      </c>
      <c r="K23" s="12" t="s">
        <v>39</v>
      </c>
    </row>
    <row r="24" spans="3:11">
      <c r="C24" s="2" t="s">
        <v>121</v>
      </c>
      <c r="D24" s="9">
        <v>55278</v>
      </c>
      <c r="G24" s="144">
        <v>33.1</v>
      </c>
      <c r="H24" s="144">
        <v>33.5</v>
      </c>
      <c r="I24" s="7">
        <v>50</v>
      </c>
      <c r="J24" s="7">
        <v>50</v>
      </c>
      <c r="K24" s="12" t="s">
        <v>39</v>
      </c>
    </row>
    <row r="25" spans="3:11">
      <c r="C25" s="2" t="s">
        <v>122</v>
      </c>
      <c r="D25" s="9">
        <v>55280</v>
      </c>
      <c r="G25" s="144">
        <v>33.15</v>
      </c>
      <c r="H25" s="144">
        <v>33.549999999999997</v>
      </c>
      <c r="I25" s="7">
        <v>50</v>
      </c>
      <c r="J25" s="7">
        <v>50</v>
      </c>
      <c r="K25" s="12" t="s">
        <v>39</v>
      </c>
    </row>
    <row r="26" spans="3:11">
      <c r="C26" s="2" t="s">
        <v>123</v>
      </c>
      <c r="D26" s="9">
        <v>50520</v>
      </c>
      <c r="G26" s="144">
        <v>37.700000000000003</v>
      </c>
      <c r="H26" s="144">
        <v>39</v>
      </c>
      <c r="I26" s="7">
        <v>50</v>
      </c>
      <c r="J26" s="7">
        <v>50</v>
      </c>
      <c r="K26" s="12" t="s">
        <v>39</v>
      </c>
    </row>
    <row r="27" spans="3:11">
      <c r="C27" s="2" t="s">
        <v>124</v>
      </c>
      <c r="D27" s="9">
        <v>33035</v>
      </c>
      <c r="G27" s="144">
        <v>55</v>
      </c>
      <c r="H27" s="144">
        <v>55.5</v>
      </c>
      <c r="I27" s="7">
        <v>50</v>
      </c>
      <c r="J27" s="7">
        <v>50</v>
      </c>
      <c r="K27" s="12" t="s">
        <v>39</v>
      </c>
    </row>
    <row r="28" spans="3:11">
      <c r="C28" s="2" t="s">
        <v>125</v>
      </c>
      <c r="D28" s="9">
        <v>50522</v>
      </c>
      <c r="G28" s="144"/>
      <c r="H28" s="144"/>
      <c r="I28" s="7"/>
      <c r="J28" s="7"/>
      <c r="K28" s="12" t="s">
        <v>39</v>
      </c>
    </row>
    <row r="29" spans="3:11">
      <c r="G29" s="144"/>
      <c r="H29" s="144"/>
      <c r="I29" s="7"/>
      <c r="J29" s="7"/>
    </row>
    <row r="30" spans="3:11">
      <c r="G30" s="144"/>
      <c r="H30" s="144"/>
      <c r="I30" s="7"/>
      <c r="J30" s="7"/>
    </row>
    <row r="31" spans="3:11">
      <c r="G31" s="144"/>
      <c r="H31" s="144"/>
      <c r="I31" s="7"/>
      <c r="J31" s="7"/>
    </row>
    <row r="32" spans="3:11">
      <c r="G32" s="144"/>
      <c r="H32" s="144"/>
      <c r="I32" s="7"/>
      <c r="J32" s="7"/>
    </row>
    <row r="33" spans="7:10">
      <c r="G33" s="144"/>
      <c r="H33" s="144"/>
      <c r="I33" s="7"/>
      <c r="J33" s="7"/>
    </row>
    <row r="34" spans="7:10">
      <c r="G34" s="144"/>
      <c r="H34" s="144"/>
      <c r="I34" s="7"/>
      <c r="J34" s="7"/>
    </row>
    <row r="35" spans="7:10">
      <c r="G35" s="144"/>
      <c r="H35" s="144"/>
      <c r="I35" s="7"/>
      <c r="J35" s="7"/>
    </row>
    <row r="36" spans="7:10">
      <c r="G36" s="144"/>
      <c r="H36" s="144"/>
      <c r="I36" s="7"/>
      <c r="J36" s="7"/>
    </row>
    <row r="37" spans="7:10">
      <c r="G37" s="144"/>
      <c r="H37" s="144"/>
      <c r="I37" s="7"/>
      <c r="J37" s="7"/>
    </row>
    <row r="38" spans="7:10">
      <c r="G38" s="144"/>
      <c r="H38" s="144"/>
      <c r="I38" s="7"/>
      <c r="J38" s="7"/>
    </row>
    <row r="39" spans="7:10">
      <c r="G39" s="144"/>
      <c r="H39" s="144"/>
      <c r="I39" s="7"/>
      <c r="J39" s="7"/>
    </row>
    <row r="40" spans="7:10">
      <c r="G40" s="144"/>
      <c r="H40" s="144"/>
      <c r="I40" s="7"/>
      <c r="J40" s="7"/>
    </row>
    <row r="41" spans="7:10">
      <c r="G41" s="144"/>
      <c r="H41" s="144"/>
      <c r="I41" s="7"/>
      <c r="J41" s="7"/>
    </row>
    <row r="42" spans="7:10">
      <c r="G42" s="144"/>
      <c r="H42" s="144"/>
      <c r="I42" s="7"/>
      <c r="J42" s="7"/>
    </row>
    <row r="43" spans="7:10">
      <c r="G43" s="144"/>
      <c r="H43" s="144"/>
      <c r="I43" s="7"/>
      <c r="J43" s="7"/>
    </row>
    <row r="44" spans="7:10">
      <c r="G44" s="144"/>
      <c r="H44" s="144"/>
      <c r="I44" s="7"/>
      <c r="J44" s="7"/>
    </row>
    <row r="45" spans="7:10">
      <c r="G45" s="144"/>
      <c r="H45" s="144"/>
      <c r="I45" s="7"/>
      <c r="J45" s="7"/>
    </row>
    <row r="46" spans="7:10">
      <c r="G46" s="144"/>
      <c r="H46" s="144"/>
      <c r="I46" s="7"/>
      <c r="J46" s="7"/>
    </row>
    <row r="47" spans="7:10">
      <c r="G47" s="144"/>
      <c r="H47" s="144"/>
      <c r="I47" s="7"/>
      <c r="J47" s="7"/>
    </row>
    <row r="48" spans="7:10">
      <c r="G48" s="144"/>
      <c r="H48" s="144"/>
      <c r="I48" s="7"/>
      <c r="J48" s="7"/>
    </row>
    <row r="49" spans="7:10">
      <c r="G49" s="144"/>
      <c r="H49" s="144"/>
      <c r="I49" s="7"/>
      <c r="J49" s="7"/>
    </row>
    <row r="50" spans="7:10">
      <c r="G50" s="144"/>
      <c r="H50" s="144"/>
      <c r="I50" s="7"/>
      <c r="J50" s="7"/>
    </row>
    <row r="51" spans="7:10">
      <c r="G51" s="144"/>
      <c r="H51" s="144"/>
      <c r="I51" s="7"/>
      <c r="J51" s="7"/>
    </row>
    <row r="52" spans="7:10">
      <c r="G52" s="144"/>
      <c r="H52" s="144"/>
      <c r="I52" s="7"/>
      <c r="J52" s="7"/>
    </row>
    <row r="53" spans="7:10">
      <c r="G53" s="144"/>
      <c r="H53" s="144"/>
      <c r="I53" s="7"/>
      <c r="J53" s="7"/>
    </row>
    <row r="54" spans="7:10">
      <c r="G54" s="144"/>
      <c r="H54" s="144"/>
      <c r="I54" s="7"/>
      <c r="J54" s="7"/>
    </row>
    <row r="55" spans="7:10">
      <c r="G55" s="144"/>
      <c r="H55" s="144"/>
      <c r="I55" s="7"/>
      <c r="J55" s="7"/>
    </row>
    <row r="56" spans="7:10">
      <c r="G56" s="144"/>
      <c r="H56" s="144"/>
      <c r="I56" s="7"/>
      <c r="J56" s="7"/>
    </row>
    <row r="57" spans="7:10">
      <c r="G57" s="144"/>
      <c r="H57" s="144"/>
      <c r="I57" s="7"/>
      <c r="J57" s="7"/>
    </row>
    <row r="58" spans="7:10">
      <c r="G58" s="144"/>
      <c r="H58" s="144"/>
      <c r="I58" s="7"/>
      <c r="J58" s="7"/>
    </row>
    <row r="59" spans="7:10">
      <c r="G59" s="144"/>
      <c r="H59" s="144"/>
      <c r="I59" s="7"/>
      <c r="J59" s="7"/>
    </row>
    <row r="60" spans="7:10">
      <c r="G60" s="144"/>
      <c r="H60" s="144"/>
      <c r="I60" s="7"/>
      <c r="J60" s="7"/>
    </row>
    <row r="61" spans="7:10">
      <c r="G61" s="144"/>
      <c r="H61" s="144"/>
      <c r="I61" s="7"/>
      <c r="J61" s="7"/>
    </row>
    <row r="62" spans="7:10">
      <c r="G62" s="144"/>
      <c r="H62" s="144"/>
      <c r="I62" s="7"/>
      <c r="J62" s="7"/>
    </row>
    <row r="63" spans="7:10">
      <c r="G63" s="144"/>
      <c r="H63" s="144"/>
      <c r="I63" s="7"/>
      <c r="J63" s="7"/>
    </row>
    <row r="64" spans="7:10">
      <c r="G64" s="144"/>
      <c r="H64" s="144"/>
      <c r="I64" s="7"/>
      <c r="J64" s="7"/>
    </row>
    <row r="65" spans="7:10">
      <c r="G65" s="144"/>
      <c r="H65" s="144"/>
      <c r="I65" s="7"/>
      <c r="J65" s="7"/>
    </row>
    <row r="66" spans="7:10">
      <c r="G66" s="144"/>
      <c r="H66" s="144"/>
      <c r="I66" s="7"/>
      <c r="J66" s="7"/>
    </row>
    <row r="67" spans="7:10">
      <c r="G67" s="144"/>
      <c r="H67" s="144"/>
      <c r="I67" s="7"/>
      <c r="J67" s="7"/>
    </row>
    <row r="68" spans="7:10">
      <c r="G68" s="144"/>
      <c r="H68" s="144"/>
      <c r="I68" s="7"/>
      <c r="J68" s="7"/>
    </row>
    <row r="69" spans="7:10">
      <c r="G69" s="144"/>
      <c r="H69" s="144"/>
      <c r="I69" s="7"/>
      <c r="J69" s="7"/>
    </row>
    <row r="70" spans="7:10">
      <c r="G70" s="144"/>
      <c r="H70" s="144"/>
      <c r="I70" s="7"/>
      <c r="J70" s="7"/>
    </row>
    <row r="71" spans="7:10">
      <c r="G71" s="146"/>
      <c r="H71" s="146"/>
      <c r="I71" s="140"/>
      <c r="J71" s="140"/>
    </row>
    <row r="72" spans="7:10">
      <c r="G72" s="146"/>
      <c r="H72" s="146"/>
      <c r="I72" s="99"/>
      <c r="J72" s="140"/>
    </row>
    <row r="73" spans="7:10">
      <c r="G73" s="146"/>
      <c r="H73" s="145"/>
      <c r="I73" s="7"/>
      <c r="J73" s="140"/>
    </row>
    <row r="74" spans="7:10">
      <c r="G74" s="146"/>
      <c r="H74" s="145"/>
      <c r="I74" s="7"/>
      <c r="J74" s="140"/>
    </row>
    <row r="75" spans="7:10">
      <c r="G75" s="144"/>
      <c r="H75" s="144"/>
      <c r="I75" s="7"/>
      <c r="J75" s="7"/>
    </row>
    <row r="76" spans="7:10">
      <c r="G76" s="144"/>
      <c r="H76" s="144"/>
      <c r="I76" s="7"/>
      <c r="J76" s="7"/>
    </row>
    <row r="77" spans="7:10">
      <c r="G77" s="144"/>
      <c r="H77" s="144"/>
      <c r="I77" s="7"/>
      <c r="J77" s="7"/>
    </row>
    <row r="78" spans="7:10">
      <c r="G78" s="144"/>
      <c r="H78" s="144"/>
      <c r="I78" s="7"/>
      <c r="J78" s="7"/>
    </row>
  </sheetData>
  <phoneticPr fontId="7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486" r:id="rId4" name="cmd_Stop">
          <controlPr defaultSize="0" autoLine="0" r:id="rId5">
            <anchor moveWithCells="1" sizeWithCells="1">
              <from>
                <xdr:col>0</xdr:col>
                <xdr:colOff>409575</xdr:colOff>
                <xdr:row>0</xdr:row>
                <xdr:rowOff>38100</xdr:rowOff>
              </from>
              <to>
                <xdr:col>0</xdr:col>
                <xdr:colOff>762000</xdr:colOff>
                <xdr:row>1</xdr:row>
                <xdr:rowOff>114300</xdr:rowOff>
              </to>
            </anchor>
          </controlPr>
        </control>
      </mc:Choice>
      <mc:Fallback>
        <control shapeId="20486" r:id="rId4" name="cmd_Stop"/>
      </mc:Fallback>
    </mc:AlternateContent>
    <mc:AlternateContent xmlns:mc="http://schemas.openxmlformats.org/markup-compatibility/2006">
      <mc:Choice Requires="x14">
        <control shapeId="20484" r:id="rId6" name="cmdStart">
          <controlPr defaultSize="0" autoLine="0" r:id="rId7">
            <anchor moveWithCells="1" sizeWithCells="1">
              <from>
                <xdr:col>0</xdr:col>
                <xdr:colOff>38100</xdr:colOff>
                <xdr:row>0</xdr:row>
                <xdr:rowOff>38100</xdr:rowOff>
              </from>
              <to>
                <xdr:col>0</xdr:col>
                <xdr:colOff>390525</xdr:colOff>
                <xdr:row>1</xdr:row>
                <xdr:rowOff>114300</xdr:rowOff>
              </to>
            </anchor>
          </controlPr>
        </control>
      </mc:Choice>
      <mc:Fallback>
        <control shapeId="20484" r:id="rId6" name="cmdStart"/>
      </mc:Fallback>
    </mc:AlternateContent>
    <mc:AlternateContent xmlns:mc="http://schemas.openxmlformats.org/markup-compatibility/2006">
      <mc:Choice Requires="x14">
        <control shapeId="20481" r:id="rId8" name="Rvx1">
          <controlPr locked="0" defaultSize="0" autoLine="0" r:id="rId9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266700</xdr:colOff>
                <xdr:row>1</xdr:row>
                <xdr:rowOff>114300</xdr:rowOff>
              </to>
            </anchor>
          </controlPr>
        </control>
      </mc:Choice>
      <mc:Fallback>
        <control shapeId="20481" r:id="rId8" name="Rvx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cash</vt:lpstr>
      <vt:lpstr>EOL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Jan Havlíček</cp:lastModifiedBy>
  <cp:lastPrinted>2001-06-04T19:14:12Z</cp:lastPrinted>
  <dcterms:created xsi:type="dcterms:W3CDTF">1999-11-22T15:31:15Z</dcterms:created>
  <dcterms:modified xsi:type="dcterms:W3CDTF">2023-09-11T04:29:29Z</dcterms:modified>
</cp:coreProperties>
</file>