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EF3A6A3-72F4-4A2D-8C31-525B77B48280}" xr6:coauthVersionLast="47" xr6:coauthVersionMax="47" xr10:uidLastSave="{00000000-0000-0000-0000-000000000000}"/>
  <bookViews>
    <workbookView xWindow="-120" yWindow="-120" windowWidth="23280" windowHeight="12480" firstSheet="1" activeTab="2"/>
  </bookViews>
  <sheets>
    <sheet name="Crude&amp;Products" sheetId="1" r:id="rId1"/>
    <sheet name="Crude&amp;Products Cash" sheetId="5" r:id="rId2"/>
    <sheet name="NatGas" sheetId="2" r:id="rId3"/>
    <sheet name="Crude Curve Chart" sheetId="4" r:id="rId4"/>
    <sheet name="MMBTU Chart" sheetId="13" r:id="rId5"/>
    <sheet name="Products Curve Chart" sheetId="8" r:id="rId6"/>
    <sheet name="Crude&amp;Products 091901" sheetId="12" r:id="rId7"/>
    <sheet name="Crude&amp;Products 091801" sheetId="11" r:id="rId8"/>
    <sheet name="Crude&amp;Products 091701" sheetId="7" r:id="rId9"/>
    <sheet name="Crude&amp;Products 091401" sheetId="6" r:id="rId10"/>
  </sheets>
  <externalReferences>
    <externalReference r:id="rId11"/>
  </externalReferences>
  <definedNames>
    <definedName name="Position1" localSheetId="9">'Crude&amp;Products 091401'!$B$14</definedName>
    <definedName name="Position1" localSheetId="8">'Crude&amp;Products 091701'!$B$14</definedName>
    <definedName name="Position1" localSheetId="7">'Crude&amp;Products 091801'!$B$14</definedName>
    <definedName name="Position1" localSheetId="6">'Crude&amp;Products 091901'!$B$14</definedName>
    <definedName name="Position1">'Crude&amp;Products'!$B$13</definedName>
    <definedName name="_xlnm.Print_Area" localSheetId="0">'Crude&amp;Products'!$B$3:$Q$82</definedName>
    <definedName name="_xlnm.Print_Area" localSheetId="9">'Crude&amp;Products 091401'!$A$3:$O$81</definedName>
    <definedName name="_xlnm.Print_Area" localSheetId="8">'Crude&amp;Products 091701'!$A$3:$O$81</definedName>
    <definedName name="_xlnm.Print_Area" localSheetId="7">'Crude&amp;Products 091801'!$A$3:$O$82</definedName>
    <definedName name="_xlnm.Print_Area" localSheetId="6">'Crude&amp;Products 091901'!$A$3:$O$82</definedName>
    <definedName name="_xlnm.Print_Area">'Crude&amp;Products'!$A$1:$AB$26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C8" i="1"/>
  <c r="D8" i="1"/>
  <c r="E8" i="1"/>
  <c r="F8" i="1"/>
  <c r="G8" i="1"/>
  <c r="H8" i="1"/>
  <c r="I8" i="1"/>
  <c r="C9" i="1"/>
  <c r="D9" i="1"/>
  <c r="E9" i="1"/>
  <c r="F9" i="1"/>
  <c r="G9" i="1"/>
  <c r="H9" i="1"/>
  <c r="I9" i="1"/>
  <c r="C10" i="1"/>
  <c r="D10" i="1"/>
  <c r="E10" i="1"/>
  <c r="F10" i="1"/>
  <c r="G10" i="1"/>
  <c r="H10" i="1"/>
  <c r="I10" i="1"/>
  <c r="C11" i="1"/>
  <c r="D11" i="1"/>
  <c r="E11" i="1"/>
  <c r="F11" i="1"/>
  <c r="G11" i="1"/>
  <c r="H11" i="1"/>
  <c r="I11" i="1"/>
  <c r="C12" i="1"/>
  <c r="D12" i="1"/>
  <c r="E12" i="1"/>
  <c r="F12" i="1"/>
  <c r="G12" i="1"/>
  <c r="H12" i="1"/>
  <c r="I12" i="1"/>
  <c r="C13" i="1"/>
  <c r="D13" i="1"/>
  <c r="E13" i="1"/>
  <c r="F13" i="1"/>
  <c r="G13" i="1"/>
  <c r="H13" i="1"/>
  <c r="I13" i="1"/>
  <c r="C14" i="1"/>
  <c r="D14" i="1"/>
  <c r="E14" i="1"/>
  <c r="F14" i="1"/>
  <c r="G14" i="1"/>
  <c r="H14" i="1"/>
  <c r="I14" i="1"/>
  <c r="C15" i="1"/>
  <c r="D15" i="1"/>
  <c r="E15" i="1"/>
  <c r="F15" i="1"/>
  <c r="G15" i="1"/>
  <c r="H15" i="1"/>
  <c r="I15" i="1"/>
  <c r="C16" i="1"/>
  <c r="D16" i="1"/>
  <c r="E16" i="1"/>
  <c r="F16" i="1"/>
  <c r="G16" i="1"/>
  <c r="H16" i="1"/>
  <c r="I16" i="1"/>
  <c r="C17" i="1"/>
  <c r="D17" i="1"/>
  <c r="E17" i="1"/>
  <c r="F17" i="1"/>
  <c r="H17" i="1"/>
  <c r="I17" i="1"/>
  <c r="C18" i="1"/>
  <c r="D18" i="1"/>
  <c r="E18" i="1"/>
  <c r="F18" i="1"/>
  <c r="H18" i="1"/>
  <c r="I18" i="1"/>
  <c r="C19" i="1"/>
  <c r="D19" i="1"/>
  <c r="F19" i="1"/>
  <c r="I19" i="1"/>
  <c r="C20" i="1"/>
  <c r="D20" i="1"/>
  <c r="F20" i="1"/>
  <c r="I20" i="1"/>
  <c r="C21" i="1"/>
  <c r="D21" i="1"/>
  <c r="F21" i="1"/>
  <c r="I21" i="1"/>
  <c r="C22" i="1"/>
  <c r="F22" i="1"/>
  <c r="I22" i="1"/>
  <c r="C23" i="1"/>
  <c r="F23" i="1"/>
  <c r="I23" i="1"/>
  <c r="C24" i="1"/>
  <c r="F24" i="1"/>
  <c r="I24" i="1"/>
  <c r="C25" i="1"/>
  <c r="F25" i="1"/>
  <c r="I25" i="1"/>
  <c r="C30" i="1"/>
  <c r="E30" i="1"/>
  <c r="G30" i="1"/>
  <c r="I30" i="1"/>
  <c r="K30" i="1"/>
  <c r="M30" i="1"/>
  <c r="P30" i="1"/>
  <c r="Q30" i="1"/>
  <c r="R30" i="1"/>
  <c r="S30" i="1"/>
  <c r="T30" i="1"/>
  <c r="C31" i="1"/>
  <c r="E31" i="1"/>
  <c r="G31" i="1"/>
  <c r="I31" i="1"/>
  <c r="K31" i="1"/>
  <c r="M31" i="1"/>
  <c r="P31" i="1"/>
  <c r="Q31" i="1"/>
  <c r="R31" i="1"/>
  <c r="S31" i="1"/>
  <c r="T31" i="1"/>
  <c r="C32" i="1"/>
  <c r="E32" i="1"/>
  <c r="G32" i="1"/>
  <c r="I32" i="1"/>
  <c r="K32" i="1"/>
  <c r="M32" i="1"/>
  <c r="P32" i="1"/>
  <c r="Q32" i="1"/>
  <c r="R32" i="1"/>
  <c r="S32" i="1"/>
  <c r="T32" i="1"/>
  <c r="C33" i="1"/>
  <c r="E33" i="1"/>
  <c r="G33" i="1"/>
  <c r="I33" i="1"/>
  <c r="K33" i="1"/>
  <c r="M33" i="1"/>
  <c r="P33" i="1"/>
  <c r="Q33" i="1"/>
  <c r="R33" i="1"/>
  <c r="S33" i="1"/>
  <c r="T33" i="1"/>
  <c r="C34" i="1"/>
  <c r="E34" i="1"/>
  <c r="G34" i="1"/>
  <c r="I34" i="1"/>
  <c r="K34" i="1"/>
  <c r="M34" i="1"/>
  <c r="P34" i="1"/>
  <c r="Q34" i="1"/>
  <c r="R34" i="1"/>
  <c r="S34" i="1"/>
  <c r="T34" i="1"/>
  <c r="C35" i="1"/>
  <c r="E35" i="1"/>
  <c r="G35" i="1"/>
  <c r="I35" i="1"/>
  <c r="K35" i="1"/>
  <c r="M35" i="1"/>
  <c r="P35" i="1"/>
  <c r="Q35" i="1"/>
  <c r="R35" i="1"/>
  <c r="S35" i="1"/>
  <c r="T35" i="1"/>
  <c r="C36" i="1"/>
  <c r="E36" i="1"/>
  <c r="G36" i="1"/>
  <c r="I36" i="1"/>
  <c r="K36" i="1"/>
  <c r="M36" i="1"/>
  <c r="P36" i="1"/>
  <c r="Q36" i="1"/>
  <c r="R36" i="1"/>
  <c r="S36" i="1"/>
  <c r="T36" i="1"/>
  <c r="C37" i="1"/>
  <c r="E37" i="1"/>
  <c r="G37" i="1"/>
  <c r="I37" i="1"/>
  <c r="K37" i="1"/>
  <c r="M37" i="1"/>
  <c r="P37" i="1"/>
  <c r="Q37" i="1"/>
  <c r="R37" i="1"/>
  <c r="S37" i="1"/>
  <c r="T37" i="1"/>
  <c r="P38" i="1"/>
  <c r="Q38" i="1"/>
  <c r="R38" i="1"/>
  <c r="S38" i="1"/>
  <c r="T38" i="1"/>
  <c r="C39" i="1"/>
  <c r="E39" i="1"/>
  <c r="G39" i="1"/>
  <c r="I39" i="1"/>
  <c r="K39" i="1"/>
  <c r="M39" i="1"/>
  <c r="C40" i="1"/>
  <c r="E40" i="1"/>
  <c r="G40" i="1"/>
  <c r="I40" i="1"/>
  <c r="K40" i="1"/>
  <c r="M40" i="1"/>
  <c r="C41" i="1"/>
  <c r="E41" i="1"/>
  <c r="G41" i="1"/>
  <c r="I41" i="1"/>
  <c r="K41" i="1"/>
  <c r="C42" i="1"/>
  <c r="E42" i="1"/>
  <c r="G42" i="1"/>
  <c r="I42" i="1"/>
  <c r="E43" i="1"/>
  <c r="C44" i="1"/>
  <c r="I44" i="1"/>
  <c r="C48" i="1"/>
  <c r="D48" i="1"/>
  <c r="E48" i="1"/>
  <c r="H48" i="1"/>
  <c r="J48" i="1"/>
  <c r="L48" i="1"/>
  <c r="N48" i="1"/>
  <c r="C49" i="1"/>
  <c r="D49" i="1"/>
  <c r="E49" i="1"/>
  <c r="H49" i="1"/>
  <c r="J49" i="1"/>
  <c r="L49" i="1"/>
  <c r="N49" i="1"/>
  <c r="C50" i="1"/>
  <c r="D50" i="1"/>
  <c r="E50" i="1"/>
  <c r="H50" i="1"/>
  <c r="J50" i="1"/>
  <c r="L50" i="1"/>
  <c r="N50" i="1"/>
  <c r="C51" i="1"/>
  <c r="D51" i="1"/>
  <c r="E51" i="1"/>
  <c r="H51" i="1"/>
  <c r="J51" i="1"/>
  <c r="L51" i="1"/>
  <c r="N51" i="1"/>
  <c r="C52" i="1"/>
  <c r="D52" i="1"/>
  <c r="E52" i="1"/>
  <c r="H52" i="1"/>
  <c r="J52" i="1"/>
  <c r="L52" i="1"/>
  <c r="N52" i="1"/>
  <c r="C53" i="1"/>
  <c r="D53" i="1"/>
  <c r="E53" i="1"/>
  <c r="H53" i="1"/>
  <c r="J53" i="1"/>
  <c r="L53" i="1"/>
  <c r="N53" i="1"/>
  <c r="C54" i="1"/>
  <c r="D54" i="1"/>
  <c r="E54" i="1"/>
  <c r="H54" i="1"/>
  <c r="L54" i="1"/>
  <c r="N54" i="1"/>
  <c r="C55" i="1"/>
  <c r="D55" i="1"/>
  <c r="E55" i="1"/>
  <c r="H55" i="1"/>
  <c r="J55" i="1"/>
  <c r="L55" i="1"/>
  <c r="N55" i="1"/>
  <c r="H57" i="1"/>
  <c r="L57" i="1"/>
  <c r="H58" i="1"/>
  <c r="L58" i="1"/>
  <c r="L59" i="1"/>
  <c r="D68" i="1"/>
  <c r="C69" i="1"/>
  <c r="D69" i="1"/>
  <c r="E69" i="1"/>
  <c r="G69" i="1"/>
  <c r="C70" i="1"/>
  <c r="D70" i="1"/>
  <c r="E70" i="1"/>
  <c r="G70" i="1"/>
  <c r="C71" i="1"/>
  <c r="D71" i="1"/>
  <c r="E71" i="1"/>
  <c r="G71" i="1"/>
  <c r="C72" i="1"/>
  <c r="D72" i="1"/>
  <c r="E72" i="1"/>
  <c r="G72" i="1"/>
  <c r="C73" i="1"/>
  <c r="D73" i="1"/>
  <c r="E73" i="1"/>
  <c r="G73" i="1"/>
  <c r="C74" i="1"/>
  <c r="D74" i="1"/>
  <c r="E74" i="1"/>
  <c r="G74" i="1"/>
  <c r="C75" i="1"/>
  <c r="D75" i="1"/>
  <c r="E75" i="1"/>
  <c r="C76" i="1"/>
  <c r="D76" i="1"/>
  <c r="E76" i="1"/>
  <c r="D77" i="1"/>
  <c r="E77" i="1"/>
  <c r="G77" i="1"/>
  <c r="G78" i="1"/>
  <c r="C82" i="1"/>
  <c r="D4" i="11"/>
  <c r="D4" i="12"/>
  <c r="K64" i="12"/>
  <c r="B3" i="5"/>
  <c r="K3" i="5"/>
  <c r="B4" i="5"/>
  <c r="K4" i="5"/>
  <c r="B5" i="5"/>
  <c r="C5" i="5"/>
  <c r="D5" i="5"/>
  <c r="E5" i="5"/>
  <c r="G5" i="5"/>
  <c r="H5" i="5"/>
  <c r="K5" i="5"/>
  <c r="L5" i="5"/>
  <c r="M5" i="5"/>
  <c r="N5" i="5"/>
  <c r="O5" i="5"/>
  <c r="P5" i="5"/>
  <c r="R5" i="5"/>
  <c r="S5" i="5"/>
  <c r="B6" i="5"/>
  <c r="C6" i="5"/>
  <c r="D6" i="5"/>
  <c r="E6" i="5"/>
  <c r="G6" i="5"/>
  <c r="H6" i="5"/>
  <c r="K6" i="5"/>
  <c r="L6" i="5"/>
  <c r="M6" i="5"/>
  <c r="N6" i="5"/>
  <c r="O6" i="5"/>
  <c r="P6" i="5"/>
  <c r="R6" i="5"/>
  <c r="S6" i="5"/>
  <c r="B7" i="5"/>
  <c r="C7" i="5"/>
  <c r="D7" i="5"/>
  <c r="E7" i="5"/>
  <c r="G7" i="5"/>
  <c r="H7" i="5"/>
  <c r="B8" i="5"/>
  <c r="C8" i="5"/>
  <c r="D8" i="5"/>
  <c r="E8" i="5"/>
  <c r="G8" i="5"/>
  <c r="H8" i="5"/>
  <c r="K8" i="5"/>
  <c r="L8" i="5"/>
  <c r="M8" i="5"/>
  <c r="N8" i="5"/>
  <c r="O8" i="5"/>
  <c r="P8" i="5"/>
  <c r="R8" i="5"/>
  <c r="S8" i="5"/>
  <c r="B9" i="5"/>
  <c r="C9" i="5"/>
  <c r="D9" i="5"/>
  <c r="E9" i="5"/>
  <c r="G9" i="5"/>
  <c r="H9" i="5"/>
  <c r="K9" i="5"/>
  <c r="L9" i="5"/>
  <c r="M9" i="5"/>
  <c r="N9" i="5"/>
  <c r="O9" i="5"/>
  <c r="P9" i="5"/>
  <c r="R9" i="5"/>
  <c r="S9" i="5"/>
  <c r="B10" i="5"/>
  <c r="C10" i="5"/>
  <c r="D10" i="5"/>
  <c r="E10" i="5"/>
  <c r="G10" i="5"/>
  <c r="H10" i="5"/>
  <c r="K10" i="5"/>
  <c r="L10" i="5"/>
  <c r="M10" i="5"/>
  <c r="N10" i="5"/>
  <c r="O10" i="5"/>
  <c r="P10" i="5"/>
  <c r="R10" i="5"/>
  <c r="S10" i="5"/>
  <c r="B11" i="5"/>
  <c r="C11" i="5"/>
  <c r="D11" i="5"/>
  <c r="E11" i="5"/>
  <c r="G11" i="5"/>
  <c r="H11" i="5"/>
  <c r="K13" i="5"/>
  <c r="B14" i="5"/>
  <c r="K14" i="5"/>
  <c r="L14" i="5"/>
  <c r="M14" i="5"/>
  <c r="N14" i="5"/>
  <c r="O14" i="5"/>
  <c r="P14" i="5"/>
  <c r="R14" i="5"/>
  <c r="S14" i="5"/>
  <c r="B15" i="5"/>
  <c r="C15" i="5"/>
  <c r="D15" i="5"/>
  <c r="E15" i="5"/>
  <c r="G15" i="5"/>
  <c r="H15" i="5"/>
  <c r="K15" i="5"/>
  <c r="L15" i="5"/>
  <c r="M15" i="5"/>
  <c r="N15" i="5"/>
  <c r="O15" i="5"/>
  <c r="P15" i="5"/>
  <c r="R15" i="5"/>
  <c r="S15" i="5"/>
  <c r="B16" i="5"/>
  <c r="C16" i="5"/>
  <c r="D16" i="5"/>
  <c r="E16" i="5"/>
  <c r="G16" i="5"/>
  <c r="H16" i="5"/>
  <c r="K17" i="5"/>
  <c r="L17" i="5"/>
  <c r="M17" i="5"/>
  <c r="N17" i="5"/>
  <c r="O17" i="5"/>
  <c r="P17" i="5"/>
  <c r="Q17" i="5"/>
  <c r="R17" i="5"/>
  <c r="S17" i="5"/>
  <c r="K18" i="5"/>
  <c r="L18" i="5"/>
  <c r="M18" i="5"/>
  <c r="N18" i="5"/>
  <c r="O18" i="5"/>
  <c r="P18" i="5"/>
  <c r="Q18" i="5"/>
  <c r="R18" i="5"/>
  <c r="S18" i="5"/>
  <c r="B19" i="5"/>
  <c r="K19" i="5"/>
  <c r="L19" i="5"/>
  <c r="M19" i="5"/>
  <c r="N19" i="5"/>
  <c r="O19" i="5"/>
  <c r="P19" i="5"/>
  <c r="Q19" i="5"/>
  <c r="R19" i="5"/>
  <c r="S19" i="5"/>
  <c r="B20" i="5"/>
  <c r="C20" i="5"/>
  <c r="D20" i="5"/>
  <c r="E20" i="5"/>
  <c r="G20" i="5"/>
  <c r="H20" i="5"/>
  <c r="B21" i="5"/>
  <c r="C21" i="5"/>
  <c r="D21" i="5"/>
  <c r="E21" i="5"/>
  <c r="G21" i="5"/>
  <c r="H21" i="5"/>
  <c r="K22" i="5"/>
  <c r="K23" i="5"/>
  <c r="L23" i="5"/>
  <c r="M23" i="5"/>
  <c r="N23" i="5"/>
  <c r="O23" i="5"/>
  <c r="P23" i="5"/>
  <c r="Q23" i="5"/>
  <c r="R23" i="5"/>
  <c r="S23" i="5"/>
  <c r="B24" i="5"/>
  <c r="B25" i="5"/>
  <c r="C25" i="5"/>
  <c r="D25" i="5"/>
  <c r="E25" i="5"/>
  <c r="G25" i="5"/>
  <c r="H25" i="5"/>
  <c r="K25" i="5"/>
  <c r="L25" i="5"/>
  <c r="M25" i="5"/>
  <c r="N25" i="5"/>
  <c r="O25" i="5"/>
  <c r="P25" i="5"/>
  <c r="Q25" i="5"/>
  <c r="R25" i="5"/>
  <c r="S25" i="5"/>
  <c r="B26" i="5"/>
  <c r="C26" i="5"/>
  <c r="D26" i="5"/>
  <c r="E26" i="5"/>
  <c r="G26" i="5"/>
  <c r="H26" i="5"/>
  <c r="K26" i="5"/>
  <c r="L26" i="5"/>
  <c r="M26" i="5"/>
  <c r="N26" i="5"/>
  <c r="O26" i="5"/>
  <c r="P26" i="5"/>
  <c r="Q26" i="5"/>
  <c r="R26" i="5"/>
  <c r="S26" i="5"/>
  <c r="B27" i="5"/>
  <c r="C27" i="5"/>
  <c r="D27" i="5"/>
  <c r="E27" i="5"/>
  <c r="G27" i="5"/>
  <c r="H27" i="5"/>
  <c r="K27" i="5"/>
  <c r="L27" i="5"/>
  <c r="M27" i="5"/>
  <c r="N27" i="5"/>
  <c r="O27" i="5"/>
  <c r="P27" i="5"/>
  <c r="Q27" i="5"/>
  <c r="R27" i="5"/>
  <c r="S27" i="5"/>
  <c r="B28" i="5"/>
  <c r="C28" i="5"/>
  <c r="D28" i="5"/>
  <c r="E28" i="5"/>
  <c r="G28" i="5"/>
  <c r="H28" i="5"/>
  <c r="B29" i="5"/>
  <c r="C29" i="5"/>
  <c r="D29" i="5"/>
  <c r="E29" i="5"/>
  <c r="G29" i="5"/>
  <c r="H29" i="5"/>
  <c r="B30" i="5"/>
  <c r="C30" i="5"/>
  <c r="D30" i="5"/>
  <c r="E30" i="5"/>
  <c r="G30" i="5"/>
  <c r="H30" i="5"/>
  <c r="B31" i="5"/>
  <c r="C31" i="5"/>
  <c r="D31" i="5"/>
  <c r="E31" i="5"/>
  <c r="G31" i="5"/>
  <c r="H31" i="5"/>
  <c r="B32" i="5"/>
  <c r="C32" i="5"/>
  <c r="D32" i="5"/>
  <c r="E32" i="5"/>
  <c r="G32" i="5"/>
  <c r="H32" i="5"/>
  <c r="B33" i="5"/>
  <c r="C33" i="5"/>
  <c r="D33" i="5"/>
  <c r="E33" i="5"/>
  <c r="G33" i="5"/>
  <c r="H33" i="5"/>
  <c r="B34" i="5"/>
  <c r="C34" i="5"/>
  <c r="D34" i="5"/>
  <c r="E34" i="5"/>
  <c r="G34" i="5"/>
  <c r="H34" i="5"/>
  <c r="B35" i="5"/>
  <c r="C35" i="5"/>
  <c r="E35" i="5"/>
  <c r="H35" i="5"/>
  <c r="B36" i="5"/>
  <c r="C36" i="5"/>
  <c r="D36" i="5"/>
  <c r="E36" i="5"/>
  <c r="G36" i="5"/>
  <c r="H36" i="5"/>
  <c r="B37" i="5"/>
  <c r="C37" i="5"/>
  <c r="D37" i="5"/>
  <c r="E37" i="5"/>
  <c r="G37" i="5"/>
  <c r="H37" i="5"/>
  <c r="B38" i="5"/>
  <c r="C38" i="5"/>
  <c r="D38" i="5"/>
  <c r="E38" i="5"/>
  <c r="G38" i="5"/>
  <c r="H38" i="5"/>
  <c r="C40" i="5"/>
  <c r="D40" i="5"/>
  <c r="E40" i="5"/>
  <c r="H40" i="5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</calcChain>
</file>

<file path=xl/sharedStrings.xml><?xml version="1.0" encoding="utf-8"?>
<sst xmlns="http://schemas.openxmlformats.org/spreadsheetml/2006/main" count="834" uniqueCount="205">
  <si>
    <t>HU</t>
  </si>
  <si>
    <t>Real Time Price Look</t>
  </si>
  <si>
    <t>2:1:1</t>
  </si>
  <si>
    <t>5:3:2</t>
  </si>
  <si>
    <t>3:2:1</t>
  </si>
  <si>
    <t>Source: Reuters Kobra</t>
  </si>
  <si>
    <t>Cal Oct01</t>
  </si>
  <si>
    <t>Cal Nov01</t>
  </si>
  <si>
    <t>Cal Dec01</t>
  </si>
  <si>
    <t>Cal Jan02</t>
  </si>
  <si>
    <t>Cal Feb02</t>
  </si>
  <si>
    <t>Cal Mar02</t>
  </si>
  <si>
    <t>Cal Q4-01</t>
  </si>
  <si>
    <t>Cal Q1-02</t>
  </si>
  <si>
    <t>Cal Q2-02</t>
  </si>
  <si>
    <t>Cal Q3-02</t>
  </si>
  <si>
    <t>CalQ4-02</t>
  </si>
  <si>
    <t>Cal 02</t>
  </si>
  <si>
    <t>Heat Q4-01</t>
  </si>
  <si>
    <t>Heat Q4-02</t>
  </si>
  <si>
    <t>Heat Q1-02</t>
  </si>
  <si>
    <t>Heat Q2-02</t>
  </si>
  <si>
    <t>Heat Q3-02</t>
  </si>
  <si>
    <t>Heat Cal02</t>
  </si>
  <si>
    <t>Gas Q4-01</t>
  </si>
  <si>
    <t>Gas Q1-02</t>
  </si>
  <si>
    <t>Gas Q2-02</t>
  </si>
  <si>
    <t>Gas Q3-02</t>
  </si>
  <si>
    <t>Gas Q4-02</t>
  </si>
  <si>
    <t>Gas Cal02</t>
  </si>
  <si>
    <t>Brt/WTI Q401</t>
  </si>
  <si>
    <t>Brt(/WTI Q102</t>
  </si>
  <si>
    <t>Brt/WTI Q202</t>
  </si>
  <si>
    <t>Brt/WTI Q302</t>
  </si>
  <si>
    <t>Brt/WTI Q402</t>
  </si>
  <si>
    <t>SC/WTI Q401</t>
  </si>
  <si>
    <t>Brt/WTI Cal02</t>
  </si>
  <si>
    <t>SC/WTI Q102</t>
  </si>
  <si>
    <t>SC/WTI Q202</t>
  </si>
  <si>
    <t>SC/WTI Q302</t>
  </si>
  <si>
    <t>#6 1% NYH</t>
  </si>
  <si>
    <t>#6 3% GC</t>
  </si>
  <si>
    <t>Jet #54 GC</t>
  </si>
  <si>
    <t>#2 NYH</t>
  </si>
  <si>
    <t>#2 GC</t>
  </si>
  <si>
    <t>HO</t>
  </si>
  <si>
    <t>NYMEX Cracks</t>
  </si>
  <si>
    <t>IPE</t>
  </si>
  <si>
    <t>Brent</t>
  </si>
  <si>
    <t>Gasoil</t>
  </si>
  <si>
    <t>Propane</t>
  </si>
  <si>
    <t>WTI</t>
  </si>
  <si>
    <t>NYMEX</t>
  </si>
  <si>
    <t>Coal</t>
  </si>
  <si>
    <t>Note: WTI &amp; Brent is in $/BBL.    HU, HO and Propane is in c/gal.    Coal is in $/MT</t>
  </si>
  <si>
    <t>Crude (NYMEX:CL) Calendar Quotes ($/BBL):</t>
  </si>
  <si>
    <t>SC/WTI Q402</t>
  </si>
  <si>
    <t>SC/WTI Cal02</t>
  </si>
  <si>
    <t>SC/Brent</t>
  </si>
  <si>
    <t>ENE Product Curves</t>
  </si>
  <si>
    <t>Brent/Gasoil</t>
  </si>
  <si>
    <t>Brt/WTI Oct01</t>
  </si>
  <si>
    <t>Brt/WTI Nov01</t>
  </si>
  <si>
    <t>Brt/WTI Dec01</t>
  </si>
  <si>
    <t>Brt/WTI Jan02</t>
  </si>
  <si>
    <t>Brt/WTI Feb02</t>
  </si>
  <si>
    <t>Brt/WTI Mar02</t>
  </si>
  <si>
    <t>Brt/WTI Apr02</t>
  </si>
  <si>
    <t>Cal Apr02</t>
  </si>
  <si>
    <t>SC/WTI Nov01</t>
  </si>
  <si>
    <t>SC/WTI Dec01</t>
  </si>
  <si>
    <t>SC/WTI Jan02</t>
  </si>
  <si>
    <t>SC/WTI Feb02</t>
  </si>
  <si>
    <t>SC/WTI Mar02</t>
  </si>
  <si>
    <t>SC/WTI Apr02</t>
  </si>
  <si>
    <t>SC/WTI May02</t>
  </si>
  <si>
    <t>Brent Cal</t>
  </si>
  <si>
    <t>SC Nov01</t>
  </si>
  <si>
    <t>SC Dec01</t>
  </si>
  <si>
    <t>SC Jan02</t>
  </si>
  <si>
    <t>SC Feb02</t>
  </si>
  <si>
    <t>SC Mar02</t>
  </si>
  <si>
    <t>SC Apr02</t>
  </si>
  <si>
    <t>SC May02</t>
  </si>
  <si>
    <t>SC CalQ401</t>
  </si>
  <si>
    <t>SC CalQ102</t>
  </si>
  <si>
    <t>SC CalQ202</t>
  </si>
  <si>
    <t>SC CalQ302</t>
  </si>
  <si>
    <t>SC CalQ402</t>
  </si>
  <si>
    <t>SC/Brt Nov01</t>
  </si>
  <si>
    <t>SC/Brt Dec01</t>
  </si>
  <si>
    <t>SC/Brt Jan02</t>
  </si>
  <si>
    <t>SC/Brt Feb02</t>
  </si>
  <si>
    <t>SC/Brt Mar02</t>
  </si>
  <si>
    <t>SC/Brt Apr02</t>
  </si>
  <si>
    <t>SC/Brt Q102</t>
  </si>
  <si>
    <t>SC/Brt Q202</t>
  </si>
  <si>
    <t>GC Ht Crcks</t>
  </si>
  <si>
    <t>Q401</t>
  </si>
  <si>
    <t>Q102</t>
  </si>
  <si>
    <t>Q202</t>
  </si>
  <si>
    <t>Q302</t>
  </si>
  <si>
    <t>Q402</t>
  </si>
  <si>
    <t>HO/GC Spread</t>
  </si>
  <si>
    <t>HO/GC Crack</t>
  </si>
  <si>
    <t>Crude and Products Curves &amp; Spreads</t>
  </si>
  <si>
    <t>Hi</t>
  </si>
  <si>
    <t>Lo</t>
  </si>
  <si>
    <t>Mid</t>
  </si>
  <si>
    <t>Screen</t>
  </si>
  <si>
    <t xml:space="preserve"> +/- Screen</t>
  </si>
  <si>
    <t>Products</t>
  </si>
  <si>
    <t>Location</t>
  </si>
  <si>
    <t>Spread WTI</t>
  </si>
  <si>
    <t>Basis</t>
  </si>
  <si>
    <t>CIF Pipe</t>
  </si>
  <si>
    <t>FOB Cargo</t>
  </si>
  <si>
    <t>Crudes</t>
  </si>
  <si>
    <t>CIF Cargo</t>
  </si>
  <si>
    <t xml:space="preserve"> </t>
  </si>
  <si>
    <t>HU Crack</t>
  </si>
  <si>
    <t>HO Crack</t>
  </si>
  <si>
    <t>NatGas</t>
  </si>
  <si>
    <t>TZ6</t>
  </si>
  <si>
    <t>NICOR</t>
  </si>
  <si>
    <t>He Hub</t>
  </si>
  <si>
    <t>HSC</t>
  </si>
  <si>
    <t xml:space="preserve">Chicago </t>
  </si>
  <si>
    <t>NYC</t>
  </si>
  <si>
    <t>SoCal</t>
  </si>
  <si>
    <t>Malin</t>
  </si>
  <si>
    <t>Nat Gas</t>
  </si>
  <si>
    <t>Note: WTI &amp; Brent is in $/BBL.    HU, HO and Propane is in c/gal.    Coal is in $/MT           Nat Gas $/mmbtu</t>
  </si>
  <si>
    <t>Cal May 02</t>
  </si>
  <si>
    <t>Cal Jun 02</t>
  </si>
  <si>
    <t>CL Nov-Dec</t>
  </si>
  <si>
    <t>CL Dec-Jan</t>
  </si>
  <si>
    <t>CL Jan-Feb</t>
  </si>
  <si>
    <t>CL Feb-Mar</t>
  </si>
  <si>
    <t>CL Mar-Apr</t>
  </si>
  <si>
    <t>CL Apr-May</t>
  </si>
  <si>
    <t>CL May-Jun</t>
  </si>
  <si>
    <t>CL Jun-Jul</t>
  </si>
  <si>
    <t>Dec-Red-Dec</t>
  </si>
  <si>
    <t>Calendar</t>
  </si>
  <si>
    <t>Timespreads</t>
  </si>
  <si>
    <t>Cal Dec01 Crack</t>
  </si>
  <si>
    <t>Cal Jan02 Crack</t>
  </si>
  <si>
    <t>Cal Feb02 Crack</t>
  </si>
  <si>
    <t>Cal Mar02 Crack</t>
  </si>
  <si>
    <t>Cal Apr02 Crack</t>
  </si>
  <si>
    <t>Cal May02 Crack</t>
  </si>
  <si>
    <t>Cal Jun02 Crack</t>
  </si>
  <si>
    <t>Cal Nov01 Crack</t>
  </si>
  <si>
    <t>Cal 02 HO Crack</t>
  </si>
  <si>
    <t>Nov01 Crack</t>
  </si>
  <si>
    <t>Dec01 Crack</t>
  </si>
  <si>
    <t>Jan02 Crack</t>
  </si>
  <si>
    <t>Feb02 Crack</t>
  </si>
  <si>
    <t>Mar02 Crack</t>
  </si>
  <si>
    <t>Apr02 Crack</t>
  </si>
  <si>
    <t>May02 Crack</t>
  </si>
  <si>
    <t>Jun02 Crack</t>
  </si>
  <si>
    <t>Jan-Red-Jan</t>
  </si>
  <si>
    <t>Feb-Red-Feb</t>
  </si>
  <si>
    <t>Mar-Red-Mar</t>
  </si>
  <si>
    <t>Apr-Red-Apr</t>
  </si>
  <si>
    <t>Q102 HO Crack</t>
  </si>
  <si>
    <t>Q202 HO Crack</t>
  </si>
  <si>
    <t>Q302 HO Crack</t>
  </si>
  <si>
    <t>Q402 HO Crack</t>
  </si>
  <si>
    <t>HO Contr. Crack</t>
  </si>
  <si>
    <t>HO Cal Crack</t>
  </si>
  <si>
    <t>Cal Q102 HO Crack</t>
  </si>
  <si>
    <t>Cal Q202 HO Crack</t>
  </si>
  <si>
    <t>Cal Q302 HO Crack</t>
  </si>
  <si>
    <t>Cal Q402 HO Crack</t>
  </si>
  <si>
    <t>Crude (NYMEX:CL) Calendar/Spread Quotes ($/BBL):</t>
  </si>
  <si>
    <t>HU Contr. Crack</t>
  </si>
  <si>
    <t>HU Cal Crack</t>
  </si>
  <si>
    <t>Q102 HU Crack</t>
  </si>
  <si>
    <t>Q202 HU Crack</t>
  </si>
  <si>
    <t>Q302 HU Crack</t>
  </si>
  <si>
    <t>Cal Q102 HU Crack</t>
  </si>
  <si>
    <t>Cal Q202 HU Crack</t>
  </si>
  <si>
    <t>Nov01 Contr.</t>
  </si>
  <si>
    <t>Dec01 Contr.</t>
  </si>
  <si>
    <t>Jan02 Contr.</t>
  </si>
  <si>
    <t>Feb02 Contr.</t>
  </si>
  <si>
    <t>Mar02 Contr.</t>
  </si>
  <si>
    <t>Apr02 Contr.</t>
  </si>
  <si>
    <t>May02 Contr.</t>
  </si>
  <si>
    <t>Jun02 Contr.</t>
  </si>
  <si>
    <t>Cal Q102</t>
  </si>
  <si>
    <t>IPE Brent/WTI Contr.</t>
  </si>
  <si>
    <t>IPE Brent/WTI Cal</t>
  </si>
  <si>
    <t>NYMEX Cal Cracks</t>
  </si>
  <si>
    <t>SC/WTI Cal</t>
  </si>
  <si>
    <t>SC/WTI Contr.</t>
  </si>
  <si>
    <t>Contr. Q102</t>
  </si>
  <si>
    <t>Contr. Q202</t>
  </si>
  <si>
    <t>Dated Brent</t>
  </si>
  <si>
    <t>MMBTU Curves</t>
  </si>
  <si>
    <t>Nat Gas Nymex</t>
  </si>
  <si>
    <t>TZ6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</si>
</sst>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72" formatCode="_(&quot;$&quot;* #,##0.0000_);_(&quot;$&quot;* \(#,##0.0000\);_(&quot;$&quot;* &quot;-&quot;??_);_(@_)"/>
    <numFmt numFmtId="173" formatCode="0.000"/>
  </numFmts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b/>
      <sz val="11"/>
      <name val="Arial"/>
      <family val="2"/>
    </font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20"/>
      <name val="Arial"/>
      <family val="2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name val="Arial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5">
    <xf numFmtId="0" fontId="0" fillId="0" borderId="0" xfId="0"/>
    <xf numFmtId="43" fontId="0" fillId="0" borderId="0" xfId="0" applyNumberFormat="1"/>
    <xf numFmtId="0" fontId="0" fillId="0" borderId="0" xfId="0" applyBorder="1"/>
    <xf numFmtId="0" fontId="3" fillId="2" borderId="0" xfId="0" applyFont="1" applyFill="1" applyBorder="1" applyAlignment="1">
      <alignment horizontal="center"/>
    </xf>
    <xf numFmtId="0" fontId="3" fillId="2" borderId="0" xfId="0" quotePrefix="1" applyFont="1" applyFill="1" applyBorder="1" applyAlignment="1">
      <alignment horizontal="center"/>
    </xf>
    <xf numFmtId="17" fontId="2" fillId="2" borderId="0" xfId="0" applyNumberFormat="1" applyFont="1" applyFill="1" applyBorder="1"/>
    <xf numFmtId="44" fontId="0" fillId="0" borderId="0" xfId="0" applyNumberFormat="1"/>
    <xf numFmtId="173" fontId="0" fillId="0" borderId="0" xfId="0" applyNumberFormat="1"/>
    <xf numFmtId="49" fontId="3" fillId="2" borderId="0" xfId="0" applyNumberFormat="1" applyFont="1" applyFill="1" applyBorder="1" applyAlignment="1">
      <alignment horizontal="center"/>
    </xf>
    <xf numFmtId="44" fontId="5" fillId="3" borderId="0" xfId="2" applyFont="1" applyFill="1" applyBorder="1"/>
    <xf numFmtId="44" fontId="5" fillId="4" borderId="0" xfId="0" applyNumberFormat="1" applyFont="1" applyFill="1" applyBorder="1"/>
    <xf numFmtId="44" fontId="5" fillId="5" borderId="0" xfId="1" applyNumberFormat="1" applyFont="1" applyFill="1" applyBorder="1" applyAlignment="1">
      <alignment horizontal="center"/>
    </xf>
    <xf numFmtId="173" fontId="5" fillId="5" borderId="0" xfId="1" applyNumberFormat="1" applyFont="1" applyFill="1" applyBorder="1" applyAlignment="1">
      <alignment horizontal="right"/>
    </xf>
    <xf numFmtId="172" fontId="5" fillId="5" borderId="0" xfId="0" applyNumberFormat="1" applyFont="1" applyFill="1" applyBorder="1"/>
    <xf numFmtId="44" fontId="5" fillId="6" borderId="0" xfId="1" applyNumberFormat="1" applyFont="1" applyFill="1" applyBorder="1" applyAlignment="1">
      <alignment horizontal="center"/>
    </xf>
    <xf numFmtId="0" fontId="5" fillId="6" borderId="0" xfId="0" applyFont="1" applyFill="1" applyBorder="1"/>
    <xf numFmtId="0" fontId="4" fillId="0" borderId="0" xfId="0" applyFont="1" applyBorder="1"/>
    <xf numFmtId="2" fontId="0" fillId="0" borderId="0" xfId="0" applyNumberFormat="1" applyBorder="1"/>
    <xf numFmtId="44" fontId="0" fillId="0" borderId="0" xfId="0" applyNumberFormat="1" applyBorder="1"/>
    <xf numFmtId="0" fontId="0" fillId="0" borderId="0" xfId="0" applyFill="1" applyBorder="1"/>
    <xf numFmtId="173" fontId="5" fillId="7" borderId="0" xfId="1" applyNumberFormat="1" applyFont="1" applyFill="1" applyBorder="1" applyAlignment="1">
      <alignment horizontal="right"/>
    </xf>
    <xf numFmtId="44" fontId="5" fillId="7" borderId="0" xfId="1" applyNumberFormat="1" applyFont="1" applyFill="1" applyBorder="1" applyAlignment="1">
      <alignment horizontal="center"/>
    </xf>
    <xf numFmtId="44" fontId="5" fillId="6" borderId="0" xfId="0" applyNumberFormat="1" applyFont="1" applyFill="1" applyBorder="1"/>
    <xf numFmtId="17" fontId="2" fillId="2" borderId="0" xfId="0" applyNumberFormat="1" applyFont="1" applyFill="1" applyBorder="1" applyAlignment="1">
      <alignment horizontal="right"/>
    </xf>
    <xf numFmtId="1" fontId="2" fillId="2" borderId="0" xfId="0" applyNumberFormat="1" applyFont="1" applyFill="1" applyBorder="1" applyAlignment="1">
      <alignment horizontal="right"/>
    </xf>
    <xf numFmtId="0" fontId="10" fillId="0" borderId="0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17" fontId="2" fillId="2" borderId="1" xfId="0" applyNumberFormat="1" applyFont="1" applyFill="1" applyBorder="1"/>
    <xf numFmtId="17" fontId="0" fillId="0" borderId="1" xfId="0" applyNumberFormat="1" applyBorder="1"/>
    <xf numFmtId="44" fontId="5" fillId="8" borderId="0" xfId="0" applyNumberFormat="1" applyFont="1" applyFill="1" applyBorder="1"/>
    <xf numFmtId="2" fontId="5" fillId="8" borderId="0" xfId="0" applyNumberFormat="1" applyFont="1" applyFill="1" applyBorder="1"/>
    <xf numFmtId="0" fontId="5" fillId="8" borderId="0" xfId="0" applyFont="1" applyFill="1" applyBorder="1"/>
    <xf numFmtId="173" fontId="5" fillId="8" borderId="0" xfId="0" applyNumberFormat="1" applyFont="1" applyFill="1" applyBorder="1"/>
    <xf numFmtId="44" fontId="6" fillId="0" borderId="0" xfId="0" applyNumberFormat="1" applyFont="1" applyBorder="1"/>
    <xf numFmtId="0" fontId="0" fillId="0" borderId="3" xfId="0" applyBorder="1"/>
    <xf numFmtId="0" fontId="0" fillId="0" borderId="4" xfId="0" applyBorder="1"/>
    <xf numFmtId="14" fontId="0" fillId="0" borderId="0" xfId="0" applyNumberFormat="1" applyBorder="1"/>
    <xf numFmtId="0" fontId="3" fillId="2" borderId="2" xfId="0" applyFont="1" applyFill="1" applyBorder="1" applyAlignment="1">
      <alignment horizontal="center"/>
    </xf>
    <xf numFmtId="44" fontId="5" fillId="7" borderId="2" xfId="1" applyNumberFormat="1" applyFont="1" applyFill="1" applyBorder="1" applyAlignment="1">
      <alignment horizontal="center"/>
    </xf>
    <xf numFmtId="17" fontId="2" fillId="2" borderId="5" xfId="0" applyNumberFormat="1" applyFont="1" applyFill="1" applyBorder="1"/>
    <xf numFmtId="0" fontId="5" fillId="8" borderId="3" xfId="0" applyFont="1" applyFill="1" applyBorder="1"/>
    <xf numFmtId="17" fontId="2" fillId="2" borderId="3" xfId="0" applyNumberFormat="1" applyFont="1" applyFill="1" applyBorder="1" applyAlignment="1">
      <alignment horizontal="right"/>
    </xf>
    <xf numFmtId="0" fontId="3" fillId="2" borderId="6" xfId="0" applyFont="1" applyFill="1" applyBorder="1" applyAlignment="1">
      <alignment horizontal="center"/>
    </xf>
    <xf numFmtId="17" fontId="2" fillId="2" borderId="7" xfId="0" applyNumberFormat="1" applyFont="1" applyFill="1" applyBorder="1"/>
    <xf numFmtId="173" fontId="5" fillId="5" borderId="6" xfId="1" applyNumberFormat="1" applyFont="1" applyFill="1" applyBorder="1" applyAlignment="1">
      <alignment horizontal="right"/>
    </xf>
    <xf numFmtId="17" fontId="2" fillId="2" borderId="8" xfId="0" applyNumberFormat="1" applyFont="1" applyFill="1" applyBorder="1"/>
    <xf numFmtId="44" fontId="5" fillId="5" borderId="9" xfId="1" applyNumberFormat="1" applyFont="1" applyFill="1" applyBorder="1" applyAlignment="1">
      <alignment horizontal="center"/>
    </xf>
    <xf numFmtId="172" fontId="5" fillId="5" borderId="9" xfId="0" applyNumberFormat="1" applyFont="1" applyFill="1" applyBorder="1"/>
    <xf numFmtId="173" fontId="5" fillId="5" borderId="9" xfId="1" applyNumberFormat="1" applyFont="1" applyFill="1" applyBorder="1" applyAlignment="1">
      <alignment horizontal="right"/>
    </xf>
    <xf numFmtId="173" fontId="5" fillId="5" borderId="10" xfId="1" applyNumberFormat="1" applyFont="1" applyFill="1" applyBorder="1" applyAlignment="1">
      <alignment horizontal="right"/>
    </xf>
    <xf numFmtId="0" fontId="0" fillId="0" borderId="11" xfId="0" applyBorder="1"/>
    <xf numFmtId="0" fontId="0" fillId="0" borderId="7" xfId="0" applyBorder="1"/>
    <xf numFmtId="44" fontId="5" fillId="7" borderId="9" xfId="1" applyNumberFormat="1" applyFont="1" applyFill="1" applyBorder="1" applyAlignment="1">
      <alignment horizontal="center"/>
    </xf>
    <xf numFmtId="17" fontId="2" fillId="2" borderId="6" xfId="0" applyNumberFormat="1" applyFont="1" applyFill="1" applyBorder="1"/>
    <xf numFmtId="44" fontId="5" fillId="6" borderId="6" xfId="0" applyNumberFormat="1" applyFont="1" applyFill="1" applyBorder="1"/>
    <xf numFmtId="44" fontId="5" fillId="6" borderId="9" xfId="1" applyNumberFormat="1" applyFont="1" applyFill="1" applyBorder="1" applyAlignment="1">
      <alignment horizontal="center"/>
    </xf>
    <xf numFmtId="17" fontId="2" fillId="2" borderId="9" xfId="0" applyNumberFormat="1" applyFont="1" applyFill="1" applyBorder="1"/>
    <xf numFmtId="0" fontId="5" fillId="6" borderId="9" xfId="0" applyFont="1" applyFill="1" applyBorder="1"/>
    <xf numFmtId="44" fontId="5" fillId="6" borderId="9" xfId="0" applyNumberFormat="1" applyFont="1" applyFill="1" applyBorder="1"/>
    <xf numFmtId="44" fontId="5" fillId="6" borderId="10" xfId="0" applyNumberFormat="1" applyFont="1" applyFill="1" applyBorder="1"/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44" fontId="5" fillId="3" borderId="6" xfId="2" applyFont="1" applyFill="1" applyBorder="1"/>
    <xf numFmtId="44" fontId="5" fillId="3" borderId="9" xfId="2" applyFont="1" applyFill="1" applyBorder="1"/>
    <xf numFmtId="44" fontId="5" fillId="3" borderId="10" xfId="2" applyFont="1" applyFill="1" applyBorder="1"/>
    <xf numFmtId="0" fontId="2" fillId="0" borderId="11" xfId="0" applyFont="1" applyFill="1" applyBorder="1" applyAlignment="1">
      <alignment horizontal="center"/>
    </xf>
    <xf numFmtId="44" fontId="3" fillId="0" borderId="7" xfId="0" applyNumberFormat="1" applyFont="1" applyFill="1" applyBorder="1" applyAlignment="1">
      <alignment horizontal="center"/>
    </xf>
    <xf numFmtId="21" fontId="3" fillId="2" borderId="6" xfId="0" quotePrefix="1" applyNumberFormat="1" applyFont="1" applyFill="1" applyBorder="1" applyAlignment="1">
      <alignment horizontal="center"/>
    </xf>
    <xf numFmtId="44" fontId="5" fillId="4" borderId="6" xfId="0" applyNumberFormat="1" applyFont="1" applyFill="1" applyBorder="1"/>
    <xf numFmtId="44" fontId="5" fillId="4" borderId="9" xfId="0" applyNumberFormat="1" applyFont="1" applyFill="1" applyBorder="1"/>
    <xf numFmtId="44" fontId="5" fillId="4" borderId="10" xfId="0" applyNumberFormat="1" applyFont="1" applyFill="1" applyBorder="1"/>
    <xf numFmtId="44" fontId="5" fillId="8" borderId="6" xfId="0" applyNumberFormat="1" applyFont="1" applyFill="1" applyBorder="1"/>
    <xf numFmtId="0" fontId="5" fillId="8" borderId="6" xfId="0" applyFont="1" applyFill="1" applyBorder="1"/>
    <xf numFmtId="0" fontId="0" fillId="0" borderId="14" xfId="0" applyFill="1" applyBorder="1"/>
    <xf numFmtId="17" fontId="2" fillId="2" borderId="15" xfId="0" applyNumberFormat="1" applyFont="1" applyFill="1" applyBorder="1"/>
    <xf numFmtId="44" fontId="5" fillId="7" borderId="16" xfId="1" applyNumberFormat="1" applyFont="1" applyFill="1" applyBorder="1" applyAlignment="1">
      <alignment horizontal="center"/>
    </xf>
    <xf numFmtId="17" fontId="0" fillId="0" borderId="14" xfId="0" applyNumberFormat="1" applyBorder="1"/>
    <xf numFmtId="0" fontId="0" fillId="0" borderId="14" xfId="0" applyBorder="1"/>
    <xf numFmtId="0" fontId="5" fillId="8" borderId="17" xfId="0" applyFont="1" applyFill="1" applyBorder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0" fillId="0" borderId="19" xfId="0" applyBorder="1"/>
    <xf numFmtId="173" fontId="5" fillId="7" borderId="9" xfId="1" applyNumberFormat="1" applyFont="1" applyFill="1" applyBorder="1" applyAlignment="1">
      <alignment horizontal="right"/>
    </xf>
    <xf numFmtId="0" fontId="0" fillId="0" borderId="0" xfId="0" applyFill="1"/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17" fontId="0" fillId="0" borderId="0" xfId="0" applyNumberFormat="1" applyFill="1"/>
    <xf numFmtId="2" fontId="0" fillId="0" borderId="0" xfId="0" applyNumberFormat="1" applyFill="1"/>
    <xf numFmtId="173" fontId="0" fillId="0" borderId="0" xfId="0" applyNumberFormat="1" applyFill="1"/>
    <xf numFmtId="173" fontId="5" fillId="5" borderId="12" xfId="1" applyNumberFormat="1" applyFont="1" applyFill="1" applyBorder="1" applyAlignment="1">
      <alignment horizontal="center"/>
    </xf>
    <xf numFmtId="173" fontId="5" fillId="5" borderId="13" xfId="1" applyNumberFormat="1" applyFont="1" applyFill="1" applyBorder="1" applyAlignment="1">
      <alignment horizontal="center"/>
    </xf>
    <xf numFmtId="44" fontId="5" fillId="5" borderId="7" xfId="1" applyNumberFormat="1" applyFont="1" applyFill="1" applyBorder="1" applyAlignment="1">
      <alignment horizontal="center"/>
    </xf>
    <xf numFmtId="44" fontId="5" fillId="5" borderId="8" xfId="1" applyNumberFormat="1" applyFont="1" applyFill="1" applyBorder="1" applyAlignment="1">
      <alignment horizontal="center"/>
    </xf>
    <xf numFmtId="173" fontId="5" fillId="5" borderId="10" xfId="1" applyNumberFormat="1" applyFont="1" applyFill="1" applyBorder="1" applyAlignment="1">
      <alignment horizontal="center"/>
    </xf>
    <xf numFmtId="17" fontId="2" fillId="2" borderId="11" xfId="0" applyNumberFormat="1" applyFont="1" applyFill="1" applyBorder="1"/>
    <xf numFmtId="17" fontId="2" fillId="2" borderId="12" xfId="0" applyNumberFormat="1" applyFont="1" applyFill="1" applyBorder="1"/>
    <xf numFmtId="49" fontId="3" fillId="2" borderId="12" xfId="0" applyNumberFormat="1" applyFont="1" applyFill="1" applyBorder="1" applyAlignment="1">
      <alignment horizontal="center"/>
    </xf>
    <xf numFmtId="173" fontId="5" fillId="5" borderId="0" xfId="1" applyNumberFormat="1" applyFont="1" applyFill="1" applyBorder="1" applyAlignment="1">
      <alignment horizontal="center"/>
    </xf>
    <xf numFmtId="173" fontId="5" fillId="5" borderId="6" xfId="1" applyNumberFormat="1" applyFont="1" applyFill="1" applyBorder="1" applyAlignment="1">
      <alignment horizontal="center"/>
    </xf>
    <xf numFmtId="172" fontId="5" fillId="5" borderId="0" xfId="0" applyNumberFormat="1" applyFont="1" applyFill="1" applyBorder="1" applyAlignment="1">
      <alignment horizontal="center"/>
    </xf>
    <xf numFmtId="0" fontId="0" fillId="0" borderId="11" xfId="0" applyFill="1" applyBorder="1"/>
    <xf numFmtId="0" fontId="0" fillId="0" borderId="7" xfId="0" applyFill="1" applyBorder="1"/>
    <xf numFmtId="172" fontId="5" fillId="5" borderId="9" xfId="0" applyNumberFormat="1" applyFont="1" applyFill="1" applyBorder="1" applyAlignment="1">
      <alignment horizontal="center"/>
    </xf>
    <xf numFmtId="173" fontId="5" fillId="5" borderId="9" xfId="1" applyNumberFormat="1" applyFont="1" applyFill="1" applyBorder="1" applyAlignment="1">
      <alignment horizontal="center"/>
    </xf>
    <xf numFmtId="17" fontId="2" fillId="2" borderId="10" xfId="0" applyNumberFormat="1" applyFont="1" applyFill="1" applyBorder="1"/>
    <xf numFmtId="44" fontId="5" fillId="5" borderId="11" xfId="1" applyNumberFormat="1" applyFont="1" applyFill="1" applyBorder="1" applyAlignment="1">
      <alignment horizontal="center"/>
    </xf>
    <xf numFmtId="44" fontId="5" fillId="5" borderId="12" xfId="1" applyNumberFormat="1" applyFont="1" applyFill="1" applyBorder="1" applyAlignment="1">
      <alignment horizontal="center"/>
    </xf>
    <xf numFmtId="44" fontId="5" fillId="7" borderId="6" xfId="1" applyNumberFormat="1" applyFont="1" applyFill="1" applyBorder="1" applyAlignment="1">
      <alignment horizontal="center"/>
    </xf>
    <xf numFmtId="44" fontId="5" fillId="7" borderId="10" xfId="1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right"/>
    </xf>
    <xf numFmtId="17" fontId="0" fillId="0" borderId="11" xfId="0" applyNumberFormat="1" applyBorder="1"/>
    <xf numFmtId="17" fontId="0" fillId="0" borderId="7" xfId="0" applyNumberFormat="1" applyBorder="1"/>
    <xf numFmtId="49" fontId="3" fillId="2" borderId="6" xfId="0" applyNumberFormat="1" applyFont="1" applyFill="1" applyBorder="1" applyAlignment="1">
      <alignment horizontal="center"/>
    </xf>
    <xf numFmtId="49" fontId="3" fillId="2" borderId="13" xfId="0" applyNumberFormat="1" applyFont="1" applyFill="1" applyBorder="1" applyAlignment="1">
      <alignment horizontal="center"/>
    </xf>
    <xf numFmtId="44" fontId="5" fillId="6" borderId="6" xfId="1" applyNumberFormat="1" applyFont="1" applyFill="1" applyBorder="1" applyAlignment="1">
      <alignment horizontal="center"/>
    </xf>
    <xf numFmtId="0" fontId="5" fillId="6" borderId="10" xfId="0" applyFont="1" applyFill="1" applyBorder="1"/>
    <xf numFmtId="0" fontId="2" fillId="0" borderId="0" xfId="0" applyFont="1" applyBorder="1"/>
    <xf numFmtId="44" fontId="14" fillId="9" borderId="0" xfId="0" applyNumberFormat="1" applyFont="1" applyFill="1" applyBorder="1"/>
    <xf numFmtId="44" fontId="14" fillId="9" borderId="9" xfId="0" applyNumberFormat="1" applyFont="1" applyFill="1" applyBorder="1"/>
    <xf numFmtId="44" fontId="14" fillId="9" borderId="0" xfId="2" applyFont="1" applyFill="1" applyBorder="1"/>
    <xf numFmtId="44" fontId="14" fillId="9" borderId="6" xfId="2" applyFont="1" applyFill="1" applyBorder="1"/>
    <xf numFmtId="44" fontId="14" fillId="9" borderId="9" xfId="2" applyFont="1" applyFill="1" applyBorder="1"/>
    <xf numFmtId="44" fontId="14" fillId="9" borderId="10" xfId="2" applyFont="1" applyFill="1" applyBorder="1"/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2" borderId="18" xfId="0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externalLink" Target="externalLinks/externalLink1.xml"/><Relationship Id="rId5" Type="http://schemas.openxmlformats.org/officeDocument/2006/relationships/chartsheet" Target="chartsheets/sheet2.xml"/><Relationship Id="rId15" Type="http://schemas.openxmlformats.org/officeDocument/2006/relationships/calcChain" Target="calcChain.xml"/><Relationship Id="rId10" Type="http://schemas.openxmlformats.org/officeDocument/2006/relationships/worksheet" Target="worksheets/sheet7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6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Crude Curves</a:t>
            </a:r>
          </a:p>
        </c:rich>
      </c:tx>
      <c:layout>
        <c:manualLayout>
          <c:xMode val="edge"/>
          <c:yMode val="edge"/>
          <c:x val="0.4372918978912319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9456159822419534"/>
          <c:h val="0.72756933115823819"/>
        </c:manualLayout>
      </c:layout>
      <c:lineChart>
        <c:grouping val="standard"/>
        <c:varyColors val="0"/>
        <c:ser>
          <c:idx val="0"/>
          <c:order val="0"/>
          <c:tx>
            <c:strRef>
              <c:f>'Crude&amp;Products'!$C$7</c:f>
              <c:strCache>
                <c:ptCount val="1"/>
                <c:pt idx="0">
                  <c:v>WTI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'Crude&amp;Products'!$B$8:$B$23</c:f>
              <c:numCache>
                <c:formatCode>mmm\-yy</c:formatCode>
                <c:ptCount val="16"/>
                <c:pt idx="0">
                  <c:v>37196</c:v>
                </c:pt>
                <c:pt idx="1">
                  <c:v>37226</c:v>
                </c:pt>
                <c:pt idx="2">
                  <c:v>37257</c:v>
                </c:pt>
                <c:pt idx="3">
                  <c:v>37288</c:v>
                </c:pt>
                <c:pt idx="4">
                  <c:v>37316</c:v>
                </c:pt>
                <c:pt idx="5">
                  <c:v>37347</c:v>
                </c:pt>
                <c:pt idx="6">
                  <c:v>37377</c:v>
                </c:pt>
                <c:pt idx="7">
                  <c:v>37408</c:v>
                </c:pt>
                <c:pt idx="8">
                  <c:v>37438</c:v>
                </c:pt>
                <c:pt idx="9">
                  <c:v>37469</c:v>
                </c:pt>
                <c:pt idx="10">
                  <c:v>37500</c:v>
                </c:pt>
                <c:pt idx="11">
                  <c:v>37530</c:v>
                </c:pt>
                <c:pt idx="12">
                  <c:v>37561</c:v>
                </c:pt>
                <c:pt idx="13">
                  <c:v>37591</c:v>
                </c:pt>
                <c:pt idx="14">
                  <c:v>37622</c:v>
                </c:pt>
                <c:pt idx="15">
                  <c:v>37653</c:v>
                </c:pt>
              </c:numCache>
            </c:numRef>
          </c:cat>
          <c:val>
            <c:numRef>
              <c:f>'Crude&amp;Products'!$C$8:$C$17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21.15</c:v>
                </c:pt>
                <c:pt idx="2">
                  <c:v>21.3</c:v>
                </c:pt>
                <c:pt idx="3">
                  <c:v>21.54</c:v>
                </c:pt>
                <c:pt idx="4">
                  <c:v>21.65</c:v>
                </c:pt>
                <c:pt idx="5">
                  <c:v>21.55</c:v>
                </c:pt>
                <c:pt idx="6">
                  <c:v>21.5</c:v>
                </c:pt>
                <c:pt idx="7">
                  <c:v>21.64</c:v>
                </c:pt>
                <c:pt idx="8">
                  <c:v>21.7</c:v>
                </c:pt>
                <c:pt idx="9">
                  <c:v>21.58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54-4C4B-855B-A90232940246}"/>
            </c:ext>
          </c:extLst>
        </c:ser>
        <c:ser>
          <c:idx val="1"/>
          <c:order val="1"/>
          <c:tx>
            <c:v>NYMEX Brent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'Crude&amp;Products'!$D$8:$D$17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20.2</c:v>
                </c:pt>
                <c:pt idx="2">
                  <c:v>20.99</c:v>
                </c:pt>
                <c:pt idx="3">
                  <c:v>21.04</c:v>
                </c:pt>
                <c:pt idx="4">
                  <c:v>21.03</c:v>
                </c:pt>
                <c:pt idx="5">
                  <c:v>21.02</c:v>
                </c:pt>
                <c:pt idx="6">
                  <c:v>21</c:v>
                </c:pt>
                <c:pt idx="7">
                  <c:v>20.98</c:v>
                </c:pt>
                <c:pt idx="8">
                  <c:v>20.96</c:v>
                </c:pt>
                <c:pt idx="9">
                  <c:v>20.94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54-4C4B-855B-A90232940246}"/>
            </c:ext>
          </c:extLst>
        </c:ser>
        <c:ser>
          <c:idx val="2"/>
          <c:order val="2"/>
          <c:tx>
            <c:v>IPE Brent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'Crude&amp;Products'!$C$68:$C$77</c:f>
              <c:numCache>
                <c:formatCode>_("$"* #,##0.00_);_("$"* \(#,##0.00\);_("$"* "-"??_);_(@_)</c:formatCode>
                <c:ptCount val="10"/>
                <c:pt idx="1">
                  <c:v>0</c:v>
                </c:pt>
                <c:pt idx="2">
                  <c:v>20.25</c:v>
                </c:pt>
                <c:pt idx="3">
                  <c:v>20.32</c:v>
                </c:pt>
                <c:pt idx="4">
                  <c:v>20.45</c:v>
                </c:pt>
                <c:pt idx="5">
                  <c:v>20.5</c:v>
                </c:pt>
                <c:pt idx="6">
                  <c:v>20.5</c:v>
                </c:pt>
                <c:pt idx="7">
                  <c:v>20.55</c:v>
                </c:pt>
                <c:pt idx="8">
                  <c:v>20.53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54-4C4B-855B-A90232940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6863519"/>
        <c:axId val="1"/>
      </c:lineChart>
      <c:dateAx>
        <c:axId val="1636863519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ax val="28"/>
          <c:min val="18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$/BBL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535073409461664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.0_);_(\$* \(#,##0.0\);_(\$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6863519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8845726970033295"/>
          <c:y val="0.9559543230016313"/>
          <c:w val="0.3052164261931187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MMBTU Forward Curves</a:t>
            </a:r>
          </a:p>
        </c:rich>
      </c:tx>
      <c:layout>
        <c:manualLayout>
          <c:xMode val="edge"/>
          <c:yMode val="edge"/>
          <c:x val="0.39289678135405104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6570477247502775E-2"/>
          <c:y val="0.10114192495921696"/>
          <c:w val="0.90233074361820198"/>
          <c:h val="0.74877650897226755"/>
        </c:manualLayout>
      </c:layout>
      <c:lineChart>
        <c:grouping val="standard"/>
        <c:varyColors val="0"/>
        <c:ser>
          <c:idx val="0"/>
          <c:order val="0"/>
          <c:tx>
            <c:strRef>
              <c:f>'Crude&amp;Products'!$P$29</c:f>
              <c:strCache>
                <c:ptCount val="1"/>
                <c:pt idx="0">
                  <c:v>#2 NYH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Mode val="edge"/>
                  <c:yMode val="edge"/>
                  <c:x val="0.14317425083240842"/>
                  <c:y val="0.3344208809135399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8EE-4C02-BAFE-C02446512BE5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3973362930077691"/>
                  <c:y val="0.3278955954323001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8EE-4C02-BAFE-C02446512BE5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33851276359600446"/>
                  <c:y val="0.3230016313213703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8EE-4C02-BAFE-C02446512BE5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0288568257491675"/>
                  <c:y val="0.3246329526916802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8EE-4C02-BAFE-C02446512BE5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74250832408435075"/>
                  <c:y val="0.3833605220228384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8EE-4C02-BAFE-C02446512BE5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84350721420643726"/>
                  <c:y val="0.3833605220228384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8EE-4C02-BAFE-C02446512BE5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93784683684794667"/>
                  <c:y val="0.3817292006525285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8EE-4C02-BAFE-C02446512BE5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'Crude&amp;Products'!$O$30:$O$38</c:f>
              <c:numCache>
                <c:formatCode>mmm\-yy</c:formatCode>
                <c:ptCount val="9"/>
                <c:pt idx="0">
                  <c:v>37196</c:v>
                </c:pt>
                <c:pt idx="1">
                  <c:v>37226</c:v>
                </c:pt>
                <c:pt idx="2">
                  <c:v>37257</c:v>
                </c:pt>
                <c:pt idx="3">
                  <c:v>37288</c:v>
                </c:pt>
                <c:pt idx="4">
                  <c:v>37316</c:v>
                </c:pt>
                <c:pt idx="5">
                  <c:v>37347</c:v>
                </c:pt>
                <c:pt idx="6">
                  <c:v>37377</c:v>
                </c:pt>
                <c:pt idx="7">
                  <c:v>37408</c:v>
                </c:pt>
                <c:pt idx="8">
                  <c:v>37438</c:v>
                </c:pt>
              </c:numCache>
            </c:numRef>
          </c:cat>
          <c:val>
            <c:numRef>
              <c:f>'Crude&amp;Products'!$P$30:$P$38</c:f>
              <c:numCache>
                <c:formatCode>_("$"* #,##0.00_);_("$"* \(#,##0.00\);_("$"* "-"??_);_(@_)</c:formatCode>
                <c:ptCount val="9"/>
                <c:pt idx="0">
                  <c:v>4.5598283261802584</c:v>
                </c:pt>
                <c:pt idx="1">
                  <c:v>4.6116738197424896</c:v>
                </c:pt>
                <c:pt idx="2">
                  <c:v>4.6549356223175957</c:v>
                </c:pt>
                <c:pt idx="3">
                  <c:v>4.6296995708154496</c:v>
                </c:pt>
                <c:pt idx="4">
                  <c:v>4.5251502145922746</c:v>
                </c:pt>
                <c:pt idx="5">
                  <c:v>4.4350214592274675</c:v>
                </c:pt>
                <c:pt idx="6">
                  <c:v>4.3484978540772525</c:v>
                </c:pt>
                <c:pt idx="7">
                  <c:v>4.3232618025751082</c:v>
                </c:pt>
                <c:pt idx="8">
                  <c:v>4.3484978540772525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8EE-4C02-BAFE-C02446512BE5}"/>
            </c:ext>
          </c:extLst>
        </c:ser>
        <c:ser>
          <c:idx val="1"/>
          <c:order val="1"/>
          <c:tx>
            <c:strRef>
              <c:f>'Crude&amp;Products'!$Q$29</c:f>
              <c:strCache>
                <c:ptCount val="1"/>
                <c:pt idx="0">
                  <c:v>#2 GC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dLbl>
              <c:idx val="1"/>
              <c:layout>
                <c:manualLayout>
                  <c:xMode val="edge"/>
                  <c:yMode val="edge"/>
                  <c:x val="0.24639289678135406"/>
                  <c:y val="0.3849918433931484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8EE-4C02-BAFE-C02446512BE5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'Crude&amp;Products'!$O$30:$O$38</c:f>
              <c:numCache>
                <c:formatCode>mmm\-yy</c:formatCode>
                <c:ptCount val="9"/>
                <c:pt idx="0">
                  <c:v>37196</c:v>
                </c:pt>
                <c:pt idx="1">
                  <c:v>37226</c:v>
                </c:pt>
                <c:pt idx="2">
                  <c:v>37257</c:v>
                </c:pt>
                <c:pt idx="3">
                  <c:v>37288</c:v>
                </c:pt>
                <c:pt idx="4">
                  <c:v>37316</c:v>
                </c:pt>
                <c:pt idx="5">
                  <c:v>37347</c:v>
                </c:pt>
                <c:pt idx="6">
                  <c:v>37377</c:v>
                </c:pt>
                <c:pt idx="7">
                  <c:v>37408</c:v>
                </c:pt>
                <c:pt idx="8">
                  <c:v>37438</c:v>
                </c:pt>
              </c:numCache>
            </c:numRef>
          </c:cat>
          <c:val>
            <c:numRef>
              <c:f>'Crude&amp;Products'!$Q$30:$Q$38</c:f>
              <c:numCache>
                <c:formatCode>_("$"* #,##0.00_);_("$"* \(#,##0.00\);_("$"* "-"??_);_(@_)</c:formatCode>
                <c:ptCount val="9"/>
                <c:pt idx="0">
                  <c:v>4.3665236051502143</c:v>
                </c:pt>
                <c:pt idx="1">
                  <c:v>4.3304721030042925</c:v>
                </c:pt>
                <c:pt idx="2">
                  <c:v>4.4169957081545075</c:v>
                </c:pt>
                <c:pt idx="3">
                  <c:v>4.3124463519313307</c:v>
                </c:pt>
                <c:pt idx="4">
                  <c:v>4.2223175965665227</c:v>
                </c:pt>
                <c:pt idx="5">
                  <c:v>4.1790557939914157</c:v>
                </c:pt>
                <c:pt idx="6">
                  <c:v>4.1538197424892696</c:v>
                </c:pt>
                <c:pt idx="7">
                  <c:v>4.1790557939914157</c:v>
                </c:pt>
                <c:pt idx="8">
                  <c:v>4.2115021459227471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8EE-4C02-BAFE-C02446512BE5}"/>
            </c:ext>
          </c:extLst>
        </c:ser>
        <c:ser>
          <c:idx val="2"/>
          <c:order val="2"/>
          <c:tx>
            <c:strRef>
              <c:f>'Crude&amp;Products'!$R$29</c:f>
              <c:strCache>
                <c:ptCount val="1"/>
                <c:pt idx="0">
                  <c:v>#6 1% NYH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Mode val="edge"/>
                  <c:yMode val="edge"/>
                  <c:x val="0.1220865704772475"/>
                  <c:y val="0.6655791190864600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58EE-4C02-BAFE-C02446512BE5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3307436182019978"/>
                  <c:y val="0.6851549755301794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58EE-4C02-BAFE-C02446512BE5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33407325194228638"/>
                  <c:y val="0.6704730831973898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58EE-4C02-BAFE-C02446512BE5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4617092119866814"/>
                  <c:y val="0.6769983686786297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8EE-4C02-BAFE-C02446512BE5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54605993340732517"/>
                  <c:y val="0.6867862969004894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8EE-4C02-BAFE-C02446512BE5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63817980022197562"/>
                  <c:y val="0.6623164763458401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8EE-4C02-BAFE-C02446512BE5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74250832408435075"/>
                  <c:y val="0.7047308319738988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8EE-4C02-BAFE-C02446512BE5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83462819089900109"/>
                  <c:y val="0.6982055464926590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8EE-4C02-BAFE-C02446512BE5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'Crude&amp;Products'!$O$30:$O$38</c:f>
              <c:numCache>
                <c:formatCode>mmm\-yy</c:formatCode>
                <c:ptCount val="9"/>
                <c:pt idx="0">
                  <c:v>37196</c:v>
                </c:pt>
                <c:pt idx="1">
                  <c:v>37226</c:v>
                </c:pt>
                <c:pt idx="2">
                  <c:v>37257</c:v>
                </c:pt>
                <c:pt idx="3">
                  <c:v>37288</c:v>
                </c:pt>
                <c:pt idx="4">
                  <c:v>37316</c:v>
                </c:pt>
                <c:pt idx="5">
                  <c:v>37347</c:v>
                </c:pt>
                <c:pt idx="6">
                  <c:v>37377</c:v>
                </c:pt>
                <c:pt idx="7">
                  <c:v>37408</c:v>
                </c:pt>
                <c:pt idx="8">
                  <c:v>37438</c:v>
                </c:pt>
              </c:numCache>
            </c:numRef>
          </c:cat>
          <c:val>
            <c:numRef>
              <c:f>'Crude&amp;Products'!$R$30:$R$38</c:f>
              <c:numCache>
                <c:formatCode>_("$"* #,##0.00_);_("$"* \(#,##0.00\);_("$"* "-"??_);_(@_)</c:formatCode>
                <c:ptCount val="9"/>
                <c:pt idx="0">
                  <c:v>2.8024769768180371</c:v>
                </c:pt>
                <c:pt idx="1">
                  <c:v>2.8739282311845034</c:v>
                </c:pt>
                <c:pt idx="2">
                  <c:v>2.9295014290250871</c:v>
                </c:pt>
                <c:pt idx="3">
                  <c:v>2.8977453159733249</c:v>
                </c:pt>
                <c:pt idx="4">
                  <c:v>2.8659892029215626</c:v>
                </c:pt>
                <c:pt idx="5">
                  <c:v>2.8342330898698003</c:v>
                </c:pt>
                <c:pt idx="6">
                  <c:v>2.8104160050809779</c:v>
                </c:pt>
                <c:pt idx="7">
                  <c:v>2.7945379485550972</c:v>
                </c:pt>
                <c:pt idx="8">
                  <c:v>2.8342330898698003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8EE-4C02-BAFE-C02446512BE5}"/>
            </c:ext>
          </c:extLst>
        </c:ser>
        <c:ser>
          <c:idx val="3"/>
          <c:order val="3"/>
          <c:tx>
            <c:strRef>
              <c:f>'Crude&amp;Products'!$S$29</c:f>
              <c:strCache>
                <c:ptCount val="1"/>
                <c:pt idx="0">
                  <c:v>#6 3% GC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Lbl>
              <c:idx val="0"/>
              <c:layout>
                <c:manualLayout>
                  <c:xMode val="edge"/>
                  <c:yMode val="edge"/>
                  <c:x val="0.14317425083240842"/>
                  <c:y val="0.7846655791190864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58EE-4C02-BAFE-C02446512BE5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4417314095449499"/>
                  <c:y val="0.7781402936378466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58EE-4C02-BAFE-C02446512BE5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34406215316315203"/>
                  <c:y val="0.7748776508972267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58EE-4C02-BAFE-C02446512BE5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450610432852386"/>
                  <c:y val="0.7748776508972267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58EE-4C02-BAFE-C02446512BE5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54605993340732517"/>
                  <c:y val="0.7683523654159869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8EE-4C02-BAFE-C02446512BE5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64483906770255273"/>
                  <c:y val="0.7601957585644372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58EE-4C02-BAFE-C02446512BE5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74472807991120982"/>
                  <c:y val="0.7585644371941272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58EE-4C02-BAFE-C02446512BE5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84572697003329633"/>
                  <c:y val="0.7536704730831973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58EE-4C02-BAFE-C02446512BE5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93451720310765818"/>
                  <c:y val="0.7520391517128874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58EE-4C02-BAFE-C02446512BE5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'Crude&amp;Products'!$O$30:$O$38</c:f>
              <c:numCache>
                <c:formatCode>mmm\-yy</c:formatCode>
                <c:ptCount val="9"/>
                <c:pt idx="0">
                  <c:v>37196</c:v>
                </c:pt>
                <c:pt idx="1">
                  <c:v>37226</c:v>
                </c:pt>
                <c:pt idx="2">
                  <c:v>37257</c:v>
                </c:pt>
                <c:pt idx="3">
                  <c:v>37288</c:v>
                </c:pt>
                <c:pt idx="4">
                  <c:v>37316</c:v>
                </c:pt>
                <c:pt idx="5">
                  <c:v>37347</c:v>
                </c:pt>
                <c:pt idx="6">
                  <c:v>37377</c:v>
                </c:pt>
                <c:pt idx="7">
                  <c:v>37408</c:v>
                </c:pt>
                <c:pt idx="8">
                  <c:v>37438</c:v>
                </c:pt>
              </c:numCache>
            </c:numRef>
          </c:cat>
          <c:val>
            <c:numRef>
              <c:f>'Crude&amp;Products'!$S$30:$S$38</c:f>
              <c:numCache>
                <c:formatCode>_("$"* #,##0.00_);_("$"* \(#,##0.00\);_("$"* "-"??_);_(@_)</c:formatCode>
                <c:ptCount val="9"/>
                <c:pt idx="0">
                  <c:v>2.3563947953030784</c:v>
                </c:pt>
                <c:pt idx="1">
                  <c:v>2.3722627737226278</c:v>
                </c:pt>
                <c:pt idx="2">
                  <c:v>2.3960647413519518</c:v>
                </c:pt>
                <c:pt idx="3">
                  <c:v>2.4119327197715013</c:v>
                </c:pt>
                <c:pt idx="4">
                  <c:v>2.4278006981910507</c:v>
                </c:pt>
                <c:pt idx="5">
                  <c:v>2.4436686766106002</c:v>
                </c:pt>
                <c:pt idx="6">
                  <c:v>2.4595366550301492</c:v>
                </c:pt>
                <c:pt idx="7">
                  <c:v>2.4754046334496986</c:v>
                </c:pt>
                <c:pt idx="8">
                  <c:v>2.4833386226594736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58EE-4C02-BAFE-C02446512BE5}"/>
            </c:ext>
          </c:extLst>
        </c:ser>
        <c:ser>
          <c:idx val="4"/>
          <c:order val="4"/>
          <c:tx>
            <c:strRef>
              <c:f>'Crude&amp;Products'!$T$29</c:f>
              <c:strCache>
                <c:ptCount val="1"/>
                <c:pt idx="0">
                  <c:v>TZ6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dLbls>
            <c:dLbl>
              <c:idx val="1"/>
              <c:layout>
                <c:manualLayout>
                  <c:xMode val="edge"/>
                  <c:yMode val="edge"/>
                  <c:x val="0.24528301886792453"/>
                  <c:y val="0.4176182707993474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58EE-4C02-BAFE-C02446512BE5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33962264150943394"/>
                  <c:y val="0.1288743882544861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58EE-4C02-BAFE-C02446512BE5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2841287458379579"/>
                  <c:y val="0.1517128874388254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58EE-4C02-BAFE-C02446512BE5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64483906770255273"/>
                  <c:y val="0.5318107667210439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58EE-4C02-BAFE-C02446512BE5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74916759156492785"/>
                  <c:y val="0.5301794453507341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58EE-4C02-BAFE-C02446512BE5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84017758046614877"/>
                  <c:y val="0.517128874388254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58EE-4C02-BAFE-C02446512BE5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94450610432852389"/>
                  <c:y val="0.512234910277324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58EE-4C02-BAFE-C02446512BE5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'Crude&amp;Products'!$O$30:$O$38</c:f>
              <c:numCache>
                <c:formatCode>mmm\-yy</c:formatCode>
                <c:ptCount val="9"/>
                <c:pt idx="0">
                  <c:v>37196</c:v>
                </c:pt>
                <c:pt idx="1">
                  <c:v>37226</c:v>
                </c:pt>
                <c:pt idx="2">
                  <c:v>37257</c:v>
                </c:pt>
                <c:pt idx="3">
                  <c:v>37288</c:v>
                </c:pt>
                <c:pt idx="4">
                  <c:v>37316</c:v>
                </c:pt>
                <c:pt idx="5">
                  <c:v>37347</c:v>
                </c:pt>
                <c:pt idx="6">
                  <c:v>37377</c:v>
                </c:pt>
                <c:pt idx="7">
                  <c:v>37408</c:v>
                </c:pt>
                <c:pt idx="8">
                  <c:v>37438</c:v>
                </c:pt>
              </c:numCache>
            </c:numRef>
          </c:cat>
          <c:val>
            <c:numRef>
              <c:f>'Crude&amp;Products'!$T$30:$T$38</c:f>
              <c:numCache>
                <c:formatCode>_("$"* #,##0.00_);_("$"* \(#,##0.00\);_("$"* "-"??_);_(@_)</c:formatCode>
                <c:ptCount val="9"/>
                <c:pt idx="0">
                  <c:v>3.4480000000000004</c:v>
                </c:pt>
                <c:pt idx="1">
                  <c:v>4.3230000000000004</c:v>
                </c:pt>
                <c:pt idx="2">
                  <c:v>5.6749999999999998</c:v>
                </c:pt>
                <c:pt idx="3">
                  <c:v>5.5430000000000001</c:v>
                </c:pt>
                <c:pt idx="4">
                  <c:v>4.0049999999999999</c:v>
                </c:pt>
                <c:pt idx="5">
                  <c:v>3.5250000000000004</c:v>
                </c:pt>
                <c:pt idx="6">
                  <c:v>3.5150000000000001</c:v>
                </c:pt>
                <c:pt idx="7">
                  <c:v>3.5350000000000001</c:v>
                </c:pt>
                <c:pt idx="8">
                  <c:v>3.64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58EE-4C02-BAFE-C02446512BE5}"/>
            </c:ext>
          </c:extLst>
        </c:ser>
        <c:ser>
          <c:idx val="5"/>
          <c:order val="5"/>
          <c:tx>
            <c:strRef>
              <c:f>'Crude&amp;Products'!$U$29</c:f>
              <c:strCache>
                <c:ptCount val="1"/>
                <c:pt idx="0">
                  <c:v>Nat Gas Nymex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Mode val="edge"/>
                  <c:yMode val="edge"/>
                  <c:x val="0.10432852386237514"/>
                  <c:y val="0.6721044045676998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58EE-4C02-BAFE-C02446512BE5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2863485016648169"/>
                  <c:y val="0.605220228384991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58EE-4C02-BAFE-C02446512BE5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34295227524972255"/>
                  <c:y val="0.580750407830342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58EE-4C02-BAFE-C02446512BE5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450610432852386"/>
                  <c:y val="0.5840130505709625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58EE-4C02-BAFE-C02446512BE5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54716981132075471"/>
                  <c:y val="0.590538336052202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58EE-4C02-BAFE-C02446512BE5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64594894561598226"/>
                  <c:y val="0.6084828711256117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58EE-4C02-BAFE-C02446512BE5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74583795782463924"/>
                  <c:y val="0.6068515497553017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58EE-4C02-BAFE-C02446512BE5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83129855715871259"/>
                  <c:y val="0.5970636215334420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58EE-4C02-BAFE-C02446512BE5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93895671476137621"/>
                  <c:y val="0.5889070146818923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58EE-4C02-BAFE-C02446512BE5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'Crude&amp;Products'!$O$30:$O$38</c:f>
              <c:numCache>
                <c:formatCode>mmm\-yy</c:formatCode>
                <c:ptCount val="9"/>
                <c:pt idx="0">
                  <c:v>37196</c:v>
                </c:pt>
                <c:pt idx="1">
                  <c:v>37226</c:v>
                </c:pt>
                <c:pt idx="2">
                  <c:v>37257</c:v>
                </c:pt>
                <c:pt idx="3">
                  <c:v>37288</c:v>
                </c:pt>
                <c:pt idx="4">
                  <c:v>37316</c:v>
                </c:pt>
                <c:pt idx="5">
                  <c:v>37347</c:v>
                </c:pt>
                <c:pt idx="6">
                  <c:v>37377</c:v>
                </c:pt>
                <c:pt idx="7">
                  <c:v>37408</c:v>
                </c:pt>
                <c:pt idx="8">
                  <c:v>37438</c:v>
                </c:pt>
              </c:numCache>
            </c:numRef>
          </c:cat>
          <c:val>
            <c:numRef>
              <c:f>'Crude&amp;Products'!$U$30:$U$38</c:f>
              <c:numCache>
                <c:formatCode>_("$"* #,##0.00_);_("$"* \(#,##0.00\);_("$"* "-"??_);_(@_)</c:formatCode>
                <c:ptCount val="9"/>
                <c:pt idx="0">
                  <c:v>2.9380000000000002</c:v>
                </c:pt>
                <c:pt idx="1">
                  <c:v>3.1030000000000002</c:v>
                </c:pt>
                <c:pt idx="2">
                  <c:v>3.25</c:v>
                </c:pt>
                <c:pt idx="3">
                  <c:v>3.2480000000000002</c:v>
                </c:pt>
                <c:pt idx="4">
                  <c:v>3.1949999999999998</c:v>
                </c:pt>
                <c:pt idx="5">
                  <c:v>3.0950000000000002</c:v>
                </c:pt>
                <c:pt idx="6">
                  <c:v>3.125</c:v>
                </c:pt>
                <c:pt idx="7">
                  <c:v>3.165</c:v>
                </c:pt>
                <c:pt idx="8">
                  <c:v>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58EE-4C02-BAFE-C02446512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6859343"/>
        <c:axId val="1"/>
      </c:lineChart>
      <c:dateAx>
        <c:axId val="1636859343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ax val="6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2414355628058725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.0_);_(\$* \(#,##0.0\);_(\$* &quot;-&quot;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6859343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861265260821311"/>
          <c:y val="0.9559543230016313"/>
          <c:w val="0.58046614872364044"/>
          <c:h val="3.7520391517128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Products Curves</a:t>
            </a:r>
          </a:p>
        </c:rich>
      </c:tx>
      <c:layout>
        <c:manualLayout>
          <c:xMode val="edge"/>
          <c:yMode val="edge"/>
          <c:x val="0.42508324084350724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153163152053277E-2"/>
          <c:y val="0.12071778140293637"/>
          <c:w val="0.90233074361820198"/>
          <c:h val="0.76835236541598695"/>
        </c:manualLayout>
      </c:layout>
      <c:lineChart>
        <c:grouping val="standard"/>
        <c:varyColors val="0"/>
        <c:ser>
          <c:idx val="0"/>
          <c:order val="0"/>
          <c:tx>
            <c:strRef>
              <c:f>'Crude&amp;Products'!$E$7</c:f>
              <c:strCache>
                <c:ptCount val="1"/>
                <c:pt idx="0">
                  <c:v>HU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'Crude&amp;Products'!$B$8:$B$15</c:f>
              <c:numCache>
                <c:formatCode>mmm\-yy</c:formatCode>
                <c:ptCount val="8"/>
                <c:pt idx="0">
                  <c:v>37196</c:v>
                </c:pt>
                <c:pt idx="1">
                  <c:v>37226</c:v>
                </c:pt>
                <c:pt idx="2">
                  <c:v>37257</c:v>
                </c:pt>
                <c:pt idx="3">
                  <c:v>37288</c:v>
                </c:pt>
                <c:pt idx="4">
                  <c:v>37316</c:v>
                </c:pt>
                <c:pt idx="5">
                  <c:v>37347</c:v>
                </c:pt>
                <c:pt idx="6">
                  <c:v>37377</c:v>
                </c:pt>
                <c:pt idx="7">
                  <c:v>37408</c:v>
                </c:pt>
              </c:numCache>
            </c:numRef>
          </c:cat>
          <c:val>
            <c:numRef>
              <c:f>'Crude&amp;Products'!$E$8:$E$15</c:f>
              <c:numCache>
                <c:formatCode>0.000</c:formatCode>
                <c:ptCount val="8"/>
                <c:pt idx="0">
                  <c:v>55.6</c:v>
                </c:pt>
                <c:pt idx="1">
                  <c:v>56.15</c:v>
                </c:pt>
                <c:pt idx="2">
                  <c:v>57.2</c:v>
                </c:pt>
                <c:pt idx="3">
                  <c:v>58.5</c:v>
                </c:pt>
                <c:pt idx="4">
                  <c:v>59.45</c:v>
                </c:pt>
                <c:pt idx="5">
                  <c:v>66.5</c:v>
                </c:pt>
                <c:pt idx="6">
                  <c:v>65.2</c:v>
                </c:pt>
                <c:pt idx="7">
                  <c:v>66.95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EB-4E55-9D1B-ACDA525D9F0E}"/>
            </c:ext>
          </c:extLst>
        </c:ser>
        <c:ser>
          <c:idx val="1"/>
          <c:order val="1"/>
          <c:tx>
            <c:strRef>
              <c:f>'Crude&amp;Products'!$F$7</c:f>
              <c:strCache>
                <c:ptCount val="1"/>
                <c:pt idx="0">
                  <c:v>HO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'Crude&amp;Products'!$B$8:$B$15</c:f>
              <c:numCache>
                <c:formatCode>mmm\-yy</c:formatCode>
                <c:ptCount val="8"/>
                <c:pt idx="0">
                  <c:v>37196</c:v>
                </c:pt>
                <c:pt idx="1">
                  <c:v>37226</c:v>
                </c:pt>
                <c:pt idx="2">
                  <c:v>37257</c:v>
                </c:pt>
                <c:pt idx="3">
                  <c:v>37288</c:v>
                </c:pt>
                <c:pt idx="4">
                  <c:v>37316</c:v>
                </c:pt>
                <c:pt idx="5">
                  <c:v>37347</c:v>
                </c:pt>
                <c:pt idx="6">
                  <c:v>37377</c:v>
                </c:pt>
                <c:pt idx="7">
                  <c:v>37408</c:v>
                </c:pt>
              </c:numCache>
            </c:numRef>
          </c:cat>
          <c:val>
            <c:numRef>
              <c:f>'Crude&amp;Products'!$F$8:$F$15</c:f>
              <c:numCache>
                <c:formatCode>0.000</c:formatCode>
                <c:ptCount val="8"/>
                <c:pt idx="0">
                  <c:v>60</c:v>
                </c:pt>
                <c:pt idx="1">
                  <c:v>61.2</c:v>
                </c:pt>
                <c:pt idx="2">
                  <c:v>61.9</c:v>
                </c:pt>
                <c:pt idx="3">
                  <c:v>61.9</c:v>
                </c:pt>
                <c:pt idx="4">
                  <c:v>60.6</c:v>
                </c:pt>
                <c:pt idx="5">
                  <c:v>59.55</c:v>
                </c:pt>
                <c:pt idx="6">
                  <c:v>59.15</c:v>
                </c:pt>
                <c:pt idx="7">
                  <c:v>58.9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EB-4E55-9D1B-ACDA525D9F0E}"/>
            </c:ext>
          </c:extLst>
        </c:ser>
        <c:ser>
          <c:idx val="2"/>
          <c:order val="2"/>
          <c:tx>
            <c:strRef>
              <c:f>'Crude&amp;Products'!$M$7</c:f>
              <c:strCache>
                <c:ptCount val="1"/>
                <c:pt idx="0">
                  <c:v>#2 NYH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'Crude&amp;Products'!$M$8:$M$16</c:f>
              <c:numCache>
                <c:formatCode>0.000</c:formatCode>
                <c:ptCount val="9"/>
                <c:pt idx="0">
                  <c:v>63.240476190476194</c:v>
                </c:pt>
                <c:pt idx="1">
                  <c:v>63.959523809523809</c:v>
                </c:pt>
                <c:pt idx="2">
                  <c:v>64.55952380952381</c:v>
                </c:pt>
                <c:pt idx="3">
                  <c:v>64.209523809523802</c:v>
                </c:pt>
                <c:pt idx="4">
                  <c:v>62.759523809523813</c:v>
                </c:pt>
                <c:pt idx="5">
                  <c:v>61.509523809523813</c:v>
                </c:pt>
                <c:pt idx="6">
                  <c:v>60.309523809523803</c:v>
                </c:pt>
                <c:pt idx="7">
                  <c:v>59.959523809523809</c:v>
                </c:pt>
                <c:pt idx="8">
                  <c:v>60.309523809523803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EB-4E55-9D1B-ACDA525D9F0E}"/>
            </c:ext>
          </c:extLst>
        </c:ser>
        <c:ser>
          <c:idx val="3"/>
          <c:order val="3"/>
          <c:tx>
            <c:strRef>
              <c:f>'Crude&amp;Products'!$N$7</c:f>
              <c:strCache>
                <c:ptCount val="1"/>
                <c:pt idx="0">
                  <c:v>#2 GC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x"/>
            <c:size val="7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'Crude&amp;Products'!$N$8:$N$16</c:f>
              <c:numCache>
                <c:formatCode>0.000</c:formatCode>
                <c:ptCount val="9"/>
                <c:pt idx="0">
                  <c:v>60.55952380952381</c:v>
                </c:pt>
                <c:pt idx="1">
                  <c:v>60.059523809523817</c:v>
                </c:pt>
                <c:pt idx="2">
                  <c:v>61.25952380952382</c:v>
                </c:pt>
                <c:pt idx="3">
                  <c:v>59.80952380952381</c:v>
                </c:pt>
                <c:pt idx="4">
                  <c:v>58.559523809523803</c:v>
                </c:pt>
                <c:pt idx="5">
                  <c:v>57.959523809523802</c:v>
                </c:pt>
                <c:pt idx="6">
                  <c:v>57.609523809523807</c:v>
                </c:pt>
                <c:pt idx="7">
                  <c:v>57.959523809523802</c:v>
                </c:pt>
                <c:pt idx="8">
                  <c:v>58.409523809523812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EB-4E55-9D1B-ACDA525D9F0E}"/>
            </c:ext>
          </c:extLst>
        </c:ser>
        <c:ser>
          <c:idx val="4"/>
          <c:order val="4"/>
          <c:tx>
            <c:strRef>
              <c:f>'Crude&amp;Products'!$O$7</c:f>
              <c:strCache>
                <c:ptCount val="1"/>
                <c:pt idx="0">
                  <c:v>Jet #54 GC</c:v>
                </c:pt>
              </c:strCache>
            </c:strRef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star"/>
            <c:size val="7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val>
            <c:numRef>
              <c:f>'Crude&amp;Products'!$O$8:$O$16</c:f>
              <c:numCache>
                <c:formatCode>0.000</c:formatCode>
                <c:ptCount val="9"/>
                <c:pt idx="0">
                  <c:v>62.709523809523816</c:v>
                </c:pt>
                <c:pt idx="1">
                  <c:v>63.309523809523803</c:v>
                </c:pt>
                <c:pt idx="2">
                  <c:v>64.959523809523816</c:v>
                </c:pt>
                <c:pt idx="3">
                  <c:v>63.509523809523813</c:v>
                </c:pt>
                <c:pt idx="4">
                  <c:v>62.259523809523806</c:v>
                </c:pt>
                <c:pt idx="5">
                  <c:v>61.209523809523816</c:v>
                </c:pt>
                <c:pt idx="6">
                  <c:v>60.859523809523807</c:v>
                </c:pt>
                <c:pt idx="7">
                  <c:v>61.209523809523816</c:v>
                </c:pt>
                <c:pt idx="8">
                  <c:v>62.409523809523805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EB-4E55-9D1B-ACDA525D9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6857951"/>
        <c:axId val="1"/>
      </c:lineChart>
      <c:dateAx>
        <c:axId val="1636857951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ax val="70"/>
          <c:min val="5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c/gal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763458401305056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6857951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0521642619311878"/>
          <c:y val="0.9559543230016313"/>
          <c:w val="0.41509433962264153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4"/>
  <sheetViews>
    <sheetView zoomScale="89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5"/>
  <sheetViews>
    <sheetView zoomScale="89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6"/>
  <sheetViews>
    <sheetView zoomScale="89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C1214C4-4574-34C5-F054-E72AD1CBF7B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C26AE9E6-3BA7-45BE-A166-F8E5D199C8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0D4779B-FCA1-8261-9A28-5305D1295A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0#C-A=PLT,DISPLAY NAME,1" advise="1">
        <values>
          <value t="str">
            <val xml:space="preserve">Asian Crudes    </val>
          </value>
        </values>
      </ddeItem>
      <ddeItem name="0#C-I=PLT,DISPLAY NAME,1" advise="1">
        <values>
          <value t="str">
            <val xml:space="preserve">Intn'l Crudes   </val>
          </value>
        </values>
      </ddeItem>
      <ddeItem name="0#C-N=PLT,DISPLAY NAME,1" advise="1">
        <values>
          <value t="str">
            <val xml:space="preserve">American Crudes </val>
          </value>
        </values>
      </ddeItem>
      <ddeItem name="0#C-SA=PLT,DISPLAY NAME,1" advise="1">
        <values>
          <value t="str">
            <val xml:space="preserve">LatAm Crudes    </val>
          </value>
        </values>
      </ddeItem>
      <ddeItem name="0#P-CHI=PLT,DISPLAY NAME,1" advise="1">
        <values>
          <value t="str">
            <val>Chicago Products</val>
          </value>
        </values>
      </ddeItem>
      <ddeItem name="0#P-NYH=PLT,DISPLAY NAME,1" advise="1">
        <values>
          <value t="str">
            <val xml:space="preserve">NY Products     </val>
          </value>
        </values>
      </ddeItem>
      <ddeItem name="0#P-USG=PLT,DISPLAY NAME,1" advise="1">
        <values>
          <value t="str">
            <val>US Gulf Products</val>
          </value>
        </values>
      </ddeItem>
      <ddeItem name="AABHK00,DISPLAY NAME,1" advise="1">
        <values>
          <value t="str">
            <val xml:space="preserve">Poseidon 1st Mo </val>
          </value>
        </values>
      </ddeItem>
      <ddeItem name="AABHK00,PRC AREA,1" advise="1">
        <values>
          <value t="str">
            <val>StJm</val>
          </value>
        </values>
      </ddeItem>
      <ddeItem name="AABHK00,PRIM ACT 1,1" advise="1">
        <values>
          <value>
            <val>17.940000000000001</val>
          </value>
        </values>
      </ddeItem>
      <ddeItem name="AABHK00,SECOND ACTIVY 1,1" advise="1">
        <values>
          <value>
            <val>17.97</val>
          </value>
        </values>
      </ddeItem>
      <ddeItem name="AABHM00,DISPLAY NAME,1" advise="1">
        <values>
          <value t="str">
            <val xml:space="preserve">Mars 1st Mo     </val>
          </value>
        </values>
      </ddeItem>
      <ddeItem name="AABHM00,PRC AREA,1" advise="1">
        <values>
          <value t="str">
            <val>StJm</val>
          </value>
        </values>
      </ddeItem>
      <ddeItem name="AABHM00,PRIM ACT 1,1" advise="1">
        <values>
          <value>
            <val>17.32</val>
          </value>
        </values>
      </ddeItem>
      <ddeItem name="AABHM00,SECOND ACTIVY 1,1" advise="1">
        <values>
          <value>
            <val>17.34</val>
          </value>
        </values>
      </ddeItem>
      <ddeItem name="AAEJB00,DISPLAY NAME,1" advise="1">
        <values>
          <value t="str">
            <val xml:space="preserve">Brass River     </val>
          </value>
        </values>
      </ddeItem>
      <ddeItem name="AAEJB00,PRC AREA,1" advise="1">
        <values>
          <value t="str">
            <val xml:space="preserve">Nig </val>
          </value>
        </values>
      </ddeItem>
      <ddeItem name="AAEJB00,PRIM ACT 1,1" advise="1">
        <values>
          <value>
            <val>20.329999999999998</val>
          </value>
        </values>
      </ddeItem>
      <ddeItem name="AAEJB00,SECOND ACTIVY 1,1" advise="1">
        <values>
          <value>
            <val>20.420000000000002</val>
          </value>
        </values>
      </ddeItem>
      <ddeItem name="AAEJD00,DISPLAY NAME,1" advise="1">
        <values>
          <value t="str">
            <val xml:space="preserve">Kirkuk Ceyhan   </val>
          </value>
        </values>
      </ddeItem>
      <ddeItem name="AAEJD00,PRC AREA,1" advise="1">
        <values>
          <value t="str">
            <val xml:space="preserve">Med </val>
          </value>
        </values>
      </ddeItem>
      <ddeItem name="AAEJD00,PRIM ACT 1,1" advise="1">
        <values>
          <value>
            <val>18.91</val>
          </value>
        </values>
      </ddeItem>
      <ddeItem name="AAEJD00,SECOND ACTIVY 1,1" advise="1">
        <values>
          <value>
            <val>19</val>
          </value>
        </values>
      </ddeItem>
      <ddeItem name="AAEJH00,DISPLAY NAME,1" advise="1">
        <values>
          <value t="str">
            <val xml:space="preserve">Basrah Light    </val>
          </value>
        </values>
      </ddeItem>
      <ddeItem name="AAEJH00,PRC AREA,1" advise="1">
        <values>
          <value t="str">
            <val xml:space="preserve">USG </val>
          </value>
        </values>
      </ddeItem>
      <ddeItem name="AAEJH00,PRIM ACT 1,1" advise="1">
        <values>
          <value>
            <val>17.29</val>
          </value>
        </values>
      </ddeItem>
      <ddeItem name="AAEJH00,SECOND ACTIVY 1,1" advise="1">
        <values>
          <value>
            <val>17.39</val>
          </value>
        </values>
      </ddeItem>
      <ddeItem name="AAEUQ00,DISPLAY NAME,1" advise="1">
        <values>
          <value t="str">
            <val xml:space="preserve">OPEC Basket     </val>
          </value>
        </values>
      </ddeItem>
      <ddeItem name="AAEUQ00,PRIM ACT 1,1" advise="1">
        <values>
          <value>
            <val>23.75</val>
          </value>
        </values>
      </ddeItem>
      <ddeItem name="BON-E,ASK,1" advise="1">
        <values>
          <value>
            <val>19.7</val>
          </value>
        </values>
      </ddeItem>
      <ddeItem name="BON-E,BID,1" advise="1">
        <values>
          <value>
            <val>19.68</val>
          </value>
        </values>
      </ddeItem>
      <ddeItem name="BRT-,ASK,1" advise="1">
        <values>
          <value>
            <val>19.600000000000001</val>
          </value>
        </values>
      </ddeItem>
      <ddeItem name="BRT-,BID,1" advise="1">
        <values>
          <value>
            <val>19.579999999999998</val>
          </value>
        </values>
      </ddeItem>
      <ddeItem name="CLF2,PRIM ACT 1,1" advise="1">
        <values>
          <value>
            <val>21.3</val>
          </value>
        </values>
      </ddeItem>
      <ddeItem name="CLF3,PRIM ACT 1,1" advise="1">
        <values>
          <value>
            <val>21.3</val>
          </value>
        </values>
      </ddeItem>
      <ddeItem name="CLG2,PRIM ACT 1,1" advise="1">
        <values>
          <value>
            <val>21.54</val>
          </value>
        </values>
      </ddeItem>
      <ddeItem name="CLG3,PRIM ACT 1,1" advise="1">
        <values>
          <value>
            <val>21.3</val>
          </value>
        </values>
      </ddeItem>
      <ddeItem name="CLH2,PRIM ACT 1,1" advise="1">
        <values>
          <value>
            <val>21.65</val>
          </value>
        </values>
      </ddeItem>
      <ddeItem name="CLH3,PRIM ACT 1,1" advise="1">
        <values>
          <value>
            <val>21.54</val>
          </value>
        </values>
      </ddeItem>
      <ddeItem name="CLJ2,PRIM ACT 1,1" advise="1">
        <values>
          <value>
            <val>21.55</val>
          </value>
        </values>
      </ddeItem>
      <ddeItem name="CLJ3,PRIM ACT 1,1" advise="1">
        <values>
          <value>
            <val>21.48</val>
          </value>
        </values>
      </ddeItem>
      <ddeItem name="CLK2,PRIM ACT 1,1" advise="1">
        <values>
          <value>
            <val>21.5</val>
          </value>
        </values>
      </ddeItem>
      <ddeItem name="CLM2,PRIM ACT 1,1" advise="1">
        <values>
          <value>
            <val>21.64</val>
          </value>
        </values>
      </ddeItem>
      <ddeItem name="CLN2,PRIM ACT 1,1" advise="1">
        <values>
          <value>
            <val>21.7</val>
          </value>
        </values>
      </ddeItem>
      <ddeItem name="CLQ2,PRIM ACT 1,1" advise="1">
        <values>
          <value>
            <val>21.58</val>
          </value>
        </values>
      </ddeItem>
      <ddeItem name="CLU2,PRIM ACT 1,1" advise="1">
        <values>
          <value>
            <val>21.45</val>
          </value>
        </values>
      </ddeItem>
      <ddeItem name="CLV2,PRIM ACT 1,1" advise="1">
        <values>
          <value>
            <val>21.84</val>
          </value>
        </values>
      </ddeItem>
      <ddeItem name="CLX1,PRIM ACT 1,1" advise="1">
        <values>
          <value t="str">
            <val>#N/A N/A</val>
          </value>
        </values>
      </ddeItem>
      <ddeItem name="CLX2,PRIM ACT 1,1" advise="1">
        <values>
          <value>
            <val>21.78</val>
          </value>
        </values>
      </ddeItem>
      <ddeItem name="CLZ1,PRIM ACT 1,1" advise="1">
        <values>
          <value>
            <val>21.15</val>
          </value>
        </values>
      </ddeItem>
      <ddeItem name="CLZ2,PRIM ACT 1,1" advise="1">
        <values>
          <value>
            <val>21.41</val>
          </value>
        </values>
      </ddeItem>
      <ddeItem name="HOF2,PRIM ACT 1,1" advise="1">
        <values>
          <value>
            <val>6190</val>
          </value>
        </values>
      </ddeItem>
      <ddeItem name="HOF3,PRIM ACT 1,1" advise="1">
        <values>
          <value>
            <val>6250</val>
          </value>
        </values>
      </ddeItem>
      <ddeItem name="HOG2,PRIM ACT 1,1" advise="1">
        <values>
          <value>
            <val>6190</val>
          </value>
        </values>
      </ddeItem>
      <ddeItem name="HOG3,PRIM ACT 1,1" advise="1">
        <values>
          <value>
            <val>6250</val>
          </value>
        </values>
      </ddeItem>
      <ddeItem name="HOH2,PRIM ACT 1,1" advise="1">
        <values>
          <value>
            <val>6060</val>
          </value>
        </values>
      </ddeItem>
      <ddeItem name="HOH3,PRIM ACT 1,1" advise="1">
        <values>
          <value>
            <val>6110</val>
          </value>
        </values>
      </ddeItem>
      <ddeItem name="HOJ2,PRIM ACT 1,1" advise="1">
        <values>
          <value>
            <val>5955</val>
          </value>
        </values>
      </ddeItem>
      <ddeItem name="HOJ3,PRIM ACT 1,1" advise="1">
        <values>
          <value>
            <val>6000</val>
          </value>
        </values>
      </ddeItem>
      <ddeItem name="HOK2,PRIM ACT 1,1" advise="1">
        <values>
          <value>
            <val>5915</val>
          </value>
        </values>
      </ddeItem>
      <ddeItem name="HOM2,PRIM ACT 1,1" advise="1">
        <values>
          <value>
            <val>5890</val>
          </value>
        </values>
      </ddeItem>
      <ddeItem name="HON2,PRIM ACT 1,1" advise="1">
        <values>
          <value>
            <val>5935</val>
          </value>
        </values>
      </ddeItem>
      <ddeItem name="HOQ2,PRIM ACT 1,1" advise="1">
        <values>
          <value>
            <val>5925</val>
          </value>
        </values>
      </ddeItem>
      <ddeItem name="HOU2,PRIM ACT 1,1" advise="1">
        <values>
          <value>
            <val>6070</val>
          </value>
        </values>
      </ddeItem>
      <ddeItem name="HOV2,PRIM ACT 1,1" advise="1">
        <values>
          <value>
            <val>6100</val>
          </value>
        </values>
      </ddeItem>
      <ddeItem name="HOX1,PRIM ACT 1,1" advise="1">
        <values>
          <value>
            <val>6000</val>
          </value>
        </values>
      </ddeItem>
      <ddeItem name="HOX2,PRIM ACT 1,1" advise="1">
        <values>
          <value>
            <val>6170</val>
          </value>
        </values>
      </ddeItem>
      <ddeItem name="HOZ1,PRIM ACT 1,1" advise="1">
        <values>
          <value>
            <val>6120</val>
          </value>
        </values>
      </ddeItem>
      <ddeItem name="HOZ2,PRIM ACT 1,1" advise="1">
        <values>
          <value>
            <val>6250</val>
          </value>
        </values>
      </ddeItem>
      <ddeItem name="HUF2,PRIM ACT 1,1" advise="1">
        <values>
          <value>
            <val>5720</val>
          </value>
        </values>
      </ddeItem>
      <ddeItem name="HUG2,PRIM ACT 1,1" advise="1">
        <values>
          <value>
            <val>5850</val>
          </value>
        </values>
      </ddeItem>
      <ddeItem name="HUH2,PRIM ACT 1,1" advise="1">
        <values>
          <value>
            <val>5945</val>
          </value>
        </values>
      </ddeItem>
      <ddeItem name="HUJ2,PRIM ACT 1,1" advise="1">
        <values>
          <value>
            <val>6650</val>
          </value>
        </values>
      </ddeItem>
      <ddeItem name="HUK2,PRIM ACT 1,1" advise="1">
        <values>
          <value>
            <val>6520</val>
          </value>
        </values>
      </ddeItem>
      <ddeItem name="HUM2,PRIM ACT 1,1" advise="1">
        <values>
          <value>
            <val>6695</val>
          </value>
        </values>
      </ddeItem>
      <ddeItem name="HUN2,PRIM ACT 1,1" advise="1">
        <values>
          <value>
            <val>6645</val>
          </value>
        </values>
      </ddeItem>
      <ddeItem name="HUQ2,PRIM ACT 1,1" advise="1">
        <values>
          <value>
            <val>6546</val>
          </value>
        </values>
      </ddeItem>
      <ddeItem name="HUU2,PRIM ACT 1,1" advise="1">
        <values>
          <value>
            <val>6416</val>
          </value>
        </values>
      </ddeItem>
      <ddeItem name="HUX1,PRIM ACT 1,1" advise="1">
        <values>
          <value>
            <val>5560</val>
          </value>
        </values>
      </ddeItem>
      <ddeItem name="HUZ1,PRIM ACT 1,1" advise="1">
        <values>
          <value>
            <val>5615</val>
          </value>
        </values>
      </ddeItem>
      <ddeItem name="LCOF2,LAST,1" advise="1">
        <values>
          <value>
            <val>2032</val>
          </value>
        </values>
      </ddeItem>
      <ddeItem name="LCOG2,LAST,1" advise="1">
        <values>
          <value>
            <val>2045</val>
          </value>
        </values>
      </ddeItem>
      <ddeItem name="LCOH2,LAST,1" advise="1">
        <values>
          <value>
            <val>2050</val>
          </value>
        </values>
      </ddeItem>
      <ddeItem name="LCOJ2,LAST,1" advise="1">
        <values>
          <value>
            <val>2050</val>
          </value>
        </values>
      </ddeItem>
      <ddeItem name="LCOK2,LAST,1" advise="1">
        <values>
          <value>
            <val>2055</val>
          </value>
        </values>
      </ddeItem>
      <ddeItem name="LCOM2,LAST,1" advise="1">
        <values>
          <value>
            <val>2053</val>
          </value>
        </values>
      </ddeItem>
      <ddeItem name="LCOX1,LAST,1" advise="1">
        <values>
          <value t="str">
            <val>#N/A N/A</val>
          </value>
        </values>
      </ddeItem>
      <ddeItem name="LCOZ1,LAST,1" advise="1">
        <values>
          <value>
            <val>2025</val>
          </value>
        </values>
      </ddeItem>
      <ddeItem name="LCOZ2,LAST,1" advise="1">
        <values>
          <value>
            <val>2047</val>
          </value>
        </values>
      </ddeItem>
      <ddeItem name="LGOF2,LAST,1" advise="1">
        <values>
          <value>
            <val>18425</val>
          </value>
        </values>
      </ddeItem>
      <ddeItem name="LGOG2,LAST,1" advise="1">
        <values>
          <value>
            <val>18225</val>
          </value>
        </values>
      </ddeItem>
      <ddeItem name="LGOH2,LAST,1" advise="1">
        <values>
          <value>
            <val>18200</val>
          </value>
        </values>
      </ddeItem>
      <ddeItem name="LGOJ2,LAST,1" advise="1">
        <values>
          <value>
            <val>18150</val>
          </value>
        </values>
      </ddeItem>
      <ddeItem name="LGOK2,LAST,1" advise="1">
        <values>
          <value>
            <val>18500</val>
          </value>
        </values>
      </ddeItem>
      <ddeItem name="LGOM2,LAST,1" advise="1">
        <values>
          <value>
            <val>18000</val>
          </value>
        </values>
      </ddeItem>
      <ddeItem name="LGON2,LAST,1" advise="1">
        <values>
          <value>
            <val>0</val>
          </value>
        </values>
      </ddeItem>
      <ddeItem name="LGOV1,LAST,1" advise="1">
        <values>
          <value t="str">
            <val>#N/A N/A</val>
          </value>
        </values>
      </ddeItem>
      <ddeItem name="LGOX1,LAST,1" advise="1">
        <values>
          <value>
            <val>18600</val>
          </value>
        </values>
      </ddeItem>
      <ddeItem name="LGOZ1,LAST,1" advise="1">
        <values>
          <value>
            <val>18375</val>
          </value>
        </values>
      </ddeItem>
      <ddeItem name="NGF2,PRIM ACT 1,1" advise="1">
        <values>
          <value>
            <val>3.33</val>
          </value>
        </values>
      </ddeItem>
      <ddeItem name="NGF3,PRIM ACT 1,1" advise="1">
        <values>
          <value>
            <val>3.8149999999999999</val>
          </value>
        </values>
      </ddeItem>
      <ddeItem name="NGG2,PRIM ACT 1,1" advise="1">
        <values>
          <value>
            <val>3.3250000000000002</val>
          </value>
        </values>
      </ddeItem>
      <ddeItem name="NGG3,PRIM ACT 1,1" advise="1">
        <values>
          <value>
            <val>3.73</val>
          </value>
        </values>
      </ddeItem>
      <ddeItem name="NGH2,PRIM ACT 1,1" advise="1">
        <values>
          <value>
            <val>3.27</val>
          </value>
        </values>
      </ddeItem>
      <ddeItem name="NGH3,PRIM ACT 1,1" advise="1">
        <values>
          <value>
            <val>3.6349999999999998</val>
          </value>
        </values>
      </ddeItem>
      <ddeItem name="NGJ2,PRIM ACT 1,1" advise="1">
        <values>
          <value>
            <val>3.18</val>
          </value>
        </values>
      </ddeItem>
      <ddeItem name="NGJ3,PRIM ACT 1,1" advise="1">
        <values>
          <value>
            <val>3.51</val>
          </value>
        </values>
      </ddeItem>
      <ddeItem name="NGK2,PRIM ACT 1,1" advise="1">
        <values>
          <value>
            <val>3.2050000000000001</val>
          </value>
        </values>
      </ddeItem>
      <ddeItem name="NGK3,PRIM ACT 1,1" advise="1">
        <values>
          <value>
            <val>3.51</val>
          </value>
        </values>
      </ddeItem>
      <ddeItem name="NGM2,PRIM ACT 1,1" advise="1">
        <values>
          <value>
            <val>3.24</val>
          </value>
        </values>
      </ddeItem>
      <ddeItem name="NGN2,PRIM ACT 1,1" advise="1">
        <values>
          <value>
            <val>3.2850000000000001</val>
          </value>
        </values>
      </ddeItem>
      <ddeItem name="NGN3,PRIM ACT 1,1" advise="1">
        <values>
          <value>
            <val>3.585</val>
          </value>
        </values>
      </ddeItem>
      <ddeItem name="NGQ2,PRIM ACT 1,1" advise="1">
        <values>
          <value>
            <val>3.3250000000000002</val>
          </value>
        </values>
      </ddeItem>
      <ddeItem name="NGU2,PRIM ACT 1,1" advise="1">
        <values>
          <value>
            <val>3.3250000000000002</val>
          </value>
        </values>
      </ddeItem>
      <ddeItem name="NGV2,PRIM ACT 1,1" advise="1">
        <values>
          <value>
            <val>3.355</val>
          </value>
        </values>
      </ddeItem>
      <ddeItem name="NGX1,PRIM ACT 1,1" advise="1">
        <values>
          <value>
            <val>3.202</val>
          </value>
        </values>
      </ddeItem>
      <ddeItem name="NGX2,PRIM ACT 1,1" advise="1">
        <values>
          <value>
            <val>3.5249999999999999</val>
          </value>
        </values>
      </ddeItem>
      <ddeItem name="NGZ1,PRIM ACT 1,1" advise="1">
        <values>
          <value>
            <val>3.18</val>
          </value>
        </values>
      </ddeItem>
      <ddeItem name="NGZ2,PRIM ACT 1,1" advise="1">
        <values>
          <value>
            <val>3.7250000000000001</val>
          </value>
        </values>
      </ddeItem>
      <ddeItem name="PCAAD00,DISPLAY NAME,1" advise="1">
        <values>
          <value t="str">
            <val xml:space="preserve">ANS Long Beach  </val>
          </value>
        </values>
      </ddeItem>
      <ddeItem name="PCAAD00,PRC AREA,1" advise="1">
        <values>
          <value t="str">
            <val>LBch</val>
          </value>
        </values>
      </ddeItem>
      <ddeItem name="PCAAD00,PRIM ACT 1,1" advise="1">
        <values>
          <value>
            <val>19.100000000000001</val>
          </value>
        </values>
      </ddeItem>
      <ddeItem name="PCAAD00,SECOND ACTIVY 1,1" advise="1">
        <values>
          <value>
            <val>19.12</val>
          </value>
        </values>
      </ddeItem>
      <ddeItem name="PCAAT00,DISPLAY NAME,1" advise="1">
        <values>
          <value t="str">
            <val xml:space="preserve">Dubai 1Mo       </val>
          </value>
        </values>
      </ddeItem>
      <ddeItem name="PCAAT00,PRC AREA,1" advise="1">
        <values>
          <value t="str">
            <val>Orig</val>
          </value>
        </values>
      </ddeItem>
      <ddeItem name="PCAAT00,PRIM ACT 1,1" advise="1">
        <values>
          <value>
            <val>19.13</val>
          </value>
        </values>
      </ddeItem>
      <ddeItem name="PCAAT00,SECOND ACTIVY 1,1" advise="1">
        <values>
          <value>
            <val>19.170000000000002</val>
          </value>
        </values>
      </ddeItem>
      <ddeItem name="PCABD00,DISPLAY NAME,1" advise="1">
        <values>
          <value t="str">
            <val xml:space="preserve">HLS             </val>
          </value>
        </values>
      </ddeItem>
      <ddeItem name="PCABD00,PRC AREA,1" advise="1">
        <values>
          <value t="str">
            <val xml:space="preserve">Emp </val>
          </value>
        </values>
      </ddeItem>
      <ddeItem name="PCABD00,PRIM ACT 1,1" advise="1">
        <values>
          <value>
            <val>21.46</val>
          </value>
        </values>
      </ddeItem>
      <ddeItem name="PCABD00,SECOND ACTIVY 1,1" advise="1">
        <values>
          <value>
            <val>21.49</val>
          </value>
        </values>
      </ddeItem>
      <ddeItem name="PCABH00,DISPLAY NAME,1" advise="1">
        <values>
          <value t="str">
            <val xml:space="preserve">Iranian Heavy   </val>
          </value>
        </values>
      </ddeItem>
      <ddeItem name="PCABH00,PRC AREA,1" advise="1">
        <values>
          <value t="str">
            <val>Sidi</val>
          </value>
        </values>
      </ddeItem>
      <ddeItem name="PCABH00,PRIM ACT 1,1" advise="1">
        <values>
          <value>
            <val>18.420000000000002</val>
          </value>
        </values>
      </ddeItem>
      <ddeItem name="PCABH00,SECOND ACTIVY 1,1" advise="1">
        <values>
          <value>
            <val>18.5</val>
          </value>
        </values>
      </ddeItem>
      <ddeItem name="PCABI00,DISPLAY NAME,1" advise="1">
        <values>
          <value t="str">
            <val xml:space="preserve">Iranian Light   </val>
          </value>
        </values>
      </ddeItem>
      <ddeItem name="PCABI00,PRC AREA,1" advise="1">
        <values>
          <value t="str">
            <val>Sidi</val>
          </value>
        </values>
      </ddeItem>
      <ddeItem name="PCABI00,PRIM ACT 1,1" advise="1">
        <values>
          <value>
            <val>18.97</val>
          </value>
        </values>
      </ddeItem>
      <ddeItem name="PCABI00,SECOND ACTIVY 1,1" advise="1">
        <values>
          <value>
            <val>19.05</val>
          </value>
        </values>
      </ddeItem>
      <ddeItem name="PCABJ00,DISPLAY NAME,1" advise="1">
        <values>
          <value t="str">
            <val xml:space="preserve">Kern River      </val>
          </value>
        </values>
      </ddeItem>
      <ddeItem name="PCABJ00,PRC AREA,1" advise="1">
        <values>
          <value t="str">
            <val xml:space="preserve">Krn </val>
          </value>
        </values>
      </ddeItem>
      <ddeItem name="PCABJ00,PRIM ACT 1,1" advise="1">
        <values>
          <value>
            <val>14.41</val>
          </value>
        </values>
      </ddeItem>
      <ddeItem name="PCABJ00,SECOND ACTIVY 1,1" advise="1">
        <values>
          <value>
            <val>14.43</val>
          </value>
        </values>
      </ddeItem>
      <ddeItem name="PCABN00,DISPLAY NAME,1" advise="1">
        <values>
          <value t="str">
            <val>Lt Louisiana Swt</val>
          </value>
        </values>
      </ddeItem>
      <ddeItem name="PCABN00,PRC AREA,1" advise="1">
        <values>
          <value t="str">
            <val xml:space="preserve">StJ </val>
          </value>
        </values>
      </ddeItem>
      <ddeItem name="PCABN00,PRIM ACT 1,1" advise="1">
        <values>
          <value>
            <val>21.8</val>
          </value>
        </values>
      </ddeItem>
      <ddeItem name="PCABN00,SECOND ACTIVY 1,1" advise="1">
        <values>
          <value>
            <val>21.83</val>
          </value>
        </values>
      </ddeItem>
      <ddeItem name="PCABO00,DISPLAY NAME,1" advise="1">
        <values>
          <value t="str">
            <val xml:space="preserve">Minas           </val>
          </value>
        </values>
      </ddeItem>
      <ddeItem name="PCABO00,PRC AREA,1" advise="1">
        <values>
          <value t="str">
            <val xml:space="preserve">Ind </val>
          </value>
        </values>
      </ddeItem>
      <ddeItem name="PCABO00,PRIM ACT 1,1" advise="1">
        <values>
          <value>
            <val>19.05</val>
          </value>
        </values>
      </ddeItem>
      <ddeItem name="PCABO00,SECOND ACTIVY 1,1" advise="1">
        <values>
          <value>
            <val>19.149999999999999</val>
          </value>
        </values>
      </ddeItem>
      <ddeItem name="PCACA00,DISPLAY NAME,1" advise="1">
        <values>
          <value t="str">
            <val xml:space="preserve">Suez Blend      </val>
          </value>
        </values>
      </ddeItem>
      <ddeItem name="PCACA00,PRC AREA,1" advise="1">
        <values>
          <value t="str">
            <val>Orig</val>
          </value>
        </values>
      </ddeItem>
      <ddeItem name="PCACA00,PRIM ACT 1,1" advise="1">
        <values>
          <value>
            <val>17.600000000000001</val>
          </value>
        </values>
      </ddeItem>
      <ddeItem name="PCACA00,SECOND ACTIVY 1,1" advise="1">
        <values>
          <value>
            <val>17.68</val>
          </value>
        </values>
      </ddeItem>
      <ddeItem name="PCACB00,DISPLAY NAME,1" advise="1">
        <values>
          <value t="str">
            <val xml:space="preserve">Tapis Blend     </val>
          </value>
        </values>
      </ddeItem>
      <ddeItem name="PCACB00,PRC AREA,1" advise="1">
        <values>
          <value t="str">
            <val xml:space="preserve">Mal </val>
          </value>
        </values>
      </ddeItem>
      <ddeItem name="PCACB00,PRIM ACT 1,1" advise="1">
        <values>
          <value>
            <val>21.7</val>
          </value>
        </values>
      </ddeItem>
      <ddeItem name="PCACB00,SECOND ACTIVY 1,1" advise="1">
        <values>
          <value>
            <val>21.9</val>
          </value>
        </values>
      </ddeItem>
      <ddeItem name="PCACE00,DISPLAY NAME,1" advise="1">
        <values>
          <value t="str">
            <val xml:space="preserve">Urals           </val>
          </value>
        </values>
      </ddeItem>
      <ddeItem name="PCACE00,PRC AREA,1" advise="1">
        <values>
          <value t="str">
            <val xml:space="preserve">Med </val>
          </value>
        </values>
      </ddeItem>
      <ddeItem name="PCACE00,PRIM ACT 1,1" advise="1">
        <values>
          <value>
            <val>19.37</val>
          </value>
        </values>
      </ddeItem>
      <ddeItem name="PCACE00,SECOND ACTIVY 1,1" advise="1">
        <values>
          <value>
            <val>19.45</val>
          </value>
        </values>
      </ddeItem>
      <ddeItem name="PCACK00,DISPLAY NAME,1" advise="1">
        <values>
          <value t="str">
            <val xml:space="preserve">W Tex Sour      </val>
          </value>
        </values>
      </ddeItem>
      <ddeItem name="PCACK00,PRC AREA,1" advise="1">
        <values>
          <value t="str">
            <val xml:space="preserve">Mdl </val>
          </value>
        </values>
      </ddeItem>
      <ddeItem name="PCACK00,PRIM ACT 1,1" advise="1">
        <values>
          <value>
            <val>19.329999999999998</val>
          </value>
        </values>
      </ddeItem>
      <ddeItem name="PCACK00,SECOND ACTIVY 1,1" advise="1">
        <values>
          <value>
            <val>19.36</val>
          </value>
        </values>
      </ddeItem>
      <ddeItem name="PCACZ00,DISPLAY NAME,1" advise="1">
        <values>
          <value t="str">
            <val xml:space="preserve">Flotta          </val>
          </value>
        </values>
      </ddeItem>
      <ddeItem name="PCACZ00,PRC AREA,1" advise="1">
        <values>
          <value t="str">
            <val>Orig</val>
          </value>
        </values>
      </ddeItem>
      <ddeItem name="PCACZ00,PRIM ACT 1,1" advise="1">
        <values>
          <value>
            <val>19.68</val>
          </value>
        </values>
      </ddeItem>
      <ddeItem name="PCACZ00,SECOND ACTIVY 1,1" advise="1">
        <values>
          <value>
            <val>19.78</val>
          </value>
        </values>
      </ddeItem>
      <ddeItem name="PCADE00,DISPLAY NAME,1" advise="1">
        <values>
          <value t="str">
            <val xml:space="preserve">Oriente         </val>
          </value>
        </values>
      </ddeItem>
      <ddeItem name="PCADE00,PRC AREA,1" advise="1">
        <values>
          <value t="str">
            <val>Ecud</val>
          </value>
        </values>
      </ddeItem>
      <ddeItem name="PCADE00,PRIM ACT 1,1" advise="1">
        <values>
          <value>
            <val>15.57</val>
          </value>
        </values>
      </ddeItem>
      <ddeItem name="PCADE00,SECOND ACTIVY 1,1" advise="1">
        <values>
          <value>
            <val>15.66</val>
          </value>
        </values>
      </ddeItem>
      <ddeItem name="PCADJ00,DISPLAY NAME,1" advise="1">
        <values>
          <value t="str">
            <val xml:space="preserve">Forties         </val>
          </value>
        </values>
      </ddeItem>
      <ddeItem name="PCADJ00,PRC AREA,1" advise="1">
        <values>
          <value t="str">
            <val>Orig</val>
          </value>
        </values>
      </ddeItem>
      <ddeItem name="PCADJ00,PRIM ACT 1,1" advise="1">
        <values>
          <value>
            <val>20.38</val>
          </value>
        </values>
      </ddeItem>
      <ddeItem name="PCADJ00,SECOND ACTIVY 1,1" advise="1">
        <values>
          <value>
            <val>20.48</val>
          </value>
        </values>
      </ddeItem>
      <ddeItem name="PCAGL00,DISPLAY NAME,1" advise="1">
        <values>
          <value t="str">
            <val xml:space="preserve">Cusiana         </val>
          </value>
        </values>
      </ddeItem>
      <ddeItem name="PCAGL00,PRC AREA,1" advise="1">
        <values>
          <value t="str">
            <val>Colm</val>
          </value>
        </values>
      </ddeItem>
      <ddeItem name="PCAGL00,PRIM ACT 1,1" advise="1">
        <values>
          <value>
            <val>21.17</val>
          </value>
        </values>
      </ddeItem>
      <ddeItem name="PCAGL00,SECOND ACTIVY 1,1" advise="1">
        <values>
          <value>
            <val>21.26</val>
          </value>
        </values>
      </ddeItem>
      <ddeItem name="PCAIC00,DISPLAY NAME,1" advise="1">
        <values>
          <value t="str">
            <val xml:space="preserve">Bonny Lt        </val>
          </value>
        </values>
      </ddeItem>
      <ddeItem name="PCAIC00,PRC AREA,1" advise="1">
        <values>
          <value t="str">
            <val>Orig</val>
          </value>
        </values>
      </ddeItem>
      <ddeItem name="PCAIU00,DISPLAY NAME,1" advise="1">
        <values>
          <value t="str">
            <val>Dubai 1st M Asia</val>
          </value>
        </values>
      </ddeItem>
      <ddeItem name="PCAIU00,PRC AREA,1" advise="1">
        <values>
          <value t="str">
            <val>Asia</val>
          </value>
        </values>
      </ddeItem>
      <ddeItem name="PCAIU00,PRIM ACT 1,1" advise="1">
        <values>
          <value>
            <val>19.36</val>
          </value>
        </values>
      </ddeItem>
      <ddeItem name="PCAIU00,SECOND ACTIVY 1,1" advise="1">
        <values>
          <value>
            <val>19.399999999999999</val>
          </value>
        </values>
      </ddeItem>
      <ddeItem name="PCAJA00,DISPLAY NAME,1" advise="1">
        <values>
          <value t="str">
            <val xml:space="preserve">Oman 1st M Asia </val>
          </value>
        </values>
      </ddeItem>
      <ddeItem name="PCAJA00,PRC AREA,1" advise="1">
        <values>
          <value t="str">
            <val>Asia</val>
          </value>
        </values>
      </ddeItem>
      <ddeItem name="PCAJA00,PRIM ACT 1,1" advise="1">
        <values>
          <value>
            <val>19.16</val>
          </value>
        </values>
      </ddeItem>
      <ddeItem name="PCAJA00,SECOND ACTIVY 1,1" advise="1">
        <values>
          <value>
            <val>19.2</val>
          </value>
        </values>
      </ddeItem>
      <ddeItem name="PGAAB00,NRG SIZE,1" advise="1">
        <values>
          <value t="str">
            <val xml:space="preserve">Pipe </val>
          </value>
        </values>
      </ddeItem>
      <ddeItem name="PGAAB00,NRG UNITS,1" advise="1">
        <values>
          <value t="str">
            <val>c/Gal</val>
          </value>
        </values>
      </ddeItem>
      <ddeItem name="PGACR00,DISPLAY NAME,1" advise="1">
        <values>
          <value t="str">
            <val xml:space="preserve">Unl 87          </val>
          </value>
        </values>
      </ddeItem>
      <ddeItem name="PGACR00,NRG SIZE,1" advise="1">
        <values>
          <value t="str">
            <val xml:space="preserve">Pipe </val>
          </value>
        </values>
      </ddeItem>
      <ddeItem name="PGACR00,NRG UNITS,1" advise="1">
        <values>
          <value t="str">
            <val>c/Gal</val>
          </value>
        </values>
      </ddeItem>
      <ddeItem name="PGACR00,PRIM ACT 1,1" advise="1">
        <values>
          <value>
            <val>55.75</val>
          </value>
        </values>
      </ddeItem>
      <ddeItem name="PGACR00,SECOND ACTIVY 1,1" advise="1">
        <values>
          <value>
            <val>56</val>
          </value>
        </values>
      </ddeItem>
      <ddeItem name="PGACT00,DISPLAY NAME,1" advise="1">
        <values>
          <value t="str">
            <val xml:space="preserve">Unleaded        </val>
          </value>
        </values>
      </ddeItem>
      <ddeItem name="PGACT00,PRIM ACT 1,1" advise="1">
        <values>
          <value>
            <val>52.25</val>
          </value>
        </values>
      </ddeItem>
      <ddeItem name="PGACT00,SECOND ACTIVY 1,1" advise="1">
        <values>
          <value>
            <val>52.75</val>
          </value>
        </values>
      </ddeItem>
      <ddeItem name="PGADB00,DISPLAY NAME,1" advise="1">
        <values>
          <value t="str">
            <val xml:space="preserve">Unl 87          </val>
          </value>
        </values>
      </ddeItem>
      <ddeItem name="PGADB00,NRG SIZE,1" advise="1">
        <values>
          <value t="str">
            <val>Barge</val>
          </value>
        </values>
      </ddeItem>
      <ddeItem name="PGADB00,NRG UNITS,1" advise="1">
        <values>
          <value t="str">
            <val>c/Gal</val>
          </value>
        </values>
      </ddeItem>
      <ddeItem name="PGADB00,PRIM ACT 1,1" advise="1">
        <values>
          <value>
            <val>55.25</val>
          </value>
        </values>
      </ddeItem>
      <ddeItem name="PGADB00,SECOND ACTIVY 1,1" advise="1">
        <values>
          <value>
            <val>55.5</val>
          </value>
        </values>
      </ddeItem>
      <ddeItem name="PGAKB00,DISPLAY NAME,1" advise="1">
        <values>
          <value t="str">
            <val xml:space="preserve">Unl 87 RFG      </val>
          </value>
        </values>
      </ddeItem>
      <ddeItem name="PGAKB00,NRG SIZE,1" advise="1">
        <values>
          <value t="str">
            <val>Barge</val>
          </value>
        </values>
      </ddeItem>
      <ddeItem name="PGAKB00,NRG UNITS,1" advise="1">
        <values>
          <value t="str">
            <val>c/Gal</val>
          </value>
        </values>
      </ddeItem>
      <ddeItem name="PGAKB00,PRIM ACT 1,1" advise="1">
        <values>
          <value>
            <val>56.5</val>
          </value>
        </values>
      </ddeItem>
      <ddeItem name="PGAKB00,SECOND ACTIVY 1,1" advise="1">
        <values>
          <value>
            <val>56.75</val>
          </value>
        </values>
      </ddeItem>
      <ddeItem name="PGAKT00,DISPLAY NAME,1" advise="1">
        <values>
          <value t="str">
            <val xml:space="preserve">Unleaded RFG    </val>
          </value>
        </values>
      </ddeItem>
      <ddeItem name="PGAKT00,NRG SIZE,1" advise="1">
        <values>
          <value t="str">
            <val xml:space="preserve">Pipe </val>
          </value>
        </values>
      </ddeItem>
      <ddeItem name="PGAKT00,NRG UNITS,1" advise="1">
        <values>
          <value t="str">
            <val>c/Gal</val>
          </value>
        </values>
      </ddeItem>
      <ddeItem name="PGAKT00,PRIM ACT 1,1" advise="1">
        <values>
          <value>
            <val>53.75</val>
          </value>
        </values>
      </ddeItem>
      <ddeItem name="PGAKT00,SECOND ACTIVY 1,1" advise="1">
        <values>
          <value>
            <val>54.5</val>
          </value>
        </values>
      </ddeItem>
      <ddeItem name="PJAAF00,DISPLAY NAME,1" advise="1">
        <values>
          <value t="str">
            <val xml:space="preserve">Jet Fuel        </val>
          </value>
        </values>
      </ddeItem>
      <ddeItem name="PJAAF00,NRG SIZE,1" advise="1">
        <values>
          <value t="str">
            <val xml:space="preserve">Pipe </val>
          </value>
        </values>
      </ddeItem>
      <ddeItem name="PJAAF00,NRG UNITS,1" advise="1">
        <values>
          <value t="str">
            <val>c/Gal</val>
          </value>
        </values>
      </ddeItem>
      <ddeItem name="PJAAF00,PRIM ACT 1,1" advise="1">
        <values>
          <value>
            <val>65.75</val>
          </value>
        </values>
      </ddeItem>
      <ddeItem name="PJAAF00,SECOND ACTIVY 1,1" advise="1">
        <values>
          <value>
            <val>66.75</val>
          </value>
        </values>
      </ddeItem>
      <ddeItem name="PJAAW00,DISPLAY NAME,1" advise="1">
        <values>
          <value t="str">
            <val xml:space="preserve">Jet Kero        </val>
          </value>
        </values>
      </ddeItem>
      <ddeItem name="PJAAW00,NRG SIZE,1" advise="1">
        <values>
          <value t="str">
            <val>Barge</val>
          </value>
        </values>
      </ddeItem>
      <ddeItem name="PJAAW00,NRG UNITS,1" advise="1">
        <values>
          <value t="str">
            <val>c/Gal</val>
          </value>
        </values>
      </ddeItem>
      <ddeItem name="PJAAW00,PRIM ACT 1,1" advise="1">
        <values>
          <value>
            <val>62.5</val>
          </value>
        </values>
      </ddeItem>
      <ddeItem name="PJAAW00,SECOND ACTIVY 1,1" advise="1">
        <values>
          <value>
            <val>63</val>
          </value>
        </values>
      </ddeItem>
      <ddeItem name="PJABO00,DISPLAY NAME,1" advise="1">
        <values>
          <value t="str">
            <val xml:space="preserve">Jet54           </val>
          </value>
        </values>
      </ddeItem>
      <ddeItem name="PJABO00,NRG SIZE,1" advise="1">
        <values>
          <value t="str">
            <val xml:space="preserve">Pipe </val>
          </value>
        </values>
      </ddeItem>
      <ddeItem name="PJABO00,NRG UNITS,1" advise="1">
        <values>
          <value t="str">
            <val>c/Gal</val>
          </value>
        </values>
      </ddeItem>
      <ddeItem name="PJABO00,PRIM ACT 1,1" advise="1">
        <values>
          <value>
            <val>61</val>
          </value>
        </values>
      </ddeItem>
      <ddeItem name="PJABO00,SECOND ACTIVY 1,1" advise="1">
        <values>
          <value>
            <val>61.25</val>
          </value>
        </values>
      </ddeItem>
      <ddeItem name="PNF2,PRIM ACT 1,1" advise="1">
        <values>
          <value>
            <val>3900</val>
          </value>
        </values>
      </ddeItem>
      <ddeItem name="PNG2,PRIM ACT 1,1" advise="1">
        <values>
          <value>
            <val>3825</val>
          </value>
        </values>
      </ddeItem>
      <ddeItem name="PNH2,PRIM ACT 1,1" advise="1">
        <values>
          <value>
            <val>3675</val>
          </value>
        </values>
      </ddeItem>
      <ddeItem name="PNJ2,PRIM ACT 1,1" advise="1">
        <values>
          <value>
            <val>3625</val>
          </value>
        </values>
      </ddeItem>
      <ddeItem name="PNK2,PRIM ACT 1,1" advise="1">
        <values>
          <value>
            <val>3625</val>
          </value>
        </values>
      </ddeItem>
      <ddeItem name="PNM2,PRIM ACT 1,1" advise="1">
        <values>
          <value>
            <val>3625</val>
          </value>
        </values>
      </ddeItem>
      <ddeItem name="PNN2,PRIM ACT 1,1" advise="1">
        <values>
          <value>
            <val>3625</val>
          </value>
        </values>
      </ddeItem>
      <ddeItem name="PNX1,PRIM ACT 1,1" advise="1">
        <values>
          <value>
            <val>3835</val>
          </value>
        </values>
      </ddeItem>
      <ddeItem name="PNZ1,PRIM ACT 1,1" advise="1">
        <values>
          <value>
            <val>3875</val>
          </value>
        </values>
      </ddeItem>
      <ddeItem name="POAEB00,DISPLAY NAME,1" advise="1">
        <values>
          <value t="str">
            <val xml:space="preserve">No2             </val>
          </value>
        </values>
      </ddeItem>
      <ddeItem name="POAEB00,NRG SIZE,1" advise="1">
        <values>
          <value t="str">
            <val xml:space="preserve">Pipe </val>
          </value>
        </values>
      </ddeItem>
      <ddeItem name="POAEB00,NRG UNITS,1" advise="1">
        <values>
          <value t="str">
            <val>c/Gal</val>
          </value>
        </values>
      </ddeItem>
      <ddeItem name="POAEB00,PRIM ACT 1,1" advise="1">
        <values>
          <value>
            <val>70.25</val>
          </value>
        </values>
      </ddeItem>
      <ddeItem name="POAEB00,SECOND ACTIVY 1,1" advise="1">
        <values>
          <value>
            <val>70.75</val>
          </value>
        </values>
      </ddeItem>
      <ddeItem name="POAED00,DISPLAY NAME,1" advise="1">
        <values>
          <value t="str">
            <val xml:space="preserve">No2             </val>
          </value>
        </values>
      </ddeItem>
      <ddeItem name="POAED00,NRG SIZE,1" advise="1">
        <values>
          <value t="str">
            <val xml:space="preserve">Pipe </val>
          </value>
        </values>
      </ddeItem>
      <ddeItem name="POAED00,NRG UNITS,1" advise="1">
        <values>
          <value t="str">
            <val>c/Gal</val>
          </value>
        </values>
      </ddeItem>
      <ddeItem name="POAED00,PRIM ACT 1,1" advise="1">
        <values>
          <value>
            <val>59.25</val>
          </value>
        </values>
      </ddeItem>
      <ddeItem name="POAED00,SECOND ACTIVY 1,1" advise="1">
        <values>
          <value>
            <val>59.5</val>
          </value>
        </values>
      </ddeItem>
      <ddeItem name="POAEG00,DISPLAY NAME,1" advise="1">
        <values>
          <value t="str">
            <val xml:space="preserve">No2             </val>
          </value>
        </values>
      </ddeItem>
      <ddeItem name="POAEG00,NRG SIZE,1" advise="1">
        <values>
          <value t="str">
            <val>Barge</val>
          </value>
        </values>
      </ddeItem>
      <ddeItem name="POAEG00,NRG UNITS,1" advise="1">
        <values>
          <value t="str">
            <val>c/Gal</val>
          </value>
        </values>
      </ddeItem>
      <ddeItem name="POAEG00,PRIM ACT 1,1" advise="1">
        <values>
          <value>
            <val>61.5</val>
          </value>
        </values>
      </ddeItem>
      <ddeItem name="POAEG00,SECOND ACTIVY 1,1" advise="1">
        <values>
          <value>
            <val>61.75</val>
          </value>
        </values>
      </ddeItem>
      <ddeItem name="POAEP00,DISPLAY NAME,1" advise="1">
        <values>
          <value t="str">
            <val xml:space="preserve">No2 LS          </val>
          </value>
        </values>
      </ddeItem>
      <ddeItem name="POAEP00,PRIM ACT 1,1" advise="1">
        <values>
          <value>
            <val>70.25</val>
          </value>
        </values>
      </ddeItem>
      <ddeItem name="POAEP00,SECOND ACTIVY 1,1" advise="1">
        <values>
          <value>
            <val>70.75</val>
          </value>
        </values>
      </ddeItem>
      <ddeItem name="POAER00,NRG SIZE,1" advise="1">
        <values>
          <value t="str">
            <val xml:space="preserve">Pipe </val>
          </value>
        </values>
      </ddeItem>
      <ddeItem name="POAER00,NRG UNITS,1" advise="1">
        <values>
          <value t="str">
            <val>c/Gal</val>
          </value>
        </values>
      </ddeItem>
      <ddeItem name="POAER00,PRIM ACT 1,1" advise="1">
        <values>
          <value>
            <val>60.5</val>
          </value>
        </values>
      </ddeItem>
      <ddeItem name="POAER00,SECOND ACTIVY 1,1" advise="1">
        <values>
          <value>
            <val>60.75</val>
          </value>
        </values>
      </ddeItem>
      <ddeItem name="POAES00,DISPLAY NAME,1" advise="1">
        <values>
          <value t="str">
            <val xml:space="preserve">LS No2          </val>
          </value>
        </values>
      </ddeItem>
      <ddeItem name="POAEU00,DISPLAY NAME,1" advise="1">
        <values>
          <value t="str">
            <val xml:space="preserve">LS No2          </val>
          </value>
        </values>
      </ddeItem>
      <ddeItem name="POAEU00,NRG SIZE,1" advise="1">
        <values>
          <value t="str">
            <val>Barge</val>
          </value>
        </values>
      </ddeItem>
      <ddeItem name="POAEU00,NRG UNITS,1" advise="1">
        <values>
          <value t="str">
            <val>c/Gal</val>
          </value>
        </values>
      </ddeItem>
      <ddeItem name="POAEU00,PRIM ACT 1,1" advise="1">
        <values>
          <value>
            <val>62.5</val>
          </value>
        </values>
      </ddeItem>
      <ddeItem name="POAEU00,SECOND ACTIVY 1,1" advise="1">
        <values>
          <value>
            <val>62.75</val>
          </value>
        </values>
      </ddeItem>
      <ddeItem name="QLF2,PRIM ACT 1,1" advise="1">
        <values>
          <value>
            <val>33.25</val>
          </value>
        </values>
      </ddeItem>
      <ddeItem name="QLG2,PRIM ACT 1,1" advise="1">
        <values>
          <value>
            <val>33.25</val>
          </value>
        </values>
      </ddeItem>
      <ddeItem name="QLH2,PRIM ACT 1,1" advise="1">
        <values>
          <value>
            <val>33.25</val>
          </value>
        </values>
      </ddeItem>
      <ddeItem name="QLJ2,PRIM ACT 1,1" advise="1">
        <values>
          <value>
            <val>33</val>
          </value>
        </values>
      </ddeItem>
      <ddeItem name="QLK2,PRIM ACT 1,1" advise="1">
        <values>
          <value>
            <val>33</val>
          </value>
        </values>
      </ddeItem>
      <ddeItem name="QLM2,PRIM ACT 1,1" advise="1">
        <values>
          <value>
            <val>33</val>
          </value>
        </values>
      </ddeItem>
      <ddeItem name="QLN2,PRIM ACT 1,1" advise="1">
        <values>
          <value>
            <val>33</val>
          </value>
        </values>
      </ddeItem>
      <ddeItem name="QLQ2,PRIM ACT 1,1" advise="1">
        <values>
          <value>
            <val>33</val>
          </value>
        </values>
      </ddeItem>
      <ddeItem name="QLU2,PRIM ACT 1,1" advise="1">
        <values>
          <value>
            <val>33</val>
          </value>
        </values>
      </ddeItem>
      <ddeItem name="QLX1,PRIM ACT 1,1" advise="1">
        <values>
          <value t="str">
            <val>#N/A N/A</val>
          </value>
        </values>
      </ddeItem>
      <ddeItem name="QLZ1,PRIM ACT 1,1" advise="1">
        <values>
          <value>
            <val>33.25</val>
          </value>
        </values>
      </ddeItem>
      <ddeItem name="SCF2,PRIM ACT 1,1" advise="1">
        <values>
          <value>
            <val>20.99</val>
          </value>
        </values>
      </ddeItem>
      <ddeItem name="SCG2,PRIM ACT 1,1" advise="1">
        <values>
          <value>
            <val>21.04</val>
          </value>
        </values>
      </ddeItem>
      <ddeItem name="SCH2,PRIM ACT 1,1" advise="1">
        <values>
          <value>
            <val>21.03</val>
          </value>
        </values>
      </ddeItem>
      <ddeItem name="SCJ2,PRIM ACT 1,1" advise="1">
        <values>
          <value>
            <val>21.02</val>
          </value>
        </values>
      </ddeItem>
      <ddeItem name="SCK2,PRIM ACT 1,1" advise="1">
        <values>
          <value>
            <val>21</val>
          </value>
        </values>
      </ddeItem>
      <ddeItem name="SCM2,PRIM ACT 1,1" advise="1">
        <values>
          <value>
            <val>20.98</val>
          </value>
        </values>
      </ddeItem>
      <ddeItem name="SCN2,PRIM ACT 1,1" advise="1">
        <values>
          <value>
            <val>20.96</val>
          </value>
        </values>
      </ddeItem>
      <ddeItem name="SCQ2,PRIM ACT 1,1" advise="1">
        <values>
          <value>
            <val>20.94</val>
          </value>
        </values>
      </ddeItem>
      <ddeItem name="SCU2,PRIM ACT 1,1" advise="1">
        <values>
          <value>
            <val>20.92</val>
          </value>
        </values>
      </ddeItem>
      <ddeItem name="SCV2,PRIM ACT 1,1" advise="1">
        <values>
          <value>
            <val>20.9</val>
          </value>
        </values>
      </ddeItem>
      <ddeItem name="SCX1,PRIM ACT 1,1" advise="1">
        <values>
          <value t="str">
            <val>#N/A N/A</val>
          </value>
        </values>
      </ddeItem>
      <ddeItem name="SCX2,PRIM ACT 1,1" advise="1">
        <values>
          <value>
            <val>20.87</val>
          </value>
        </values>
      </ddeItem>
      <ddeItem name="SCZ1,PRIM ACT 1,1" advise="1">
        <values>
          <value>
            <val>20.2</val>
          </value>
        </values>
      </ddeItem>
      <ddeItem name="SCZ2,PRIM ACT 1,1" advise="1">
        <values>
          <value>
            <val>20.84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G82"/>
  <sheetViews>
    <sheetView topLeftCell="K1" zoomScale="75" zoomScaleNormal="70" workbookViewId="0">
      <selection activeCell="S13" sqref="S13"/>
    </sheetView>
  </sheetViews>
  <sheetFormatPr defaultRowHeight="12.75" x14ac:dyDescent="0.2"/>
  <cols>
    <col min="2" max="3" width="15.28515625" customWidth="1"/>
    <col min="4" max="4" width="14.140625" customWidth="1"/>
    <col min="5" max="5" width="13.7109375" customWidth="1"/>
    <col min="6" max="6" width="16.140625" customWidth="1"/>
    <col min="7" max="7" width="15.42578125" customWidth="1"/>
    <col min="8" max="8" width="19.42578125" customWidth="1"/>
    <col min="9" max="9" width="15" customWidth="1"/>
    <col min="10" max="10" width="18" customWidth="1"/>
    <col min="11" max="11" width="15.28515625" customWidth="1"/>
    <col min="12" max="12" width="18.85546875" customWidth="1"/>
    <col min="13" max="13" width="14" customWidth="1"/>
    <col min="14" max="14" width="15.85546875" customWidth="1"/>
    <col min="15" max="15" width="14" customWidth="1"/>
    <col min="16" max="16" width="15.140625" customWidth="1"/>
    <col min="17" max="17" width="17.140625" customWidth="1"/>
    <col min="18" max="18" width="15.28515625" bestFit="1" customWidth="1"/>
    <col min="19" max="19" width="11.85546875" customWidth="1"/>
    <col min="20" max="20" width="12" customWidth="1"/>
    <col min="21" max="21" width="16.5703125" bestFit="1" customWidth="1"/>
    <col min="22" max="22" width="11.5703125" customWidth="1"/>
    <col min="23" max="23" width="11.7109375" bestFit="1" customWidth="1"/>
    <col min="24" max="24" width="9.28515625" bestFit="1" customWidth="1"/>
    <col min="25" max="25" width="11.7109375" bestFit="1" customWidth="1"/>
    <col min="26" max="26" width="12.140625" bestFit="1" customWidth="1"/>
    <col min="27" max="27" width="11.7109375" bestFit="1" customWidth="1"/>
    <col min="28" max="28" width="12.140625" bestFit="1" customWidth="1"/>
    <col min="29" max="29" width="3" customWidth="1"/>
  </cols>
  <sheetData>
    <row r="1" spans="1:32" ht="18" x14ac:dyDescent="0.25">
      <c r="A1" s="2"/>
      <c r="B1" s="16" t="s">
        <v>1</v>
      </c>
      <c r="C1" s="2"/>
      <c r="D1" s="2"/>
      <c r="E1" s="12">
        <v>100</v>
      </c>
      <c r="F1" s="12">
        <v>100</v>
      </c>
      <c r="G1" s="12">
        <v>100</v>
      </c>
      <c r="H1" s="9">
        <v>100</v>
      </c>
      <c r="I1" s="2"/>
      <c r="J1" s="2"/>
      <c r="L1" s="20">
        <v>100</v>
      </c>
      <c r="M1" s="2"/>
      <c r="N1" s="90"/>
      <c r="P1" s="17"/>
      <c r="Q1" s="2"/>
      <c r="R1" s="2"/>
      <c r="T1" s="2"/>
      <c r="U1" s="2"/>
      <c r="V1" s="2"/>
      <c r="X1" s="2"/>
      <c r="Y1" s="2"/>
      <c r="Z1" s="2"/>
      <c r="AA1" s="2"/>
    </row>
    <row r="2" spans="1:32" ht="13.5" thickBot="1" x14ac:dyDescent="0.25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32" ht="26.25" x14ac:dyDescent="0.4">
      <c r="A3" s="2"/>
      <c r="B3" s="136" t="s">
        <v>105</v>
      </c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25"/>
      <c r="Q3" s="25"/>
      <c r="R3" s="25"/>
      <c r="S3" s="25"/>
      <c r="T3" s="25"/>
      <c r="U3" s="2"/>
      <c r="V3" s="2"/>
      <c r="W3" s="2"/>
      <c r="X3" s="2"/>
      <c r="Y3" s="2"/>
      <c r="Z3" s="2"/>
      <c r="AA3" s="2"/>
      <c r="AB3" s="2"/>
    </row>
    <row r="4" spans="1:32" x14ac:dyDescent="0.2">
      <c r="A4" s="2"/>
      <c r="B4" s="26" t="s">
        <v>5</v>
      </c>
      <c r="C4" s="2"/>
      <c r="D4" s="38">
        <f ca="1">TODAY()</f>
        <v>37195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32" x14ac:dyDescent="0.2">
      <c r="A5" s="2"/>
      <c r="B5" s="2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18"/>
      <c r="U5" s="2"/>
      <c r="V5" s="2"/>
      <c r="W5" s="18"/>
      <c r="X5" s="2"/>
      <c r="Y5" s="19"/>
      <c r="Z5" s="2"/>
      <c r="AA5" s="2"/>
      <c r="AB5" s="2"/>
      <c r="AC5" s="2"/>
    </row>
    <row r="6" spans="1:32" ht="15" x14ac:dyDescent="0.25">
      <c r="A6" s="2"/>
      <c r="B6" s="109"/>
      <c r="C6" s="86" t="s">
        <v>52</v>
      </c>
      <c r="D6" s="86"/>
      <c r="E6" s="86"/>
      <c r="F6" s="86"/>
      <c r="G6" s="86"/>
      <c r="H6" s="86"/>
      <c r="I6" s="86"/>
      <c r="J6" s="87"/>
      <c r="K6" s="2"/>
      <c r="L6" s="52"/>
      <c r="M6" s="138" t="s">
        <v>59</v>
      </c>
      <c r="N6" s="138"/>
      <c r="O6" s="138"/>
      <c r="P6" s="138"/>
      <c r="Q6" s="139"/>
      <c r="R6" s="2"/>
      <c r="S6" s="2"/>
      <c r="T6" s="2"/>
      <c r="U6" s="2"/>
      <c r="V6" s="2"/>
      <c r="Y6" s="2"/>
      <c r="AC6" s="2"/>
      <c r="AD6" s="2"/>
    </row>
    <row r="7" spans="1:32" x14ac:dyDescent="0.2">
      <c r="A7" s="2"/>
      <c r="B7" s="110"/>
      <c r="C7" s="3" t="s">
        <v>51</v>
      </c>
      <c r="D7" s="3" t="s">
        <v>58</v>
      </c>
      <c r="E7" s="3" t="s">
        <v>0</v>
      </c>
      <c r="F7" s="3" t="s">
        <v>45</v>
      </c>
      <c r="G7" s="3" t="s">
        <v>50</v>
      </c>
      <c r="H7" s="3" t="s">
        <v>53</v>
      </c>
      <c r="I7" s="3" t="s">
        <v>131</v>
      </c>
      <c r="J7" s="44"/>
      <c r="K7" s="2"/>
      <c r="L7" s="53"/>
      <c r="M7" s="3" t="s">
        <v>43</v>
      </c>
      <c r="N7" s="3" t="s">
        <v>44</v>
      </c>
      <c r="O7" s="3" t="s">
        <v>42</v>
      </c>
      <c r="P7" s="3" t="s">
        <v>40</v>
      </c>
      <c r="Q7" s="44" t="s">
        <v>41</v>
      </c>
      <c r="R7" s="2"/>
      <c r="S7" s="2"/>
      <c r="T7" s="2"/>
      <c r="U7" s="2"/>
      <c r="V7" s="2"/>
      <c r="Y7" s="2"/>
      <c r="AC7" s="2"/>
      <c r="AD7" s="7"/>
      <c r="AE7" s="1"/>
      <c r="AF7" s="1"/>
    </row>
    <row r="8" spans="1:32" x14ac:dyDescent="0.2">
      <c r="A8" s="2"/>
      <c r="B8" s="45">
        <v>37196</v>
      </c>
      <c r="C8" s="114" t="str">
        <f>[1]!'CLX1,PRIM ACT 1,1'</f>
        <v>#N/A N/A</v>
      </c>
      <c r="D8" s="115" t="str">
        <f>[1]!'SCX1,PRIM ACT 1,1'</f>
        <v>#N/A N/A</v>
      </c>
      <c r="E8" s="98">
        <f>[1]!'HUX1,PRIM ACT 1,1'/100</f>
        <v>55.6</v>
      </c>
      <c r="F8" s="98">
        <f>[1]!'HOX1,PRIM ACT 1,1'/100</f>
        <v>60</v>
      </c>
      <c r="G8" s="98">
        <f>([1]!'PNX1,PRIM ACT 1,1')/100</f>
        <v>38.35</v>
      </c>
      <c r="H8" s="98" t="str">
        <f>[1]!'QLX1,PRIM ACT 1,1'</f>
        <v>#N/A N/A</v>
      </c>
      <c r="I8" s="99">
        <f>[1]!'NGX1,PRIM ACT 1,1'</f>
        <v>3.202</v>
      </c>
      <c r="J8" s="55">
        <v>37196</v>
      </c>
      <c r="K8" s="2"/>
      <c r="L8" s="45">
        <v>37196</v>
      </c>
      <c r="M8" s="20">
        <v>63.240476190476194</v>
      </c>
      <c r="N8" s="20">
        <v>60.55952380952381</v>
      </c>
      <c r="O8" s="20">
        <v>62.709523809523816</v>
      </c>
      <c r="P8" s="21">
        <v>17.649999999999999</v>
      </c>
      <c r="Q8" s="116">
        <v>14.85</v>
      </c>
      <c r="R8" s="2"/>
      <c r="S8" s="2"/>
      <c r="T8" s="18"/>
      <c r="U8" s="2"/>
      <c r="V8" s="18"/>
      <c r="Y8" s="2"/>
      <c r="AC8" s="2"/>
      <c r="AD8" s="7"/>
      <c r="AE8" s="1"/>
      <c r="AF8" s="1"/>
    </row>
    <row r="9" spans="1:32" x14ac:dyDescent="0.2">
      <c r="A9" s="2"/>
      <c r="B9" s="45">
        <v>37226</v>
      </c>
      <c r="C9" s="100">
        <f>[1]!'CLZ1,PRIM ACT 1,1'</f>
        <v>21.15</v>
      </c>
      <c r="D9" s="11">
        <f>[1]!'SCZ1,PRIM ACT 1,1'</f>
        <v>20.2</v>
      </c>
      <c r="E9" s="106">
        <f>[1]!'HUZ1,PRIM ACT 1,1'/100</f>
        <v>56.15</v>
      </c>
      <c r="F9" s="106">
        <f>[1]!'HOZ1,PRIM ACT 1,1'/100</f>
        <v>61.2</v>
      </c>
      <c r="G9" s="106">
        <f>([1]!'PNZ1,PRIM ACT 1,1')/100</f>
        <v>38.75</v>
      </c>
      <c r="H9" s="106">
        <f>[1]!'QLZ1,PRIM ACT 1,1'</f>
        <v>33.25</v>
      </c>
      <c r="I9" s="107">
        <f>[1]!'NGZ1,PRIM ACT 1,1'</f>
        <v>3.18</v>
      </c>
      <c r="J9" s="55">
        <v>37226</v>
      </c>
      <c r="K9" s="2"/>
      <c r="L9" s="45">
        <v>37226</v>
      </c>
      <c r="M9" s="20">
        <v>63.959523809523809</v>
      </c>
      <c r="N9" s="20">
        <v>60.059523809523817</v>
      </c>
      <c r="O9" s="20">
        <v>63.309523809523803</v>
      </c>
      <c r="P9" s="21">
        <v>18.100000000000001</v>
      </c>
      <c r="Q9" s="116">
        <v>14.95</v>
      </c>
      <c r="R9" s="2"/>
      <c r="S9" s="2"/>
      <c r="T9" s="18"/>
      <c r="U9" s="2"/>
      <c r="V9" s="18"/>
      <c r="Y9" s="2"/>
      <c r="AC9" s="2"/>
      <c r="AD9" s="7"/>
      <c r="AE9" s="1"/>
      <c r="AF9" s="1"/>
    </row>
    <row r="10" spans="1:32" x14ac:dyDescent="0.2">
      <c r="A10" s="2"/>
      <c r="B10" s="45">
        <v>37257</v>
      </c>
      <c r="C10" s="100">
        <f>[1]!'CLF2,PRIM ACT 1,1'</f>
        <v>21.3</v>
      </c>
      <c r="D10" s="11">
        <f>[1]!'SCF2,PRIM ACT 1,1'</f>
        <v>20.99</v>
      </c>
      <c r="E10" s="106">
        <f>[1]!'HUF2,PRIM ACT 1,1'/100</f>
        <v>57.2</v>
      </c>
      <c r="F10" s="106">
        <f>[1]!'HOF2,PRIM ACT 1,1'/100</f>
        <v>61.9</v>
      </c>
      <c r="G10" s="106">
        <f>([1]!'PNF2,PRIM ACT 1,1')/100</f>
        <v>39</v>
      </c>
      <c r="H10" s="106">
        <f>[1]!'QLF2,PRIM ACT 1,1'</f>
        <v>33.25</v>
      </c>
      <c r="I10" s="107">
        <f>[1]!'NGF2,PRIM ACT 1,1'</f>
        <v>3.33</v>
      </c>
      <c r="J10" s="55">
        <v>37257</v>
      </c>
      <c r="K10" s="2"/>
      <c r="L10" s="45">
        <v>37257</v>
      </c>
      <c r="M10" s="20">
        <v>64.55952380952381</v>
      </c>
      <c r="N10" s="20">
        <v>61.25952380952382</v>
      </c>
      <c r="O10" s="20">
        <v>64.959523809523816</v>
      </c>
      <c r="P10" s="21">
        <v>18.45</v>
      </c>
      <c r="Q10" s="116">
        <v>15.1</v>
      </c>
      <c r="R10" s="2"/>
      <c r="S10" s="2"/>
      <c r="T10" s="18"/>
      <c r="U10" s="2"/>
      <c r="V10" s="18"/>
      <c r="Y10" s="2"/>
      <c r="AC10" s="2"/>
      <c r="AD10" s="7"/>
      <c r="AE10" s="1"/>
      <c r="AF10" s="1"/>
    </row>
    <row r="11" spans="1:32" x14ac:dyDescent="0.2">
      <c r="A11" s="2"/>
      <c r="B11" s="45">
        <v>37288</v>
      </c>
      <c r="C11" s="100">
        <f>[1]!'CLG2,PRIM ACT 1,1'</f>
        <v>21.54</v>
      </c>
      <c r="D11" s="11">
        <f>[1]!'SCG2,PRIM ACT 1,1'</f>
        <v>21.04</v>
      </c>
      <c r="E11" s="106">
        <f>[1]!'HUG2,PRIM ACT 1,1'/100</f>
        <v>58.5</v>
      </c>
      <c r="F11" s="106">
        <f>[1]!'HOG2,PRIM ACT 1,1'/100</f>
        <v>61.9</v>
      </c>
      <c r="G11" s="106">
        <f>([1]!'PNG2,PRIM ACT 1,1')/100</f>
        <v>38.25</v>
      </c>
      <c r="H11" s="106">
        <f>[1]!'QLG2,PRIM ACT 1,1'</f>
        <v>33.25</v>
      </c>
      <c r="I11" s="107">
        <f>[1]!'NGG2,PRIM ACT 1,1'</f>
        <v>3.3250000000000002</v>
      </c>
      <c r="J11" s="55">
        <v>37288</v>
      </c>
      <c r="K11" s="2"/>
      <c r="L11" s="45">
        <v>37288</v>
      </c>
      <c r="M11" s="20">
        <v>64.209523809523802</v>
      </c>
      <c r="N11" s="20">
        <v>59.80952380952381</v>
      </c>
      <c r="O11" s="20">
        <v>63.509523809523813</v>
      </c>
      <c r="P11" s="21">
        <v>18.25</v>
      </c>
      <c r="Q11" s="116">
        <v>15.2</v>
      </c>
      <c r="R11" s="2"/>
      <c r="S11" s="2"/>
      <c r="T11" s="18"/>
      <c r="U11" s="2"/>
      <c r="V11" s="18"/>
      <c r="Y11" s="2"/>
      <c r="AC11" s="2"/>
      <c r="AD11" s="7"/>
      <c r="AE11" s="1"/>
      <c r="AF11" s="1"/>
    </row>
    <row r="12" spans="1:32" x14ac:dyDescent="0.2">
      <c r="A12" s="2"/>
      <c r="B12" s="45">
        <v>37316</v>
      </c>
      <c r="C12" s="100">
        <f>[1]!'CLH2,PRIM ACT 1,1'</f>
        <v>21.65</v>
      </c>
      <c r="D12" s="11">
        <f>[1]!'SCH2,PRIM ACT 1,1'</f>
        <v>21.03</v>
      </c>
      <c r="E12" s="106">
        <f>[1]!'HUH2,PRIM ACT 1,1'/100</f>
        <v>59.45</v>
      </c>
      <c r="F12" s="106">
        <f>[1]!'HOH2,PRIM ACT 1,1'/100</f>
        <v>60.6</v>
      </c>
      <c r="G12" s="106">
        <f>([1]!'PNH2,PRIM ACT 1,1')/100</f>
        <v>36.75</v>
      </c>
      <c r="H12" s="106">
        <f>[1]!'QLH2,PRIM ACT 1,1'</f>
        <v>33.25</v>
      </c>
      <c r="I12" s="107">
        <f>[1]!'NGH2,PRIM ACT 1,1'</f>
        <v>3.27</v>
      </c>
      <c r="J12" s="55">
        <v>37316</v>
      </c>
      <c r="K12" s="2"/>
      <c r="L12" s="45">
        <v>37316</v>
      </c>
      <c r="M12" s="20">
        <v>62.759523809523813</v>
      </c>
      <c r="N12" s="20">
        <v>58.559523809523803</v>
      </c>
      <c r="O12" s="20">
        <v>62.259523809523806</v>
      </c>
      <c r="P12" s="21">
        <v>18.05</v>
      </c>
      <c r="Q12" s="116">
        <v>15.3</v>
      </c>
      <c r="R12" s="2"/>
      <c r="S12" s="2"/>
      <c r="T12" s="18"/>
      <c r="U12" s="2"/>
      <c r="V12" s="18"/>
      <c r="Y12" s="2"/>
      <c r="AC12" s="2"/>
      <c r="AD12" s="7"/>
      <c r="AE12" s="1"/>
      <c r="AF12" s="1"/>
    </row>
    <row r="13" spans="1:32" x14ac:dyDescent="0.2">
      <c r="A13" s="2"/>
      <c r="B13" s="45">
        <v>37347</v>
      </c>
      <c r="C13" s="100">
        <f>[1]!'CLJ2,PRIM ACT 1,1'</f>
        <v>21.55</v>
      </c>
      <c r="D13" s="11">
        <f>[1]!'SCJ2,PRIM ACT 1,1'</f>
        <v>21.02</v>
      </c>
      <c r="E13" s="106">
        <f>[1]!'HUJ2,PRIM ACT 1,1'/100</f>
        <v>66.5</v>
      </c>
      <c r="F13" s="106">
        <f>[1]!'HOJ2,PRIM ACT 1,1'/100</f>
        <v>59.55</v>
      </c>
      <c r="G13" s="106">
        <f>([1]!'PNJ2,PRIM ACT 1,1')/100</f>
        <v>36.25</v>
      </c>
      <c r="H13" s="106">
        <f>[1]!'QLJ2,PRIM ACT 1,1'</f>
        <v>33</v>
      </c>
      <c r="I13" s="107">
        <f>[1]!'NGJ2,PRIM ACT 1,1'</f>
        <v>3.18</v>
      </c>
      <c r="J13" s="55">
        <v>37347</v>
      </c>
      <c r="K13" s="2"/>
      <c r="L13" s="45">
        <v>37347</v>
      </c>
      <c r="M13" s="20">
        <v>61.509523809523813</v>
      </c>
      <c r="N13" s="20">
        <v>57.959523809523802</v>
      </c>
      <c r="O13" s="20">
        <v>61.209523809523816</v>
      </c>
      <c r="P13" s="21">
        <v>17.850000000000001</v>
      </c>
      <c r="Q13" s="116">
        <v>15.4</v>
      </c>
      <c r="R13" s="2"/>
      <c r="S13" s="2"/>
      <c r="T13" s="18"/>
      <c r="U13" s="2"/>
      <c r="V13" s="18"/>
      <c r="Y13" s="2"/>
      <c r="AC13" s="2"/>
      <c r="AD13" s="7"/>
      <c r="AE13" s="1"/>
      <c r="AF13" s="1"/>
    </row>
    <row r="14" spans="1:32" x14ac:dyDescent="0.2">
      <c r="A14" s="2"/>
      <c r="B14" s="45">
        <v>37377</v>
      </c>
      <c r="C14" s="100">
        <f>[1]!'CLK2,PRIM ACT 1,1'</f>
        <v>21.5</v>
      </c>
      <c r="D14" s="11">
        <f>[1]!'SCK2,PRIM ACT 1,1'</f>
        <v>21</v>
      </c>
      <c r="E14" s="106">
        <f>[1]!'HUK2,PRIM ACT 1,1'/100</f>
        <v>65.2</v>
      </c>
      <c r="F14" s="106">
        <f>[1]!'HOK2,PRIM ACT 1,1'/100</f>
        <v>59.15</v>
      </c>
      <c r="G14" s="106">
        <f>([1]!'PNK2,PRIM ACT 1,1')/100</f>
        <v>36.25</v>
      </c>
      <c r="H14" s="106">
        <f>[1]!'QLK2,PRIM ACT 1,1'</f>
        <v>33</v>
      </c>
      <c r="I14" s="107">
        <f>[1]!'NGK2,PRIM ACT 1,1'</f>
        <v>3.2050000000000001</v>
      </c>
      <c r="J14" s="55">
        <v>37377</v>
      </c>
      <c r="K14" s="2"/>
      <c r="L14" s="45">
        <v>37377</v>
      </c>
      <c r="M14" s="20">
        <v>60.309523809523803</v>
      </c>
      <c r="N14" s="20">
        <v>57.609523809523807</v>
      </c>
      <c r="O14" s="20">
        <v>60.859523809523807</v>
      </c>
      <c r="P14" s="21">
        <v>17.7</v>
      </c>
      <c r="Q14" s="116">
        <v>15.5</v>
      </c>
      <c r="R14" s="2"/>
      <c r="S14" s="2"/>
      <c r="T14" s="18"/>
      <c r="U14" s="2"/>
      <c r="V14" s="18"/>
      <c r="Y14" s="2"/>
      <c r="AC14" s="2"/>
      <c r="AD14" s="7"/>
      <c r="AE14" s="1"/>
      <c r="AF14" s="1"/>
    </row>
    <row r="15" spans="1:32" x14ac:dyDescent="0.2">
      <c r="A15" s="2"/>
      <c r="B15" s="45">
        <v>37408</v>
      </c>
      <c r="C15" s="100">
        <f>[1]!'CLM2,PRIM ACT 1,1'</f>
        <v>21.64</v>
      </c>
      <c r="D15" s="11">
        <f>[1]!'SCM2,PRIM ACT 1,1'</f>
        <v>20.98</v>
      </c>
      <c r="E15" s="106">
        <f>[1]!'HUM2,PRIM ACT 1,1'/100</f>
        <v>66.95</v>
      </c>
      <c r="F15" s="106">
        <f>[1]!'HOM2,PRIM ACT 1,1'/100</f>
        <v>58.9</v>
      </c>
      <c r="G15" s="106">
        <f>([1]!'PNM2,PRIM ACT 1,1')/100</f>
        <v>36.25</v>
      </c>
      <c r="H15" s="106">
        <f>[1]!'QLM2,PRIM ACT 1,1'</f>
        <v>33</v>
      </c>
      <c r="I15" s="107">
        <f>[1]!'NGM2,PRIM ACT 1,1'</f>
        <v>3.24</v>
      </c>
      <c r="J15" s="55">
        <v>37408</v>
      </c>
      <c r="K15" s="2"/>
      <c r="L15" s="45">
        <v>37408</v>
      </c>
      <c r="M15" s="20">
        <v>59.959523809523809</v>
      </c>
      <c r="N15" s="20">
        <v>57.959523809523802</v>
      </c>
      <c r="O15" s="20">
        <v>61.209523809523816</v>
      </c>
      <c r="P15" s="21">
        <v>17.600000000000001</v>
      </c>
      <c r="Q15" s="116">
        <v>15.6</v>
      </c>
      <c r="R15" s="2"/>
      <c r="S15" s="2"/>
      <c r="T15" s="18"/>
      <c r="U15" s="2"/>
      <c r="V15" s="18"/>
      <c r="Y15" s="2"/>
      <c r="AC15" s="2"/>
      <c r="AD15" s="7"/>
      <c r="AE15" s="1"/>
      <c r="AF15" s="1"/>
    </row>
    <row r="16" spans="1:32" x14ac:dyDescent="0.2">
      <c r="A16" s="2"/>
      <c r="B16" s="45">
        <v>37438</v>
      </c>
      <c r="C16" s="100">
        <f>[1]!'CLN2,PRIM ACT 1,1'</f>
        <v>21.7</v>
      </c>
      <c r="D16" s="11">
        <f>[1]!'SCN2,PRIM ACT 1,1'</f>
        <v>20.96</v>
      </c>
      <c r="E16" s="106">
        <f>[1]!'HUN2,PRIM ACT 1,1'/100</f>
        <v>66.45</v>
      </c>
      <c r="F16" s="106">
        <f>[1]!'HON2,PRIM ACT 1,1'/100</f>
        <v>59.35</v>
      </c>
      <c r="G16" s="106">
        <f>([1]!'PNN2,PRIM ACT 1,1')/100</f>
        <v>36.25</v>
      </c>
      <c r="H16" s="106">
        <f>[1]!'QLN2,PRIM ACT 1,1'</f>
        <v>33</v>
      </c>
      <c r="I16" s="107">
        <f>[1]!'NGN2,PRIM ACT 1,1'</f>
        <v>3.2850000000000001</v>
      </c>
      <c r="J16" s="55">
        <v>37438</v>
      </c>
      <c r="K16" s="2"/>
      <c r="L16" s="45">
        <v>37438</v>
      </c>
      <c r="M16" s="20">
        <v>60.309523809523803</v>
      </c>
      <c r="N16" s="20">
        <v>58.409523809523812</v>
      </c>
      <c r="O16" s="20">
        <v>62.409523809523805</v>
      </c>
      <c r="P16" s="21">
        <v>17.850000000000001</v>
      </c>
      <c r="Q16" s="116">
        <v>15.65</v>
      </c>
      <c r="R16" s="2"/>
      <c r="S16" s="2"/>
      <c r="T16" s="18"/>
      <c r="U16" s="2"/>
      <c r="V16" s="18"/>
      <c r="Y16" s="2"/>
      <c r="AC16" s="2"/>
      <c r="AD16" s="7"/>
      <c r="AE16" s="1"/>
      <c r="AF16" s="1"/>
    </row>
    <row r="17" spans="1:33" x14ac:dyDescent="0.2">
      <c r="A17" s="2"/>
      <c r="B17" s="45">
        <v>37469</v>
      </c>
      <c r="C17" s="100">
        <f>[1]!'CLQ2,PRIM ACT 1,1'</f>
        <v>21.58</v>
      </c>
      <c r="D17" s="11">
        <f>[1]!'SCQ2,PRIM ACT 1,1'</f>
        <v>20.94</v>
      </c>
      <c r="E17" s="106">
        <f>[1]!'HUQ2,PRIM ACT 1,1'/100</f>
        <v>65.459999999999994</v>
      </c>
      <c r="F17" s="106">
        <f>[1]!'HOQ2,PRIM ACT 1,1'/100</f>
        <v>59.25</v>
      </c>
      <c r="G17" s="106"/>
      <c r="H17" s="106">
        <f>[1]!'QLQ2,PRIM ACT 1,1'</f>
        <v>33</v>
      </c>
      <c r="I17" s="107">
        <f>[1]!'NGQ2,PRIM ACT 1,1'</f>
        <v>3.3250000000000002</v>
      </c>
      <c r="J17" s="55">
        <v>37469</v>
      </c>
      <c r="K17" s="2"/>
      <c r="L17" s="45">
        <v>37469</v>
      </c>
      <c r="M17" s="20">
        <v>60.859523809523807</v>
      </c>
      <c r="N17" s="20">
        <v>59.159523809523819</v>
      </c>
      <c r="O17" s="20">
        <v>63.159523809523812</v>
      </c>
      <c r="P17" s="21">
        <v>17.885000000000002</v>
      </c>
      <c r="Q17" s="116">
        <v>15.335000000000001</v>
      </c>
      <c r="R17" s="2"/>
      <c r="S17" s="2"/>
      <c r="T17" s="18"/>
      <c r="U17" s="2"/>
      <c r="V17" s="18"/>
      <c r="Y17" s="2"/>
      <c r="AC17" s="2"/>
      <c r="AD17" s="7"/>
      <c r="AE17" s="1"/>
      <c r="AF17" s="1"/>
    </row>
    <row r="18" spans="1:33" x14ac:dyDescent="0.2">
      <c r="A18" s="2"/>
      <c r="B18" s="45">
        <v>37500</v>
      </c>
      <c r="C18" s="100">
        <f>[1]!'CLU2,PRIM ACT 1,1'</f>
        <v>21.45</v>
      </c>
      <c r="D18" s="11">
        <f>[1]!'SCU2,PRIM ACT 1,1'</f>
        <v>20.92</v>
      </c>
      <c r="E18" s="106">
        <f>[1]!'HUU2,PRIM ACT 1,1'/100</f>
        <v>64.16</v>
      </c>
      <c r="F18" s="106">
        <f>[1]!'HOU2,PRIM ACT 1,1'/100</f>
        <v>60.7</v>
      </c>
      <c r="G18" s="106"/>
      <c r="H18" s="106">
        <f>[1]!'QLU2,PRIM ACT 1,1'</f>
        <v>33</v>
      </c>
      <c r="I18" s="107">
        <f>[1]!'NGU2,PRIM ACT 1,1'</f>
        <v>3.3250000000000002</v>
      </c>
      <c r="J18" s="55">
        <v>37500</v>
      </c>
      <c r="K18" s="2"/>
      <c r="L18" s="45">
        <v>37500</v>
      </c>
      <c r="M18" s="20">
        <v>61.609523809523814</v>
      </c>
      <c r="N18" s="20">
        <v>59.909523809523812</v>
      </c>
      <c r="O18" s="20">
        <v>63.909523809523819</v>
      </c>
      <c r="P18" s="21">
        <v>17.82</v>
      </c>
      <c r="Q18" s="116">
        <v>15.27</v>
      </c>
      <c r="R18" s="2"/>
      <c r="S18" s="2"/>
      <c r="T18" s="18"/>
      <c r="U18" s="2"/>
      <c r="V18" s="18"/>
      <c r="Y18" s="2"/>
      <c r="AC18" s="2"/>
      <c r="AD18" s="7"/>
      <c r="AE18" s="7"/>
      <c r="AF18" s="1"/>
      <c r="AG18" s="1"/>
    </row>
    <row r="19" spans="1:33" x14ac:dyDescent="0.2">
      <c r="A19" s="2"/>
      <c r="B19" s="45">
        <v>37530</v>
      </c>
      <c r="C19" s="100">
        <f>[1]!'CLV2,PRIM ACT 1,1'</f>
        <v>21.84</v>
      </c>
      <c r="D19" s="11">
        <f>[1]!'SCV2,PRIM ACT 1,1'</f>
        <v>20.9</v>
      </c>
      <c r="E19" s="106"/>
      <c r="F19" s="106">
        <f>[1]!'HOV2,PRIM ACT 1,1'/100</f>
        <v>61</v>
      </c>
      <c r="G19" s="106"/>
      <c r="H19" s="106"/>
      <c r="I19" s="107">
        <f>[1]!'NGV2,PRIM ACT 1,1'</f>
        <v>3.355</v>
      </c>
      <c r="J19" s="55">
        <v>37530</v>
      </c>
      <c r="K19" s="2"/>
      <c r="L19" s="45">
        <v>37530</v>
      </c>
      <c r="M19" s="20">
        <v>62.359523809523822</v>
      </c>
      <c r="N19" s="20">
        <v>59.459523809523816</v>
      </c>
      <c r="O19" s="20">
        <v>64.209523809523802</v>
      </c>
      <c r="P19" s="21">
        <v>17.749000000000002</v>
      </c>
      <c r="Q19" s="116">
        <v>15.199</v>
      </c>
      <c r="R19" s="2"/>
      <c r="S19" s="2"/>
      <c r="T19" s="18"/>
      <c r="U19" s="2"/>
      <c r="V19" s="18"/>
      <c r="Y19" s="2"/>
      <c r="AC19" s="2"/>
      <c r="AD19" s="7"/>
      <c r="AE19" s="7"/>
      <c r="AF19" s="1"/>
      <c r="AG19" s="1"/>
    </row>
    <row r="20" spans="1:33" x14ac:dyDescent="0.2">
      <c r="A20" s="2"/>
      <c r="B20" s="45">
        <v>37561</v>
      </c>
      <c r="C20" s="100">
        <f>[1]!'CLX2,PRIM ACT 1,1'</f>
        <v>21.78</v>
      </c>
      <c r="D20" s="11">
        <f>[1]!'SCX2,PRIM ACT 1,1'</f>
        <v>20.87</v>
      </c>
      <c r="E20" s="106"/>
      <c r="F20" s="106">
        <f>[1]!'HOX2,PRIM ACT 1,1'/100</f>
        <v>61.7</v>
      </c>
      <c r="G20" s="106"/>
      <c r="H20" s="106"/>
      <c r="I20" s="107">
        <f>[1]!'NGX2,PRIM ACT 1,1'</f>
        <v>3.5249999999999999</v>
      </c>
      <c r="J20" s="55">
        <v>37561</v>
      </c>
      <c r="K20" s="2"/>
      <c r="L20" s="45">
        <v>37561</v>
      </c>
      <c r="M20" s="20">
        <v>63.109523809523814</v>
      </c>
      <c r="N20" s="20">
        <v>60.159523809523805</v>
      </c>
      <c r="O20" s="20">
        <v>64.909523809523805</v>
      </c>
      <c r="P20" s="21">
        <v>17.68</v>
      </c>
      <c r="Q20" s="116">
        <v>15.13</v>
      </c>
      <c r="R20" s="2"/>
      <c r="S20" s="2"/>
      <c r="T20" s="18"/>
      <c r="U20" s="2"/>
      <c r="V20" s="18"/>
      <c r="Y20" s="2"/>
      <c r="AC20" s="2"/>
      <c r="AD20" s="7"/>
      <c r="AE20" s="7"/>
      <c r="AF20" s="1"/>
      <c r="AG20" s="1"/>
    </row>
    <row r="21" spans="1:33" x14ac:dyDescent="0.2">
      <c r="A21" s="2"/>
      <c r="B21" s="45">
        <v>37591</v>
      </c>
      <c r="C21" s="100">
        <f>[1]!'CLZ2,PRIM ACT 1,1'</f>
        <v>21.41</v>
      </c>
      <c r="D21" s="11">
        <f>[1]!'SCZ2,PRIM ACT 1,1'</f>
        <v>20.84</v>
      </c>
      <c r="E21" s="106"/>
      <c r="F21" s="106">
        <f>[1]!'HOZ2,PRIM ACT 1,1'/100</f>
        <v>62.5</v>
      </c>
      <c r="G21" s="106"/>
      <c r="H21" s="106"/>
      <c r="I21" s="107">
        <f>[1]!'NGZ2,PRIM ACT 1,1'</f>
        <v>3.7250000000000001</v>
      </c>
      <c r="J21" s="55">
        <v>37591</v>
      </c>
      <c r="K21" s="2"/>
      <c r="L21" s="45">
        <v>37591</v>
      </c>
      <c r="M21" s="20">
        <v>63.809523809523817</v>
      </c>
      <c r="N21" s="20">
        <v>60.55952380952381</v>
      </c>
      <c r="O21" s="20">
        <v>65.30952380952381</v>
      </c>
      <c r="P21" s="21">
        <v>17.622</v>
      </c>
      <c r="Q21" s="116">
        <v>15.072000000000001</v>
      </c>
      <c r="R21" s="2"/>
      <c r="S21" s="2"/>
      <c r="T21" s="18"/>
      <c r="U21" s="2"/>
      <c r="V21" s="18"/>
      <c r="Y21" s="2"/>
      <c r="AC21" s="2"/>
      <c r="AD21" s="7"/>
      <c r="AE21" s="7"/>
      <c r="AF21" s="1"/>
      <c r="AG21" s="1"/>
    </row>
    <row r="22" spans="1:33" x14ac:dyDescent="0.2">
      <c r="A22" s="2"/>
      <c r="B22" s="45">
        <v>37622</v>
      </c>
      <c r="C22" s="100">
        <f>[1]!'CLF3,PRIM ACT 1,1'</f>
        <v>21.3</v>
      </c>
      <c r="D22" s="108"/>
      <c r="E22" s="106"/>
      <c r="F22" s="106">
        <f>[1]!'HOF3,PRIM ACT 1,1'/100</f>
        <v>62.5</v>
      </c>
      <c r="G22" s="106"/>
      <c r="H22" s="106"/>
      <c r="I22" s="107">
        <f>[1]!'NGF3,PRIM ACT 1,1'</f>
        <v>3.8149999999999999</v>
      </c>
      <c r="J22" s="55">
        <v>37622</v>
      </c>
      <c r="K22" s="2"/>
      <c r="L22" s="45">
        <v>37622</v>
      </c>
      <c r="M22" s="20">
        <v>64.209523809523802</v>
      </c>
      <c r="N22" s="20">
        <v>60.709523809523816</v>
      </c>
      <c r="O22" s="20">
        <v>66.80952380952381</v>
      </c>
      <c r="P22" s="21">
        <v>17.704000000000001</v>
      </c>
      <c r="Q22" s="116">
        <v>15.354000000000001</v>
      </c>
      <c r="R22" s="2"/>
      <c r="S22" s="2"/>
      <c r="T22" s="18"/>
      <c r="U22" s="2"/>
      <c r="V22" s="18"/>
      <c r="Y22" s="2"/>
      <c r="AC22" s="2"/>
      <c r="AD22" s="7"/>
      <c r="AE22" s="7"/>
      <c r="AF22" s="1"/>
      <c r="AG22" s="1"/>
    </row>
    <row r="23" spans="1:33" x14ac:dyDescent="0.2">
      <c r="A23" s="2"/>
      <c r="B23" s="45">
        <v>37653</v>
      </c>
      <c r="C23" s="100">
        <f>[1]!'CLG3,PRIM ACT 1,1'</f>
        <v>21.3</v>
      </c>
      <c r="D23" s="108"/>
      <c r="E23" s="106"/>
      <c r="F23" s="106">
        <f>[1]!'HOG3,PRIM ACT 1,1'/100</f>
        <v>62.5</v>
      </c>
      <c r="G23" s="106"/>
      <c r="H23" s="106"/>
      <c r="I23" s="107">
        <f>[1]!'NGG3,PRIM ACT 1,1'</f>
        <v>3.73</v>
      </c>
      <c r="J23" s="55">
        <v>37653</v>
      </c>
      <c r="K23" s="2"/>
      <c r="L23" s="45">
        <v>37653</v>
      </c>
      <c r="M23" s="20">
        <v>63.809523809523817</v>
      </c>
      <c r="N23" s="20">
        <v>59.109523809523814</v>
      </c>
      <c r="O23" s="20">
        <v>65.209523809523816</v>
      </c>
      <c r="P23" s="21">
        <v>17.654</v>
      </c>
      <c r="Q23" s="116">
        <v>15.304</v>
      </c>
      <c r="R23" s="2"/>
      <c r="S23" s="2"/>
      <c r="T23" s="18"/>
      <c r="U23" s="2"/>
      <c r="V23" s="18"/>
      <c r="Y23" s="2"/>
      <c r="AC23" s="2"/>
      <c r="AD23" s="7"/>
      <c r="AE23" s="7"/>
      <c r="AF23" s="1"/>
      <c r="AG23" s="1"/>
    </row>
    <row r="24" spans="1:33" x14ac:dyDescent="0.2">
      <c r="A24" s="2"/>
      <c r="B24" s="45">
        <v>37681</v>
      </c>
      <c r="C24" s="100">
        <f>[1]!'CLH3,PRIM ACT 1,1'</f>
        <v>21.54</v>
      </c>
      <c r="D24" s="108"/>
      <c r="E24" s="106"/>
      <c r="F24" s="106">
        <f>[1]!'HOH3,PRIM ACT 1,1'/100</f>
        <v>61.1</v>
      </c>
      <c r="G24" s="106"/>
      <c r="H24" s="106"/>
      <c r="I24" s="107">
        <f>[1]!'NGH3,PRIM ACT 1,1'</f>
        <v>3.6349999999999998</v>
      </c>
      <c r="J24" s="55">
        <v>37681</v>
      </c>
      <c r="K24" s="2"/>
      <c r="L24" s="45">
        <v>37681</v>
      </c>
      <c r="M24" s="20">
        <v>62.209523809523816</v>
      </c>
      <c r="N24" s="20">
        <v>57.609523809523807</v>
      </c>
      <c r="O24" s="20">
        <v>63.709523809523816</v>
      </c>
      <c r="P24" s="21">
        <v>17.591000000000001</v>
      </c>
      <c r="Q24" s="116">
        <v>15.241000000000001</v>
      </c>
      <c r="R24" s="2"/>
      <c r="S24" s="2"/>
      <c r="T24" s="18"/>
      <c r="U24" s="2"/>
      <c r="V24" s="18"/>
      <c r="Y24" s="2"/>
      <c r="AC24" s="2"/>
      <c r="AD24" s="7"/>
      <c r="AE24" s="7"/>
      <c r="AF24" s="1"/>
      <c r="AG24" s="1"/>
    </row>
    <row r="25" spans="1:33" x14ac:dyDescent="0.2">
      <c r="A25" s="2"/>
      <c r="B25" s="47">
        <v>37712</v>
      </c>
      <c r="C25" s="101">
        <f>[1]!'CLJ3,PRIM ACT 1,1'</f>
        <v>21.48</v>
      </c>
      <c r="D25" s="111"/>
      <c r="E25" s="112"/>
      <c r="F25" s="112">
        <f>[1]!'HOJ3,PRIM ACT 1,1'/100</f>
        <v>60</v>
      </c>
      <c r="G25" s="112"/>
      <c r="H25" s="112"/>
      <c r="I25" s="102">
        <f>[1]!'NGJ3,PRIM ACT 1,1'</f>
        <v>3.51</v>
      </c>
      <c r="J25" s="113">
        <v>37712</v>
      </c>
      <c r="K25" s="2"/>
      <c r="L25" s="47">
        <v>36984</v>
      </c>
      <c r="M25" s="20">
        <v>60.709523809523816</v>
      </c>
      <c r="N25" s="20">
        <v>56.35</v>
      </c>
      <c r="O25" s="20">
        <v>61.8</v>
      </c>
      <c r="P25" s="54">
        <v>17.54</v>
      </c>
      <c r="Q25" s="117">
        <v>15.19</v>
      </c>
      <c r="R25" s="2"/>
      <c r="S25" s="2"/>
      <c r="T25" s="18"/>
      <c r="U25" s="2"/>
      <c r="V25" s="18"/>
      <c r="Y25" s="2"/>
      <c r="AC25" s="2"/>
      <c r="AD25" s="7"/>
      <c r="AE25" s="7"/>
      <c r="AF25" s="1"/>
      <c r="AG25" s="1"/>
    </row>
    <row r="26" spans="1:33" x14ac:dyDescent="0.2">
      <c r="A26" s="2"/>
      <c r="B26" s="30"/>
      <c r="C26" s="2" t="s">
        <v>132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D26" s="7"/>
      <c r="AE26" s="7"/>
      <c r="AF26" s="1"/>
    </row>
    <row r="27" spans="1:33" x14ac:dyDescent="0.2">
      <c r="A27" s="2"/>
      <c r="B27" s="30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33" ht="15" x14ac:dyDescent="0.25">
      <c r="A28" s="2"/>
      <c r="B28" s="119"/>
      <c r="C28" s="134" t="s">
        <v>177</v>
      </c>
      <c r="D28" s="134"/>
      <c r="E28" s="134"/>
      <c r="F28" s="134"/>
      <c r="G28" s="134"/>
      <c r="H28" s="134"/>
      <c r="I28" s="134"/>
      <c r="J28" s="134"/>
      <c r="K28" s="134"/>
      <c r="L28" s="134"/>
      <c r="M28" s="135"/>
      <c r="O28" s="52"/>
      <c r="P28" s="138" t="s">
        <v>202</v>
      </c>
      <c r="Q28" s="138"/>
      <c r="R28" s="138"/>
      <c r="S28" s="138"/>
      <c r="T28" s="138"/>
      <c r="U28" s="139"/>
      <c r="V28" s="2"/>
      <c r="Z28" s="2"/>
      <c r="AA28" s="2"/>
      <c r="AB28" s="2"/>
      <c r="AC28" s="2"/>
      <c r="AD28" s="2"/>
      <c r="AE28" s="2"/>
      <c r="AF28" s="2"/>
      <c r="AG28" s="2"/>
    </row>
    <row r="29" spans="1:33" x14ac:dyDescent="0.2">
      <c r="A29" s="2"/>
      <c r="B29" s="120"/>
      <c r="C29" s="8" t="s">
        <v>144</v>
      </c>
      <c r="D29" s="8"/>
      <c r="E29" s="8" t="s">
        <v>145</v>
      </c>
      <c r="F29" s="8"/>
      <c r="G29" s="8" t="s">
        <v>171</v>
      </c>
      <c r="H29" s="8"/>
      <c r="I29" s="8" t="s">
        <v>172</v>
      </c>
      <c r="J29" s="5"/>
      <c r="K29" s="8" t="s">
        <v>178</v>
      </c>
      <c r="L29" s="8"/>
      <c r="M29" s="121" t="s">
        <v>179</v>
      </c>
      <c r="O29" s="53"/>
      <c r="P29" s="3" t="s">
        <v>43</v>
      </c>
      <c r="Q29" s="3" t="s">
        <v>44</v>
      </c>
      <c r="R29" s="3" t="s">
        <v>40</v>
      </c>
      <c r="S29" s="44" t="s">
        <v>41</v>
      </c>
      <c r="T29" s="3" t="s">
        <v>123</v>
      </c>
      <c r="U29" s="44" t="s">
        <v>203</v>
      </c>
      <c r="V29" s="2"/>
      <c r="Z29" s="125" t="s">
        <v>204</v>
      </c>
      <c r="AA29" s="2"/>
      <c r="AB29" s="2"/>
      <c r="AC29" s="2"/>
      <c r="AD29" s="2"/>
      <c r="AE29" s="2"/>
      <c r="AF29" s="2"/>
      <c r="AG29" s="2"/>
    </row>
    <row r="30" spans="1:33" x14ac:dyDescent="0.2">
      <c r="A30" s="2"/>
      <c r="B30" s="45" t="s">
        <v>7</v>
      </c>
      <c r="C30" s="14">
        <f>(C9*(2/3))+(C10*(1/3))</f>
        <v>21.199999999999996</v>
      </c>
      <c r="D30" s="5" t="s">
        <v>135</v>
      </c>
      <c r="E30" s="14" t="e">
        <f>C8-C9</f>
        <v>#VALUE!</v>
      </c>
      <c r="F30" s="5" t="s">
        <v>155</v>
      </c>
      <c r="G30" s="22" t="e">
        <f>((F8*42)/100)-C8</f>
        <v>#VALUE!</v>
      </c>
      <c r="H30" s="5" t="s">
        <v>153</v>
      </c>
      <c r="I30" s="22">
        <f>((F9*42)/100)-C30</f>
        <v>4.5040000000000049</v>
      </c>
      <c r="J30" s="5" t="s">
        <v>155</v>
      </c>
      <c r="K30" s="22" t="e">
        <f>((E8*42)/100)-C8</f>
        <v>#VALUE!</v>
      </c>
      <c r="L30" s="5" t="s">
        <v>153</v>
      </c>
      <c r="M30" s="56">
        <f>((E9*42)/100)-C30</f>
        <v>2.3830000000000027</v>
      </c>
      <c r="O30" s="45">
        <v>37196</v>
      </c>
      <c r="P30" s="126">
        <f>((M8*42)/100)/5.825</f>
        <v>4.5598283261802584</v>
      </c>
      <c r="Q30" s="126">
        <f>((N8*42)/100)/5.825</f>
        <v>4.3665236051502143</v>
      </c>
      <c r="R30" s="126">
        <f>P8/6.298</f>
        <v>2.8024769768180371</v>
      </c>
      <c r="S30" s="126">
        <f>Q8/6.302</f>
        <v>2.3563947953030784</v>
      </c>
      <c r="T30" s="128">
        <f>U30+Z30</f>
        <v>3.4480000000000004</v>
      </c>
      <c r="U30" s="129">
        <v>2.9380000000000002</v>
      </c>
      <c r="V30" s="2"/>
      <c r="Z30" s="7">
        <v>0.51</v>
      </c>
      <c r="AA30" s="2"/>
      <c r="AB30" s="2"/>
      <c r="AC30" s="2"/>
      <c r="AD30" s="2"/>
      <c r="AE30" s="2"/>
      <c r="AF30" s="2"/>
      <c r="AG30" s="2"/>
    </row>
    <row r="31" spans="1:33" x14ac:dyDescent="0.2">
      <c r="A31" s="2"/>
      <c r="B31" s="45" t="s">
        <v>8</v>
      </c>
      <c r="C31" s="14">
        <f>(C10*(2/3))+(C11*(1/3))</f>
        <v>21.38</v>
      </c>
      <c r="D31" s="5" t="s">
        <v>136</v>
      </c>
      <c r="E31" s="14">
        <f t="shared" ref="E31:E37" si="0">C9-C10</f>
        <v>-0.15000000000000213</v>
      </c>
      <c r="F31" s="5" t="s">
        <v>156</v>
      </c>
      <c r="G31" s="22">
        <f t="shared" ref="G31:G37" si="1">((F9*42)/100)-C9</f>
        <v>4.554000000000002</v>
      </c>
      <c r="H31" s="5" t="s">
        <v>146</v>
      </c>
      <c r="I31" s="22">
        <f t="shared" ref="I31:I37" si="2">((F10*42)/100)-C31</f>
        <v>4.6179999999999986</v>
      </c>
      <c r="J31" s="5" t="s">
        <v>156</v>
      </c>
      <c r="K31" s="22">
        <f t="shared" ref="K31:K37" si="3">((E9*42)/100)-C9</f>
        <v>2.4329999999999998</v>
      </c>
      <c r="L31" s="5" t="s">
        <v>146</v>
      </c>
      <c r="M31" s="56">
        <f t="shared" ref="M31:M37" si="4">((E10*42)/100)-C31</f>
        <v>2.6440000000000019</v>
      </c>
      <c r="O31" s="45">
        <v>37226</v>
      </c>
      <c r="P31" s="126">
        <f t="shared" ref="P31:P38" si="5">((M9*42)/100)/5.825</f>
        <v>4.6116738197424896</v>
      </c>
      <c r="Q31" s="126">
        <f t="shared" ref="Q31:Q38" si="6">((N9*42)/100)/5.825</f>
        <v>4.3304721030042925</v>
      </c>
      <c r="R31" s="126">
        <f t="shared" ref="R31:R38" si="7">P9/6.298</f>
        <v>2.8739282311845034</v>
      </c>
      <c r="S31" s="126">
        <f t="shared" ref="S31:S38" si="8">Q9/6.302</f>
        <v>2.3722627737226278</v>
      </c>
      <c r="T31" s="128">
        <f t="shared" ref="T31:T38" si="9">U31+Z31</f>
        <v>4.3230000000000004</v>
      </c>
      <c r="U31" s="129">
        <v>3.1030000000000002</v>
      </c>
      <c r="V31" s="2"/>
      <c r="Z31" s="7">
        <v>1.22</v>
      </c>
      <c r="AA31" s="2"/>
      <c r="AB31" s="2"/>
      <c r="AC31" s="2"/>
      <c r="AD31" s="2"/>
      <c r="AE31" s="2"/>
      <c r="AF31" s="2"/>
      <c r="AG31" s="2"/>
    </row>
    <row r="32" spans="1:33" x14ac:dyDescent="0.2">
      <c r="A32" s="2"/>
      <c r="B32" s="45" t="s">
        <v>9</v>
      </c>
      <c r="C32" s="14">
        <f t="shared" ref="C32:C37" si="10">(C11*(2/3))+(C12*(1/3))</f>
        <v>21.576666666666664</v>
      </c>
      <c r="D32" s="5" t="s">
        <v>137</v>
      </c>
      <c r="E32" s="14">
        <f>C10-C11</f>
        <v>-0.23999999999999844</v>
      </c>
      <c r="F32" s="5" t="s">
        <v>157</v>
      </c>
      <c r="G32" s="22">
        <f t="shared" si="1"/>
        <v>4.6979999999999968</v>
      </c>
      <c r="H32" s="5" t="s">
        <v>147</v>
      </c>
      <c r="I32" s="22">
        <f t="shared" si="2"/>
        <v>4.4213333333333331</v>
      </c>
      <c r="J32" s="5" t="s">
        <v>157</v>
      </c>
      <c r="K32" s="22">
        <f t="shared" si="3"/>
        <v>2.7240000000000002</v>
      </c>
      <c r="L32" s="5" t="s">
        <v>147</v>
      </c>
      <c r="M32" s="56">
        <f t="shared" si="4"/>
        <v>2.9933333333333358</v>
      </c>
      <c r="O32" s="45">
        <v>37257</v>
      </c>
      <c r="P32" s="126">
        <f t="shared" si="5"/>
        <v>4.6549356223175957</v>
      </c>
      <c r="Q32" s="126">
        <f t="shared" si="6"/>
        <v>4.4169957081545075</v>
      </c>
      <c r="R32" s="126">
        <f t="shared" si="7"/>
        <v>2.9295014290250871</v>
      </c>
      <c r="S32" s="126">
        <f t="shared" si="8"/>
        <v>2.3960647413519518</v>
      </c>
      <c r="T32" s="128">
        <f t="shared" si="9"/>
        <v>5.6749999999999998</v>
      </c>
      <c r="U32" s="129">
        <v>3.25</v>
      </c>
      <c r="V32" s="2"/>
      <c r="Z32" s="7">
        <v>2.4249999999999998</v>
      </c>
      <c r="AA32" s="2"/>
      <c r="AB32" s="2"/>
      <c r="AC32" s="2"/>
      <c r="AD32" s="2"/>
      <c r="AE32" s="2"/>
      <c r="AF32" s="2"/>
      <c r="AG32" s="2"/>
    </row>
    <row r="33" spans="1:33" x14ac:dyDescent="0.2">
      <c r="A33" s="2"/>
      <c r="B33" s="45" t="s">
        <v>10</v>
      </c>
      <c r="C33" s="14">
        <f t="shared" si="10"/>
        <v>21.616666666666667</v>
      </c>
      <c r="D33" s="5" t="s">
        <v>138</v>
      </c>
      <c r="E33" s="14">
        <f t="shared" si="0"/>
        <v>-0.10999999999999943</v>
      </c>
      <c r="F33" s="5" t="s">
        <v>158</v>
      </c>
      <c r="G33" s="22">
        <f t="shared" si="1"/>
        <v>4.4579999999999984</v>
      </c>
      <c r="H33" s="5" t="s">
        <v>148</v>
      </c>
      <c r="I33" s="22">
        <f t="shared" si="2"/>
        <v>3.8353333333333346</v>
      </c>
      <c r="J33" s="5" t="s">
        <v>158</v>
      </c>
      <c r="K33" s="22">
        <f t="shared" si="3"/>
        <v>3.0300000000000011</v>
      </c>
      <c r="L33" s="5" t="s">
        <v>148</v>
      </c>
      <c r="M33" s="56">
        <f t="shared" si="4"/>
        <v>3.3523333333333341</v>
      </c>
      <c r="O33" s="45">
        <v>37288</v>
      </c>
      <c r="P33" s="126">
        <f t="shared" si="5"/>
        <v>4.6296995708154496</v>
      </c>
      <c r="Q33" s="126">
        <f t="shared" si="6"/>
        <v>4.3124463519313307</v>
      </c>
      <c r="R33" s="126">
        <f t="shared" si="7"/>
        <v>2.8977453159733249</v>
      </c>
      <c r="S33" s="126">
        <f t="shared" si="8"/>
        <v>2.4119327197715013</v>
      </c>
      <c r="T33" s="128">
        <f t="shared" si="9"/>
        <v>5.5430000000000001</v>
      </c>
      <c r="U33" s="129">
        <v>3.2480000000000002</v>
      </c>
      <c r="V33" s="2"/>
      <c r="Z33" s="7">
        <v>2.2949999999999999</v>
      </c>
      <c r="AA33" s="2"/>
      <c r="AB33" s="2"/>
      <c r="AC33" s="2"/>
      <c r="AD33" s="2"/>
      <c r="AE33" s="2"/>
      <c r="AF33" s="2"/>
      <c r="AG33" s="2"/>
    </row>
    <row r="34" spans="1:33" x14ac:dyDescent="0.2">
      <c r="A34" s="2"/>
      <c r="B34" s="45" t="s">
        <v>11</v>
      </c>
      <c r="C34" s="14">
        <f t="shared" si="10"/>
        <v>21.533333333333331</v>
      </c>
      <c r="D34" s="5" t="s">
        <v>139</v>
      </c>
      <c r="E34" s="14">
        <f t="shared" si="0"/>
        <v>9.9999999999997868E-2</v>
      </c>
      <c r="F34" s="5" t="s">
        <v>159</v>
      </c>
      <c r="G34" s="22">
        <f t="shared" si="1"/>
        <v>3.8020000000000032</v>
      </c>
      <c r="H34" s="5" t="s">
        <v>149</v>
      </c>
      <c r="I34" s="22">
        <f t="shared" si="2"/>
        <v>3.4776666666666678</v>
      </c>
      <c r="J34" s="5" t="s">
        <v>159</v>
      </c>
      <c r="K34" s="22">
        <f t="shared" si="3"/>
        <v>3.3190000000000026</v>
      </c>
      <c r="L34" s="5" t="s">
        <v>149</v>
      </c>
      <c r="M34" s="56">
        <f t="shared" si="4"/>
        <v>6.3966666666666683</v>
      </c>
      <c r="O34" s="45">
        <v>37316</v>
      </c>
      <c r="P34" s="126">
        <f t="shared" si="5"/>
        <v>4.5251502145922746</v>
      </c>
      <c r="Q34" s="126">
        <f t="shared" si="6"/>
        <v>4.2223175965665227</v>
      </c>
      <c r="R34" s="126">
        <f t="shared" si="7"/>
        <v>2.8659892029215626</v>
      </c>
      <c r="S34" s="126">
        <f t="shared" si="8"/>
        <v>2.4278006981910507</v>
      </c>
      <c r="T34" s="128">
        <f t="shared" si="9"/>
        <v>4.0049999999999999</v>
      </c>
      <c r="U34" s="129">
        <v>3.1949999999999998</v>
      </c>
      <c r="V34" s="2"/>
      <c r="Z34" s="7">
        <v>0.81</v>
      </c>
      <c r="AA34" s="2"/>
      <c r="AB34" s="2"/>
      <c r="AC34" s="2"/>
      <c r="AD34" s="2"/>
      <c r="AE34" s="2"/>
      <c r="AF34" s="2"/>
      <c r="AG34" s="2"/>
    </row>
    <row r="35" spans="1:33" x14ac:dyDescent="0.2">
      <c r="A35" s="2"/>
      <c r="B35" s="45" t="s">
        <v>68</v>
      </c>
      <c r="C35" s="14">
        <f t="shared" si="10"/>
        <v>21.546666666666667</v>
      </c>
      <c r="D35" s="5" t="s">
        <v>140</v>
      </c>
      <c r="E35" s="14">
        <f t="shared" si="0"/>
        <v>5.0000000000000711E-2</v>
      </c>
      <c r="F35" s="5" t="s">
        <v>160</v>
      </c>
      <c r="G35" s="22">
        <f t="shared" si="1"/>
        <v>3.4609999999999985</v>
      </c>
      <c r="H35" s="5" t="s">
        <v>150</v>
      </c>
      <c r="I35" s="22">
        <f t="shared" si="2"/>
        <v>3.2963333333333296</v>
      </c>
      <c r="J35" s="5" t="s">
        <v>160</v>
      </c>
      <c r="K35" s="22">
        <f t="shared" si="3"/>
        <v>6.379999999999999</v>
      </c>
      <c r="L35" s="5" t="s">
        <v>150</v>
      </c>
      <c r="M35" s="56">
        <f t="shared" si="4"/>
        <v>5.8373333333333335</v>
      </c>
      <c r="O35" s="45">
        <v>37347</v>
      </c>
      <c r="P35" s="126">
        <f t="shared" si="5"/>
        <v>4.4350214592274675</v>
      </c>
      <c r="Q35" s="126">
        <f t="shared" si="6"/>
        <v>4.1790557939914157</v>
      </c>
      <c r="R35" s="126">
        <f t="shared" si="7"/>
        <v>2.8342330898698003</v>
      </c>
      <c r="S35" s="126">
        <f t="shared" si="8"/>
        <v>2.4436686766106002</v>
      </c>
      <c r="T35" s="128">
        <f t="shared" si="9"/>
        <v>3.5250000000000004</v>
      </c>
      <c r="U35" s="129">
        <v>3.0950000000000002</v>
      </c>
      <c r="V35" s="2"/>
      <c r="Z35" s="7">
        <v>0.43</v>
      </c>
      <c r="AA35" s="2"/>
      <c r="AB35" s="2"/>
      <c r="AC35" s="2"/>
      <c r="AD35" s="2"/>
      <c r="AE35" s="2"/>
      <c r="AF35" s="2"/>
      <c r="AG35" s="2"/>
    </row>
    <row r="36" spans="1:33" x14ac:dyDescent="0.2">
      <c r="A36" s="2"/>
      <c r="B36" s="45" t="s">
        <v>133</v>
      </c>
      <c r="C36" s="14">
        <f t="shared" si="10"/>
        <v>21.659999999999997</v>
      </c>
      <c r="D36" s="5" t="s">
        <v>141</v>
      </c>
      <c r="E36" s="14">
        <f t="shared" si="0"/>
        <v>-0.14000000000000057</v>
      </c>
      <c r="F36" s="5" t="s">
        <v>161</v>
      </c>
      <c r="G36" s="22">
        <f t="shared" si="1"/>
        <v>3.3429999999999964</v>
      </c>
      <c r="H36" s="5" t="s">
        <v>151</v>
      </c>
      <c r="I36" s="22">
        <f t="shared" si="2"/>
        <v>3.0779999999999994</v>
      </c>
      <c r="J36" s="5" t="s">
        <v>161</v>
      </c>
      <c r="K36" s="22">
        <f t="shared" si="3"/>
        <v>5.8840000000000003</v>
      </c>
      <c r="L36" s="5" t="s">
        <v>151</v>
      </c>
      <c r="M36" s="56">
        <f t="shared" si="4"/>
        <v>6.4590000000000032</v>
      </c>
      <c r="O36" s="45">
        <v>37377</v>
      </c>
      <c r="P36" s="126">
        <f t="shared" si="5"/>
        <v>4.3484978540772525</v>
      </c>
      <c r="Q36" s="126">
        <f t="shared" si="6"/>
        <v>4.1538197424892696</v>
      </c>
      <c r="R36" s="126">
        <f t="shared" si="7"/>
        <v>2.8104160050809779</v>
      </c>
      <c r="S36" s="126">
        <f t="shared" si="8"/>
        <v>2.4595366550301492</v>
      </c>
      <c r="T36" s="128">
        <f t="shared" si="9"/>
        <v>3.5150000000000001</v>
      </c>
      <c r="U36" s="129">
        <v>3.125</v>
      </c>
      <c r="V36" s="2"/>
      <c r="Z36" s="7">
        <v>0.39</v>
      </c>
      <c r="AA36" s="2"/>
      <c r="AB36" s="2"/>
      <c r="AC36" s="2"/>
      <c r="AD36" s="2"/>
      <c r="AE36" s="2"/>
      <c r="AF36" s="2"/>
      <c r="AG36" s="2"/>
    </row>
    <row r="37" spans="1:33" x14ac:dyDescent="0.2">
      <c r="A37" s="2"/>
      <c r="B37" s="45" t="s">
        <v>134</v>
      </c>
      <c r="C37" s="14">
        <f t="shared" si="10"/>
        <v>21.659999999999997</v>
      </c>
      <c r="D37" s="5" t="s">
        <v>142</v>
      </c>
      <c r="E37" s="14">
        <f t="shared" si="0"/>
        <v>-5.9999999999998721E-2</v>
      </c>
      <c r="F37" s="5" t="s">
        <v>162</v>
      </c>
      <c r="G37" s="22">
        <f t="shared" si="1"/>
        <v>3.0979999999999954</v>
      </c>
      <c r="H37" s="5" t="s">
        <v>152</v>
      </c>
      <c r="I37" s="22">
        <f t="shared" si="2"/>
        <v>3.2670000000000066</v>
      </c>
      <c r="J37" s="5" t="s">
        <v>162</v>
      </c>
      <c r="K37" s="22">
        <f t="shared" si="3"/>
        <v>6.4789999999999992</v>
      </c>
      <c r="L37" s="5" t="s">
        <v>152</v>
      </c>
      <c r="M37" s="56">
        <f t="shared" si="4"/>
        <v>6.2490000000000059</v>
      </c>
      <c r="O37" s="45">
        <v>37408</v>
      </c>
      <c r="P37" s="126">
        <f t="shared" si="5"/>
        <v>4.3232618025751082</v>
      </c>
      <c r="Q37" s="126">
        <f t="shared" si="6"/>
        <v>4.1790557939914157</v>
      </c>
      <c r="R37" s="126">
        <f t="shared" si="7"/>
        <v>2.7945379485550972</v>
      </c>
      <c r="S37" s="126">
        <f t="shared" si="8"/>
        <v>2.4754046334496986</v>
      </c>
      <c r="T37" s="128">
        <f t="shared" si="9"/>
        <v>3.5350000000000001</v>
      </c>
      <c r="U37" s="129">
        <v>3.165</v>
      </c>
      <c r="V37" s="2"/>
      <c r="Z37" s="7">
        <v>0.37</v>
      </c>
      <c r="AA37" s="2"/>
      <c r="AB37" s="2"/>
      <c r="AC37" s="2"/>
      <c r="AD37" s="2"/>
      <c r="AE37" s="2"/>
      <c r="AF37" s="2"/>
      <c r="AG37" s="2"/>
    </row>
    <row r="38" spans="1:33" x14ac:dyDescent="0.2">
      <c r="A38" s="2"/>
      <c r="B38" s="45"/>
      <c r="C38" s="14"/>
      <c r="D38" s="5"/>
      <c r="E38" s="14"/>
      <c r="F38" s="5"/>
      <c r="G38" s="15"/>
      <c r="H38" s="5"/>
      <c r="I38" s="22"/>
      <c r="J38" s="5"/>
      <c r="K38" s="22"/>
      <c r="L38" s="5"/>
      <c r="M38" s="56"/>
      <c r="O38" s="47">
        <v>37438</v>
      </c>
      <c r="P38" s="127">
        <f t="shared" si="5"/>
        <v>4.3484978540772525</v>
      </c>
      <c r="Q38" s="127">
        <f t="shared" si="6"/>
        <v>4.2115021459227471</v>
      </c>
      <c r="R38" s="127">
        <f t="shared" si="7"/>
        <v>2.8342330898698003</v>
      </c>
      <c r="S38" s="127">
        <f t="shared" si="8"/>
        <v>2.4833386226594736</v>
      </c>
      <c r="T38" s="130">
        <f t="shared" si="9"/>
        <v>3.64</v>
      </c>
      <c r="U38" s="131">
        <v>3.2</v>
      </c>
      <c r="V38" s="2"/>
      <c r="Z38" s="7">
        <v>0.44</v>
      </c>
      <c r="AA38" s="2"/>
      <c r="AB38" s="2"/>
      <c r="AC38" s="2"/>
      <c r="AD38" s="2"/>
      <c r="AE38" s="2"/>
      <c r="AF38" s="2"/>
      <c r="AG38" s="2"/>
    </row>
    <row r="39" spans="1:33" x14ac:dyDescent="0.2">
      <c r="A39" s="2"/>
      <c r="B39" s="45" t="s">
        <v>13</v>
      </c>
      <c r="C39" s="14">
        <f>((C11*(2/3))+C12+C13+(C14*(1/3)))/3</f>
        <v>21.575555555555557</v>
      </c>
      <c r="D39" s="5" t="s">
        <v>143</v>
      </c>
      <c r="E39" s="14">
        <f>C9-C21</f>
        <v>-0.26000000000000156</v>
      </c>
      <c r="F39" s="5" t="s">
        <v>167</v>
      </c>
      <c r="G39" s="22">
        <f>(((F10+F11+F12)*42/3)/100)-((C10+C11+C12)/3)</f>
        <v>4.3193333333333293</v>
      </c>
      <c r="H39" s="5" t="s">
        <v>173</v>
      </c>
      <c r="I39" s="22">
        <f>(((F11+F12+F13)*42/3)/100)-C39</f>
        <v>3.9114444444444452</v>
      </c>
      <c r="J39" s="5" t="s">
        <v>180</v>
      </c>
      <c r="K39" s="22">
        <f>(((E10+E11+E12)*42/3)/100)-((C10+C11+C12)/3)</f>
        <v>3.0243333333333311</v>
      </c>
      <c r="L39" s="5" t="s">
        <v>183</v>
      </c>
      <c r="M39" s="56">
        <f>(((E11+E12+E13)*42/3)/100)-C39</f>
        <v>4.2474444444444401</v>
      </c>
      <c r="U39" s="2"/>
      <c r="V39" s="2"/>
      <c r="Z39" s="7"/>
      <c r="AA39" s="2"/>
      <c r="AB39" s="2"/>
      <c r="AC39" s="2"/>
      <c r="AD39" s="2"/>
      <c r="AE39" s="2"/>
      <c r="AF39" s="2"/>
      <c r="AG39" s="2"/>
    </row>
    <row r="40" spans="1:33" x14ac:dyDescent="0.2">
      <c r="A40" s="2"/>
      <c r="B40" s="45" t="s">
        <v>14</v>
      </c>
      <c r="C40" s="14">
        <f>((C14*(2/3))+C15+C16+(C17*(1/3)))/3</f>
        <v>21.62222222222222</v>
      </c>
      <c r="D40" s="5" t="s">
        <v>163</v>
      </c>
      <c r="E40" s="14">
        <f>C10-C22</f>
        <v>0</v>
      </c>
      <c r="F40" s="5" t="s">
        <v>168</v>
      </c>
      <c r="G40" s="22">
        <f>(((F13+F14+F15)*42/3)/100)-((C13+C14+C15)/3)</f>
        <v>3.3006666666666682</v>
      </c>
      <c r="H40" s="5" t="s">
        <v>174</v>
      </c>
      <c r="I40" s="22">
        <f>(((F14+F15+F16)*42/3)/100)-C40</f>
        <v>3.2137777777777785</v>
      </c>
      <c r="J40" s="5" t="s">
        <v>181</v>
      </c>
      <c r="K40" s="22">
        <f>(((E13+E14+E15)*42/3)/100)-((C13+C14+C15)/3)</f>
        <v>6.2476666666666674</v>
      </c>
      <c r="L40" s="5" t="s">
        <v>184</v>
      </c>
      <c r="M40" s="56">
        <f>(((E14+E15+E16)*42/3)/100)-C40</f>
        <v>6.181777777777782</v>
      </c>
      <c r="U40" s="2"/>
      <c r="V40" s="2"/>
      <c r="Z40" s="7"/>
      <c r="AA40" s="2"/>
      <c r="AB40" s="2"/>
      <c r="AC40" s="2"/>
      <c r="AD40" s="2"/>
      <c r="AE40" s="2"/>
      <c r="AF40" s="2"/>
      <c r="AG40" s="2"/>
    </row>
    <row r="41" spans="1:33" x14ac:dyDescent="0.2">
      <c r="A41" s="2"/>
      <c r="B41" s="45" t="s">
        <v>15</v>
      </c>
      <c r="C41" s="14">
        <f>((C17*(2/3))+C18+C19+(C20*(1/3)))/3</f>
        <v>21.645555555555557</v>
      </c>
      <c r="D41" s="5" t="s">
        <v>164</v>
      </c>
      <c r="E41" s="14">
        <f>C11-C23</f>
        <v>0.23999999999999844</v>
      </c>
      <c r="F41" s="5" t="s">
        <v>169</v>
      </c>
      <c r="G41" s="22">
        <f>(((F16+F17+F18)*42/3)/100)-((C16+C17+C18)/3)</f>
        <v>3.5253333333333359</v>
      </c>
      <c r="H41" s="5" t="s">
        <v>175</v>
      </c>
      <c r="I41" s="22">
        <f>(((F17+F18+F19)*42/3)/100)-C41</f>
        <v>3.6874444444444414</v>
      </c>
      <c r="J41" s="5" t="s">
        <v>182</v>
      </c>
      <c r="K41" s="22">
        <f>(((E16+E17+E18)*42/3)/100)-((C16+C17+C18)/3)</f>
        <v>5.8731333333333318</v>
      </c>
      <c r="L41" s="5"/>
      <c r="M41" s="56"/>
      <c r="U41" s="2"/>
      <c r="V41" s="2"/>
      <c r="Z41" s="7"/>
      <c r="AA41" s="2"/>
      <c r="AB41" s="2"/>
      <c r="AC41" s="2"/>
      <c r="AD41" s="2"/>
      <c r="AE41" s="2"/>
      <c r="AF41" s="2"/>
      <c r="AG41" s="2"/>
    </row>
    <row r="42" spans="1:33" x14ac:dyDescent="0.2">
      <c r="A42" s="2"/>
      <c r="B42" s="45" t="s">
        <v>16</v>
      </c>
      <c r="C42" s="14">
        <f>((C20*(2/3))+C21+C22+(C23*(1/3)))/3</f>
        <v>21.443333333333332</v>
      </c>
      <c r="D42" s="5" t="s">
        <v>165</v>
      </c>
      <c r="E42" s="14">
        <f>C12-C24</f>
        <v>0.10999999999999943</v>
      </c>
      <c r="F42" s="5" t="s">
        <v>170</v>
      </c>
      <c r="G42" s="22">
        <f>(((F19+F20+F21)*42/3)/100)-((C19+C20+C21)/3)</f>
        <v>4.2513333333333314</v>
      </c>
      <c r="H42" s="5" t="s">
        <v>176</v>
      </c>
      <c r="I42" s="22">
        <f>(((F20+F21+F22)*42/3)/100)-C42</f>
        <v>4.6946666666666665</v>
      </c>
      <c r="J42" s="5"/>
      <c r="K42" s="22"/>
      <c r="L42" s="5"/>
      <c r="M42" s="56"/>
      <c r="U42" s="2"/>
      <c r="V42" s="2"/>
      <c r="Z42" s="7"/>
      <c r="AA42" s="2"/>
      <c r="AB42" s="2"/>
      <c r="AC42" s="2"/>
      <c r="AD42" s="2"/>
      <c r="AE42" s="2"/>
      <c r="AF42" s="2"/>
      <c r="AG42" s="2"/>
    </row>
    <row r="43" spans="1:33" x14ac:dyDescent="0.2">
      <c r="B43" s="45"/>
      <c r="C43" s="14"/>
      <c r="D43" s="5" t="s">
        <v>166</v>
      </c>
      <c r="E43" s="14">
        <f>C13-C25</f>
        <v>7.0000000000000284E-2</v>
      </c>
      <c r="F43" s="5"/>
      <c r="G43" s="15"/>
      <c r="H43" s="5"/>
      <c r="I43" s="22"/>
      <c r="J43" s="5"/>
      <c r="K43" s="22"/>
      <c r="L43" s="5"/>
      <c r="M43" s="56"/>
      <c r="P43" s="2"/>
      <c r="Q43" s="2"/>
      <c r="Z43" s="7"/>
    </row>
    <row r="44" spans="1:33" x14ac:dyDescent="0.2">
      <c r="B44" s="47" t="s">
        <v>17</v>
      </c>
      <c r="C44" s="57">
        <f>((C11*(2/3))+C12+C13+C14+C15+C16+C17+C18+C19+C20+C21+C22+(C23*(1/3)))/12</f>
        <v>21.571666666666669</v>
      </c>
      <c r="D44" s="58"/>
      <c r="E44" s="59"/>
      <c r="F44" s="58"/>
      <c r="G44" s="60"/>
      <c r="H44" s="58" t="s">
        <v>154</v>
      </c>
      <c r="I44" s="60">
        <f>AVERAGE(I39:I42)</f>
        <v>3.8768333333333329</v>
      </c>
      <c r="J44" s="58"/>
      <c r="K44" s="60"/>
      <c r="L44" s="58"/>
      <c r="M44" s="61"/>
      <c r="P44" s="2"/>
      <c r="Q44" s="2"/>
      <c r="Z44" s="7"/>
    </row>
    <row r="45" spans="1:33" x14ac:dyDescent="0.2">
      <c r="B45" s="2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Z45" s="7"/>
    </row>
    <row r="46" spans="1:33" x14ac:dyDescent="0.2">
      <c r="B46" s="67"/>
      <c r="C46" s="140" t="s">
        <v>196</v>
      </c>
      <c r="D46" s="140"/>
      <c r="E46" s="141"/>
      <c r="G46" s="103"/>
      <c r="H46" s="104"/>
      <c r="I46" s="104"/>
      <c r="J46" s="104"/>
      <c r="K46" s="105"/>
      <c r="L46" s="105"/>
      <c r="M46" s="105"/>
      <c r="N46" s="122"/>
      <c r="O46" s="2"/>
      <c r="P46" s="2"/>
      <c r="Q46" s="2"/>
      <c r="R46" s="2"/>
      <c r="S46" s="2"/>
      <c r="T46" s="2"/>
      <c r="U46" s="2"/>
      <c r="Z46" s="7"/>
    </row>
    <row r="47" spans="1:33" x14ac:dyDescent="0.2">
      <c r="B47" s="68"/>
      <c r="C47" s="4" t="s">
        <v>3</v>
      </c>
      <c r="D47" s="4" t="s">
        <v>4</v>
      </c>
      <c r="E47" s="69" t="s">
        <v>2</v>
      </c>
      <c r="G47" s="45"/>
      <c r="H47" s="118" t="s">
        <v>194</v>
      </c>
      <c r="I47" s="8"/>
      <c r="J47" s="8" t="s">
        <v>195</v>
      </c>
      <c r="K47" s="8"/>
      <c r="L47" s="8" t="s">
        <v>197</v>
      </c>
      <c r="M47" s="8"/>
      <c r="N47" s="121" t="s">
        <v>198</v>
      </c>
      <c r="O47" s="2"/>
      <c r="P47" s="2"/>
      <c r="Q47" s="2"/>
      <c r="R47" s="2"/>
      <c r="S47" s="2"/>
      <c r="Z47" s="7"/>
    </row>
    <row r="48" spans="1:33" x14ac:dyDescent="0.2">
      <c r="B48" s="45">
        <v>37196</v>
      </c>
      <c r="C48" s="10">
        <f>(((((E9*3)*42)/100)+(((F9*2)*42)/100))-(5*C30))/5</f>
        <v>3.2314000000000052</v>
      </c>
      <c r="D48" s="10" t="e">
        <f t="shared" ref="D48:D55" si="11">((((E8*2)*42)/100)+((F8*42)/100)-(C8*3))/3</f>
        <v>#VALUE!</v>
      </c>
      <c r="E48" s="70" t="e">
        <f t="shared" ref="E48:E55" si="12">((((E8*42)/100)+((F8*42)/100))-(C8*2))/2</f>
        <v>#VALUE!</v>
      </c>
      <c r="G48" s="45" t="s">
        <v>185</v>
      </c>
      <c r="H48" s="22" t="e">
        <f t="shared" ref="H48:H55" si="13">C69-C8</f>
        <v>#VALUE!</v>
      </c>
      <c r="I48" s="5" t="s">
        <v>7</v>
      </c>
      <c r="J48" s="22">
        <f t="shared" ref="J48:J53" si="14">G69-C30</f>
        <v>-0.91499999999999559</v>
      </c>
      <c r="K48" s="5" t="s">
        <v>7</v>
      </c>
      <c r="L48" s="14">
        <f>((D9*(2/3)+D10*(1/3)))-C30</f>
        <v>-0.73666666666666458</v>
      </c>
      <c r="M48" s="5" t="s">
        <v>185</v>
      </c>
      <c r="N48" s="123" t="e">
        <f>D8-C8</f>
        <v>#VALUE!</v>
      </c>
      <c r="O48" s="2"/>
      <c r="P48" s="2"/>
      <c r="Q48" s="2"/>
      <c r="R48" s="2"/>
      <c r="S48" s="2"/>
    </row>
    <row r="49" spans="2:21" x14ac:dyDescent="0.2">
      <c r="B49" s="45">
        <v>37226</v>
      </c>
      <c r="C49" s="10">
        <f t="shared" ref="C49:C55" si="15">(((((E10*3)*42)/100)+(((F10*2)*42)/100))-(5*C31))/5</f>
        <v>3.4336000000000011</v>
      </c>
      <c r="D49" s="10">
        <f t="shared" si="11"/>
        <v>3.1400000000000028</v>
      </c>
      <c r="E49" s="70">
        <f t="shared" si="12"/>
        <v>3.4935000000000009</v>
      </c>
      <c r="G49" s="45" t="s">
        <v>186</v>
      </c>
      <c r="H49" s="22">
        <f t="shared" si="13"/>
        <v>-0.89999999999999858</v>
      </c>
      <c r="I49" s="5" t="s">
        <v>8</v>
      </c>
      <c r="J49" s="22">
        <f t="shared" si="14"/>
        <v>-0.99500000000000099</v>
      </c>
      <c r="K49" s="5" t="s">
        <v>8</v>
      </c>
      <c r="L49" s="14">
        <f t="shared" ref="L49:L55" si="16">((D10*(2/3)+D11*(1/3)))-C31</f>
        <v>-0.37333333333333485</v>
      </c>
      <c r="M49" s="5" t="s">
        <v>186</v>
      </c>
      <c r="N49" s="123">
        <f t="shared" ref="N49:N55" si="17">D9-C9</f>
        <v>-0.94999999999999929</v>
      </c>
      <c r="O49" s="2"/>
      <c r="P49" s="2"/>
      <c r="Q49" s="2"/>
      <c r="R49" s="2"/>
      <c r="S49" s="2"/>
    </row>
    <row r="50" spans="2:21" x14ac:dyDescent="0.2">
      <c r="B50" s="45">
        <v>37257</v>
      </c>
      <c r="C50" s="10">
        <f t="shared" si="15"/>
        <v>3.5645333333333324</v>
      </c>
      <c r="D50" s="10">
        <f t="shared" si="11"/>
        <v>3.3819999999999957</v>
      </c>
      <c r="E50" s="70">
        <f t="shared" si="12"/>
        <v>3.7109999999999985</v>
      </c>
      <c r="G50" s="45" t="s">
        <v>187</v>
      </c>
      <c r="H50" s="22">
        <f t="shared" si="13"/>
        <v>-0.98000000000000043</v>
      </c>
      <c r="I50" s="5" t="s">
        <v>9</v>
      </c>
      <c r="J50" s="22">
        <f t="shared" si="14"/>
        <v>-1.101666666666663</v>
      </c>
      <c r="K50" s="5" t="s">
        <v>9</v>
      </c>
      <c r="L50" s="14">
        <f t="shared" si="16"/>
        <v>-0.53999999999999915</v>
      </c>
      <c r="M50" s="5" t="s">
        <v>187</v>
      </c>
      <c r="N50" s="123">
        <f t="shared" si="17"/>
        <v>-0.31000000000000227</v>
      </c>
      <c r="O50" s="2"/>
      <c r="P50" s="2"/>
      <c r="Q50" s="2"/>
      <c r="R50" s="2"/>
      <c r="S50" s="2"/>
    </row>
    <row r="51" spans="2:21" x14ac:dyDescent="0.2">
      <c r="B51" s="45">
        <v>37288</v>
      </c>
      <c r="C51" s="10">
        <f t="shared" si="15"/>
        <v>3.5455333333333328</v>
      </c>
      <c r="D51" s="10">
        <f t="shared" si="11"/>
        <v>3.5060000000000002</v>
      </c>
      <c r="E51" s="70">
        <f t="shared" si="12"/>
        <v>3.7439999999999998</v>
      </c>
      <c r="G51" s="45" t="s">
        <v>188</v>
      </c>
      <c r="H51" s="22">
        <f t="shared" si="13"/>
        <v>-1.0899999999999999</v>
      </c>
      <c r="I51" s="5" t="s">
        <v>10</v>
      </c>
      <c r="J51" s="22">
        <f t="shared" si="14"/>
        <v>-1.1166666666666671</v>
      </c>
      <c r="K51" s="5" t="s">
        <v>10</v>
      </c>
      <c r="L51" s="14">
        <f t="shared" si="16"/>
        <v>-0.59000000000000341</v>
      </c>
      <c r="M51" s="5" t="s">
        <v>188</v>
      </c>
      <c r="N51" s="123">
        <f t="shared" si="17"/>
        <v>-0.5</v>
      </c>
      <c r="O51" s="2"/>
      <c r="P51" s="2"/>
      <c r="Q51" s="2"/>
      <c r="R51" s="2"/>
      <c r="S51" s="2"/>
    </row>
    <row r="52" spans="2:21" x14ac:dyDescent="0.2">
      <c r="B52" s="45">
        <v>37316</v>
      </c>
      <c r="C52" s="10">
        <f t="shared" si="15"/>
        <v>5.2290666666666707</v>
      </c>
      <c r="D52" s="10">
        <f t="shared" si="11"/>
        <v>3.480000000000004</v>
      </c>
      <c r="E52" s="70">
        <f t="shared" si="12"/>
        <v>3.5605000000000047</v>
      </c>
      <c r="G52" s="45" t="s">
        <v>189</v>
      </c>
      <c r="H52" s="22">
        <f t="shared" si="13"/>
        <v>-1.1499999999999986</v>
      </c>
      <c r="I52" s="5" t="s">
        <v>11</v>
      </c>
      <c r="J52" s="22">
        <f t="shared" si="14"/>
        <v>-1.0083333333333329</v>
      </c>
      <c r="K52" s="5" t="s">
        <v>11</v>
      </c>
      <c r="L52" s="14">
        <f t="shared" si="16"/>
        <v>-0.51999999999999957</v>
      </c>
      <c r="M52" s="5" t="s">
        <v>189</v>
      </c>
      <c r="N52" s="123">
        <f t="shared" si="17"/>
        <v>-0.61999999999999744</v>
      </c>
      <c r="O52" s="2"/>
      <c r="P52" s="2"/>
      <c r="Q52" s="2"/>
      <c r="R52" s="2"/>
      <c r="S52" s="2"/>
    </row>
    <row r="53" spans="2:21" x14ac:dyDescent="0.2">
      <c r="B53" s="45">
        <v>37347</v>
      </c>
      <c r="C53" s="10">
        <f t="shared" si="15"/>
        <v>4.8209333333333317</v>
      </c>
      <c r="D53" s="10">
        <f t="shared" si="11"/>
        <v>5.4069999999999965</v>
      </c>
      <c r="E53" s="70">
        <f t="shared" si="12"/>
        <v>4.9205000000000005</v>
      </c>
      <c r="G53" s="45" t="s">
        <v>190</v>
      </c>
      <c r="H53" s="22">
        <f t="shared" si="13"/>
        <v>-1.0500000000000007</v>
      </c>
      <c r="I53" s="5" t="s">
        <v>68</v>
      </c>
      <c r="J53" s="22">
        <f t="shared" si="14"/>
        <v>-1.0066666666666677</v>
      </c>
      <c r="K53" s="5" t="s">
        <v>68</v>
      </c>
      <c r="L53" s="14">
        <f t="shared" si="16"/>
        <v>-0.55333333333333456</v>
      </c>
      <c r="M53" s="5" t="s">
        <v>190</v>
      </c>
      <c r="N53" s="123">
        <f t="shared" si="17"/>
        <v>-0.53000000000000114</v>
      </c>
      <c r="O53" s="2"/>
      <c r="P53" s="2"/>
      <c r="Q53" s="2"/>
      <c r="R53" s="2"/>
      <c r="S53" s="2"/>
    </row>
    <row r="54" spans="2:21" x14ac:dyDescent="0.2">
      <c r="B54" s="45">
        <v>37377</v>
      </c>
      <c r="C54" s="10">
        <f t="shared" si="15"/>
        <v>5.1066000000000029</v>
      </c>
      <c r="D54" s="10">
        <f t="shared" si="11"/>
        <v>5.0369999999999964</v>
      </c>
      <c r="E54" s="70">
        <f t="shared" si="12"/>
        <v>4.6134999999999984</v>
      </c>
      <c r="G54" s="45" t="s">
        <v>191</v>
      </c>
      <c r="H54" s="22">
        <f t="shared" si="13"/>
        <v>-0.94999999999999929</v>
      </c>
      <c r="I54" s="5"/>
      <c r="J54" s="22"/>
      <c r="K54" s="5" t="s">
        <v>133</v>
      </c>
      <c r="L54" s="14">
        <f t="shared" si="16"/>
        <v>-0.68666666666666387</v>
      </c>
      <c r="M54" s="5" t="s">
        <v>191</v>
      </c>
      <c r="N54" s="123">
        <f t="shared" si="17"/>
        <v>-0.5</v>
      </c>
      <c r="O54" s="2"/>
      <c r="P54" s="2"/>
      <c r="Q54" s="2"/>
      <c r="R54" s="2"/>
      <c r="S54" s="2"/>
    </row>
    <row r="55" spans="2:21" x14ac:dyDescent="0.2">
      <c r="B55" s="45">
        <v>37408</v>
      </c>
      <c r="C55" s="10">
        <f t="shared" si="15"/>
        <v>5.0562000000000067</v>
      </c>
      <c r="D55" s="10">
        <f t="shared" si="11"/>
        <v>5.3519999999999994</v>
      </c>
      <c r="E55" s="70">
        <f t="shared" si="12"/>
        <v>4.7884999999999991</v>
      </c>
      <c r="G55" s="45" t="s">
        <v>192</v>
      </c>
      <c r="H55" s="22">
        <f t="shared" si="13"/>
        <v>-1.1099999999999994</v>
      </c>
      <c r="I55" s="5" t="s">
        <v>193</v>
      </c>
      <c r="J55" s="22">
        <f>AVERAGE(J50:J52)</f>
        <v>-1.0755555555555543</v>
      </c>
      <c r="K55" s="5" t="s">
        <v>134</v>
      </c>
      <c r="L55" s="14">
        <f t="shared" si="16"/>
        <v>-0.70666666666666345</v>
      </c>
      <c r="M55" s="5" t="s">
        <v>192</v>
      </c>
      <c r="N55" s="123">
        <f t="shared" si="17"/>
        <v>-0.66000000000000014</v>
      </c>
      <c r="O55" s="2"/>
      <c r="P55" s="2"/>
      <c r="Q55" s="2"/>
      <c r="R55" s="2"/>
      <c r="S55" s="2"/>
    </row>
    <row r="56" spans="2:21" x14ac:dyDescent="0.2">
      <c r="B56" s="45">
        <v>37438</v>
      </c>
      <c r="C56" s="10"/>
      <c r="D56" s="10"/>
      <c r="E56" s="70"/>
      <c r="G56" s="45"/>
      <c r="H56" s="22"/>
      <c r="I56" s="5"/>
      <c r="J56" s="22"/>
      <c r="K56" s="5"/>
      <c r="L56" s="14"/>
      <c r="M56" s="5"/>
      <c r="N56" s="56"/>
      <c r="O56" s="2"/>
      <c r="P56" s="2"/>
      <c r="Q56" s="2"/>
      <c r="R56" s="2"/>
      <c r="S56" s="2"/>
    </row>
    <row r="57" spans="2:21" x14ac:dyDescent="0.2">
      <c r="B57" s="45">
        <v>37469</v>
      </c>
      <c r="C57" s="10"/>
      <c r="D57" s="10"/>
      <c r="E57" s="70"/>
      <c r="G57" s="45" t="s">
        <v>199</v>
      </c>
      <c r="H57" s="22">
        <f>((C71+C72+C73)/3)-((C10+C11+C12)/3)</f>
        <v>-1.0733333333333377</v>
      </c>
      <c r="I57" s="5"/>
      <c r="J57" s="22"/>
      <c r="K57" s="5" t="s">
        <v>13</v>
      </c>
      <c r="L57" s="14">
        <f>AVERAGE(L50:L52)</f>
        <v>-0.55000000000000071</v>
      </c>
      <c r="M57" s="5"/>
      <c r="N57" s="56"/>
      <c r="O57" s="2"/>
      <c r="P57" s="2"/>
      <c r="Q57" s="2"/>
      <c r="R57" s="2"/>
      <c r="S57" s="2"/>
    </row>
    <row r="58" spans="2:21" x14ac:dyDescent="0.2">
      <c r="B58" s="45">
        <v>37500</v>
      </c>
      <c r="C58" s="10"/>
      <c r="D58" s="10"/>
      <c r="E58" s="70"/>
      <c r="G58" s="45" t="s">
        <v>200</v>
      </c>
      <c r="H58" s="22">
        <f>((C74+C75+C76)/3)-((C13+C14+C15)/3)</f>
        <v>-1.0366666666666653</v>
      </c>
      <c r="I58" s="5"/>
      <c r="J58" s="22"/>
      <c r="K58" s="5" t="s">
        <v>14</v>
      </c>
      <c r="L58" s="14">
        <f>AVERAGE(L53:L55)</f>
        <v>-0.64888888888888729</v>
      </c>
      <c r="M58" s="5"/>
      <c r="N58" s="56"/>
      <c r="O58" s="2"/>
      <c r="P58" s="2"/>
      <c r="Q58" s="2"/>
      <c r="R58" s="2"/>
      <c r="S58" s="2"/>
    </row>
    <row r="59" spans="2:21" x14ac:dyDescent="0.2">
      <c r="B59" s="45">
        <v>37530</v>
      </c>
      <c r="C59" s="10"/>
      <c r="D59" s="10"/>
      <c r="E59" s="70"/>
      <c r="G59" s="45"/>
      <c r="H59" s="22"/>
      <c r="I59" s="5"/>
      <c r="J59" s="22"/>
      <c r="K59" s="5" t="s">
        <v>15</v>
      </c>
      <c r="L59" s="14">
        <f>((D17*(2/3))+D18+D19+(D20*(1/3)))/3-C41</f>
        <v>-0.73333333333333428</v>
      </c>
      <c r="M59" s="5"/>
      <c r="N59" s="56"/>
      <c r="O59" s="2"/>
      <c r="P59" s="2"/>
      <c r="Q59" s="2"/>
      <c r="R59" s="2"/>
      <c r="S59" s="2"/>
    </row>
    <row r="60" spans="2:21" x14ac:dyDescent="0.2">
      <c r="B60" s="45">
        <v>37561</v>
      </c>
      <c r="C60" s="10"/>
      <c r="D60" s="10"/>
      <c r="E60" s="70"/>
      <c r="G60" s="45"/>
      <c r="H60" s="22"/>
      <c r="I60" s="5"/>
      <c r="J60" s="22"/>
      <c r="K60" s="5" t="s">
        <v>16</v>
      </c>
      <c r="L60" s="14"/>
      <c r="M60" s="5"/>
      <c r="N60" s="56"/>
      <c r="O60" s="2"/>
      <c r="P60" s="2"/>
      <c r="Q60" s="2"/>
      <c r="R60" s="2"/>
      <c r="S60" s="2"/>
    </row>
    <row r="61" spans="2:21" x14ac:dyDescent="0.2">
      <c r="B61" s="45">
        <v>37591</v>
      </c>
      <c r="C61" s="10"/>
      <c r="D61" s="10"/>
      <c r="E61" s="70"/>
      <c r="G61" s="45"/>
      <c r="H61" s="22"/>
      <c r="I61" s="5"/>
      <c r="J61" s="22"/>
      <c r="K61" s="5"/>
      <c r="L61" s="14"/>
      <c r="M61" s="5"/>
      <c r="N61" s="56"/>
      <c r="O61" s="2"/>
      <c r="P61" s="2"/>
      <c r="Q61" s="2"/>
      <c r="R61" s="2"/>
      <c r="S61" s="2"/>
    </row>
    <row r="62" spans="2:21" x14ac:dyDescent="0.2">
      <c r="B62" s="45">
        <v>37622</v>
      </c>
      <c r="C62" s="10"/>
      <c r="D62" s="10"/>
      <c r="E62" s="70"/>
      <c r="G62" s="47"/>
      <c r="H62" s="60"/>
      <c r="I62" s="58"/>
      <c r="J62" s="60"/>
      <c r="K62" s="58" t="s">
        <v>17</v>
      </c>
      <c r="L62" s="57"/>
      <c r="M62" s="58"/>
      <c r="N62" s="124"/>
      <c r="O62" s="2"/>
      <c r="P62" s="2"/>
      <c r="Q62" s="2"/>
      <c r="R62" s="2"/>
      <c r="S62" s="2"/>
    </row>
    <row r="63" spans="2:21" x14ac:dyDescent="0.2">
      <c r="B63" s="35"/>
      <c r="K63" s="2"/>
      <c r="L63" s="2"/>
      <c r="M63" s="2"/>
      <c r="N63" s="2"/>
      <c r="O63" s="2"/>
      <c r="P63" s="2"/>
      <c r="Q63" s="2"/>
    </row>
    <row r="64" spans="2:21" x14ac:dyDescent="0.2">
      <c r="I64" s="2"/>
      <c r="P64" s="2"/>
      <c r="Q64" s="2"/>
      <c r="R64" s="2"/>
      <c r="S64" s="2"/>
      <c r="T64" s="2"/>
      <c r="U64" s="2"/>
    </row>
    <row r="65" spans="2:17" x14ac:dyDescent="0.2">
      <c r="B65" s="2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2:17" x14ac:dyDescent="0.2">
      <c r="B66" s="79"/>
      <c r="C66" s="132" t="s">
        <v>47</v>
      </c>
      <c r="D66" s="132"/>
      <c r="E66" s="132"/>
      <c r="F66" s="132"/>
      <c r="G66" s="133"/>
      <c r="H66" s="2"/>
      <c r="I66" s="79"/>
      <c r="J66" s="62"/>
      <c r="K66" s="62"/>
      <c r="L66" s="62"/>
      <c r="M66" s="62"/>
      <c r="N66" s="63"/>
      <c r="O66" s="27"/>
    </row>
    <row r="67" spans="2:17" x14ac:dyDescent="0.2">
      <c r="B67" s="26"/>
      <c r="C67" s="3" t="s">
        <v>48</v>
      </c>
      <c r="D67" s="3" t="s">
        <v>49</v>
      </c>
      <c r="E67" s="3" t="s">
        <v>60</v>
      </c>
      <c r="F67" s="3" t="s">
        <v>76</v>
      </c>
      <c r="G67" s="44"/>
      <c r="H67" s="2"/>
      <c r="I67" s="26"/>
      <c r="J67" s="3" t="s">
        <v>97</v>
      </c>
      <c r="K67" s="3"/>
      <c r="L67" s="3" t="s">
        <v>103</v>
      </c>
      <c r="M67" s="3"/>
      <c r="N67" s="44" t="s">
        <v>104</v>
      </c>
      <c r="O67" s="27"/>
    </row>
    <row r="68" spans="2:17" x14ac:dyDescent="0.2">
      <c r="B68" s="29">
        <v>37165</v>
      </c>
      <c r="C68" s="9"/>
      <c r="D68" s="9" t="e">
        <f>([1]!'LGOV1,LAST,1')/100</f>
        <v>#VALUE!</v>
      </c>
      <c r="E68" s="9"/>
      <c r="F68" s="5" t="s">
        <v>6</v>
      </c>
      <c r="G68" s="64"/>
      <c r="H68" s="2"/>
      <c r="I68" s="29" t="s">
        <v>6</v>
      </c>
      <c r="J68" s="31"/>
      <c r="K68" s="5">
        <v>37165</v>
      </c>
      <c r="L68" s="32"/>
      <c r="M68" s="5">
        <v>37165</v>
      </c>
      <c r="N68" s="73"/>
      <c r="O68" s="27"/>
    </row>
    <row r="69" spans="2:17" x14ac:dyDescent="0.2">
      <c r="B69" s="29">
        <v>37196</v>
      </c>
      <c r="C69" s="9" t="e">
        <f>[1]!'LCOX1,LAST,1'/100</f>
        <v>#VALUE!</v>
      </c>
      <c r="D69" s="9">
        <f>([1]!'LGOX1,LAST,1')/100</f>
        <v>186</v>
      </c>
      <c r="E69" s="9" t="e">
        <f>IF((D69/7.46)-C69&lt;0," ",(D69/7.46)-C69)</f>
        <v>#VALUE!</v>
      </c>
      <c r="F69" s="5" t="s">
        <v>7</v>
      </c>
      <c r="G69" s="64">
        <f t="shared" ref="G69:G74" si="18">(0.5*C70)+(0.5*C71)</f>
        <v>20.285</v>
      </c>
      <c r="H69" s="2"/>
      <c r="I69" s="29" t="s">
        <v>7</v>
      </c>
      <c r="J69" s="31"/>
      <c r="K69" s="5">
        <v>37196</v>
      </c>
      <c r="L69" s="32"/>
      <c r="M69" s="5">
        <v>37196</v>
      </c>
      <c r="N69" s="73"/>
      <c r="O69" s="27"/>
    </row>
    <row r="70" spans="2:17" x14ac:dyDescent="0.2">
      <c r="B70" s="29">
        <v>37226</v>
      </c>
      <c r="C70" s="9">
        <f>[1]!'LCOZ1,LAST,1'/100</f>
        <v>20.25</v>
      </c>
      <c r="D70" s="9">
        <f>([1]!'LGOZ1,LAST,1')/100</f>
        <v>183.75</v>
      </c>
      <c r="E70" s="9">
        <f t="shared" ref="E70:E77" si="19">IF((D70/7.46)-C70&lt;0," ",(D70/7.46)-C70)</f>
        <v>4.3813672922251996</v>
      </c>
      <c r="F70" s="5" t="s">
        <v>8</v>
      </c>
      <c r="G70" s="64">
        <f t="shared" si="18"/>
        <v>20.384999999999998</v>
      </c>
      <c r="H70" s="2"/>
      <c r="I70" s="29" t="s">
        <v>8</v>
      </c>
      <c r="J70" s="31"/>
      <c r="K70" s="5">
        <v>37226</v>
      </c>
      <c r="L70" s="32"/>
      <c r="M70" s="5">
        <v>37226</v>
      </c>
      <c r="N70" s="73"/>
      <c r="O70" s="27"/>
    </row>
    <row r="71" spans="2:17" x14ac:dyDescent="0.2">
      <c r="B71" s="29">
        <v>37257</v>
      </c>
      <c r="C71" s="9">
        <f>[1]!'LCOF2,LAST,1'/100</f>
        <v>20.32</v>
      </c>
      <c r="D71" s="9">
        <f>([1]!'LGOF2,LAST,1')/100</f>
        <v>184.25</v>
      </c>
      <c r="E71" s="9">
        <f t="shared" si="19"/>
        <v>4.3783914209115267</v>
      </c>
      <c r="F71" s="5" t="s">
        <v>9</v>
      </c>
      <c r="G71" s="64">
        <f t="shared" si="18"/>
        <v>20.475000000000001</v>
      </c>
      <c r="H71" s="2"/>
      <c r="I71" s="29" t="s">
        <v>9</v>
      </c>
      <c r="J71" s="31"/>
      <c r="K71" s="5">
        <v>37257</v>
      </c>
      <c r="L71" s="32"/>
      <c r="M71" s="5">
        <v>37257</v>
      </c>
      <c r="N71" s="73"/>
      <c r="O71" s="27"/>
    </row>
    <row r="72" spans="2:17" x14ac:dyDescent="0.2">
      <c r="B72" s="29">
        <v>37288</v>
      </c>
      <c r="C72" s="9">
        <f>[1]!'LCOG2,LAST,1'/100</f>
        <v>20.45</v>
      </c>
      <c r="D72" s="9">
        <f>([1]!'LGOG2,LAST,1')/100</f>
        <v>182.25</v>
      </c>
      <c r="E72" s="9">
        <f t="shared" si="19"/>
        <v>3.9802949061662218</v>
      </c>
      <c r="F72" s="5" t="s">
        <v>10</v>
      </c>
      <c r="G72" s="64">
        <f t="shared" si="18"/>
        <v>20.5</v>
      </c>
      <c r="H72" s="2"/>
      <c r="I72" s="29" t="s">
        <v>10</v>
      </c>
      <c r="J72" s="31"/>
      <c r="K72" s="5">
        <v>37288</v>
      </c>
      <c r="L72" s="32"/>
      <c r="M72" s="5">
        <v>37288</v>
      </c>
      <c r="N72" s="73"/>
      <c r="O72" s="27"/>
    </row>
    <row r="73" spans="2:17" x14ac:dyDescent="0.2">
      <c r="B73" s="29">
        <v>37316</v>
      </c>
      <c r="C73" s="9">
        <f>[1]!'LCOH2,LAST,1'/100</f>
        <v>20.5</v>
      </c>
      <c r="D73" s="9">
        <f>([1]!'LGOH2,LAST,1')/100</f>
        <v>182</v>
      </c>
      <c r="E73" s="9">
        <f t="shared" si="19"/>
        <v>3.8967828418230575</v>
      </c>
      <c r="F73" s="5" t="s">
        <v>11</v>
      </c>
      <c r="G73" s="64">
        <f t="shared" si="18"/>
        <v>20.524999999999999</v>
      </c>
      <c r="H73" s="2"/>
      <c r="I73" s="29" t="s">
        <v>11</v>
      </c>
      <c r="J73" s="31"/>
      <c r="K73" s="5">
        <v>37316</v>
      </c>
      <c r="L73" s="32"/>
      <c r="M73" s="5">
        <v>37316</v>
      </c>
      <c r="N73" s="73"/>
      <c r="O73" s="27"/>
    </row>
    <row r="74" spans="2:17" x14ac:dyDescent="0.2">
      <c r="B74" s="29">
        <v>37347</v>
      </c>
      <c r="C74" s="9">
        <f>[1]!'LCOJ2,LAST,1'/100</f>
        <v>20.5</v>
      </c>
      <c r="D74" s="9">
        <f>([1]!'LGOJ2,LAST,1')/100</f>
        <v>181.5</v>
      </c>
      <c r="E74" s="9">
        <f t="shared" si="19"/>
        <v>3.8297587131367301</v>
      </c>
      <c r="F74" s="5" t="s">
        <v>68</v>
      </c>
      <c r="G74" s="64">
        <f t="shared" si="18"/>
        <v>20.54</v>
      </c>
      <c r="H74" s="2"/>
      <c r="I74" s="29"/>
      <c r="J74" s="33"/>
      <c r="K74" s="23"/>
      <c r="L74" s="33"/>
      <c r="M74" s="23"/>
      <c r="N74" s="74"/>
      <c r="O74" s="27"/>
    </row>
    <row r="75" spans="2:17" x14ac:dyDescent="0.2">
      <c r="B75" s="29">
        <v>37377</v>
      </c>
      <c r="C75" s="9">
        <f>[1]!'LCOK2,LAST,1'/100</f>
        <v>20.55</v>
      </c>
      <c r="D75" s="9">
        <f>([1]!'LGOK2,LAST,1')/100</f>
        <v>185</v>
      </c>
      <c r="E75" s="9">
        <f t="shared" si="19"/>
        <v>4.2489276139410173</v>
      </c>
      <c r="F75" s="5"/>
      <c r="G75" s="64"/>
      <c r="H75" s="2"/>
      <c r="I75" s="29" t="s">
        <v>12</v>
      </c>
      <c r="J75" s="31"/>
      <c r="K75" s="23" t="s">
        <v>98</v>
      </c>
      <c r="L75" s="32"/>
      <c r="M75" s="23" t="s">
        <v>98</v>
      </c>
      <c r="N75" s="73"/>
      <c r="O75" s="27"/>
    </row>
    <row r="76" spans="2:17" x14ac:dyDescent="0.2">
      <c r="B76" s="29">
        <v>37408</v>
      </c>
      <c r="C76" s="9">
        <f>[1]!'LCOM2,LAST,1'/100</f>
        <v>20.53</v>
      </c>
      <c r="D76" s="9">
        <f>([1]!'LGOM2,LAST,1')/100</f>
        <v>180</v>
      </c>
      <c r="E76" s="9">
        <f t="shared" si="19"/>
        <v>3.5986863270777469</v>
      </c>
      <c r="F76" s="5" t="s">
        <v>12</v>
      </c>
      <c r="G76" s="64"/>
      <c r="H76" s="2"/>
      <c r="I76" s="29" t="s">
        <v>13</v>
      </c>
      <c r="J76" s="31"/>
      <c r="K76" s="23" t="s">
        <v>99</v>
      </c>
      <c r="L76" s="32"/>
      <c r="M76" s="23" t="s">
        <v>99</v>
      </c>
      <c r="N76" s="73"/>
      <c r="O76" s="27"/>
    </row>
    <row r="77" spans="2:17" x14ac:dyDescent="0.2">
      <c r="B77" s="29">
        <v>37438</v>
      </c>
      <c r="C77" s="9"/>
      <c r="D77" s="9">
        <f>([1]!'LGON2,LAST,1')/100</f>
        <v>0</v>
      </c>
      <c r="E77" s="9">
        <f t="shared" si="19"/>
        <v>0</v>
      </c>
      <c r="F77" s="5" t="s">
        <v>13</v>
      </c>
      <c r="G77" s="64">
        <f>((C72*(1/2))+C73+C74+(C75*(1/2)))/3</f>
        <v>20.5</v>
      </c>
      <c r="H77" s="2"/>
      <c r="I77" s="29" t="s">
        <v>14</v>
      </c>
      <c r="J77" s="31"/>
      <c r="K77" s="23" t="s">
        <v>100</v>
      </c>
      <c r="L77" s="32"/>
      <c r="M77" s="23" t="s">
        <v>100</v>
      </c>
      <c r="N77" s="73"/>
      <c r="O77" s="27"/>
    </row>
    <row r="78" spans="2:17" x14ac:dyDescent="0.2">
      <c r="B78" s="29">
        <v>37469</v>
      </c>
      <c r="C78" s="9"/>
      <c r="D78" s="9"/>
      <c r="E78" s="9"/>
      <c r="F78" s="5" t="s">
        <v>14</v>
      </c>
      <c r="G78" s="64">
        <f>((C75*(1/2))+C76+C77+(C78*(1/2)))/3</f>
        <v>10.268333333333333</v>
      </c>
      <c r="H78" s="2"/>
      <c r="I78" s="29" t="s">
        <v>15</v>
      </c>
      <c r="J78" s="31"/>
      <c r="K78" s="23" t="s">
        <v>101</v>
      </c>
      <c r="L78" s="32"/>
      <c r="M78" s="23" t="s">
        <v>101</v>
      </c>
      <c r="N78" s="73"/>
      <c r="O78" s="27"/>
    </row>
    <row r="79" spans="2:17" x14ac:dyDescent="0.2">
      <c r="B79" s="29">
        <v>37500</v>
      </c>
      <c r="C79" s="9"/>
      <c r="D79" s="9"/>
      <c r="E79" s="9"/>
      <c r="F79" s="5" t="s">
        <v>15</v>
      </c>
      <c r="G79" s="64"/>
      <c r="H79" s="2"/>
      <c r="I79" s="29" t="s">
        <v>16</v>
      </c>
      <c r="J79" s="31"/>
      <c r="K79" s="23" t="s">
        <v>102</v>
      </c>
      <c r="L79" s="32"/>
      <c r="M79" s="23" t="s">
        <v>102</v>
      </c>
      <c r="N79" s="73"/>
      <c r="O79" s="27"/>
    </row>
    <row r="80" spans="2:17" x14ac:dyDescent="0.2">
      <c r="B80" s="29">
        <v>37530</v>
      </c>
      <c r="C80" s="9"/>
      <c r="D80" s="9"/>
      <c r="E80" s="9"/>
      <c r="F80" s="5" t="s">
        <v>16</v>
      </c>
      <c r="G80" s="64"/>
      <c r="H80" s="2"/>
      <c r="I80" s="29"/>
      <c r="J80" s="33"/>
      <c r="K80" s="23"/>
      <c r="L80" s="33"/>
      <c r="M80" s="23"/>
      <c r="N80" s="74"/>
      <c r="O80" s="27"/>
    </row>
    <row r="81" spans="2:15" x14ac:dyDescent="0.2">
      <c r="B81" s="29">
        <v>37561</v>
      </c>
      <c r="C81" s="9"/>
      <c r="D81" s="9"/>
      <c r="E81" s="9"/>
      <c r="F81" s="5"/>
      <c r="G81" s="64"/>
      <c r="H81" s="2"/>
      <c r="I81" s="29" t="s">
        <v>17</v>
      </c>
      <c r="J81" s="31"/>
      <c r="K81" s="24">
        <v>2002</v>
      </c>
      <c r="L81" s="34"/>
      <c r="M81" s="24">
        <v>2002</v>
      </c>
      <c r="N81" s="73"/>
      <c r="O81" s="27"/>
    </row>
    <row r="82" spans="2:15" ht="13.5" thickBot="1" x14ac:dyDescent="0.25">
      <c r="B82" s="76">
        <v>37591</v>
      </c>
      <c r="C82" s="65">
        <f>[1]!'LCOZ2,LAST,1'/100</f>
        <v>20.47</v>
      </c>
      <c r="D82" s="65"/>
      <c r="E82" s="65"/>
      <c r="F82" s="58" t="s">
        <v>17</v>
      </c>
      <c r="G82" s="66"/>
      <c r="H82" s="36"/>
      <c r="I82" s="41"/>
      <c r="J82" s="42"/>
      <c r="K82" s="43"/>
      <c r="L82" s="42"/>
      <c r="M82" s="43"/>
      <c r="N82" s="80"/>
      <c r="O82" s="37"/>
    </row>
  </sheetData>
  <mergeCells count="6">
    <mergeCell ref="C66:G66"/>
    <mergeCell ref="C28:M28"/>
    <mergeCell ref="B3:O3"/>
    <mergeCell ref="M6:Q6"/>
    <mergeCell ref="C46:E46"/>
    <mergeCell ref="P28:U28"/>
  </mergeCells>
  <phoneticPr fontId="0" type="noConversion"/>
  <printOptions horizontalCentered="1" verticalCentered="1"/>
  <pageMargins left="0.75" right="0.75" top="1" bottom="1" header="0.5" footer="0.5"/>
  <pageSetup scale="46" orientation="landscape" r:id="rId1"/>
  <headerFooter alignWithMargins="0"/>
  <rowBreaks count="1" manualBreakCount="1">
    <brk id="26" min="1" max="1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S40"/>
  <sheetViews>
    <sheetView zoomScale="75" workbookViewId="0">
      <selection activeCell="I28" sqref="I28"/>
    </sheetView>
  </sheetViews>
  <sheetFormatPr defaultRowHeight="12.75" x14ac:dyDescent="0.2"/>
  <cols>
    <col min="2" max="2" width="16.5703125" bestFit="1" customWidth="1"/>
    <col min="6" max="6" width="10.42578125" bestFit="1" customWidth="1"/>
    <col min="8" max="8" width="9.7109375" customWidth="1"/>
    <col min="9" max="9" width="10.28515625" bestFit="1" customWidth="1"/>
    <col min="11" max="11" width="18.42578125" customWidth="1"/>
  </cols>
  <sheetData>
    <row r="2" spans="2:19" ht="20.25" x14ac:dyDescent="0.3">
      <c r="B2" s="142" t="s">
        <v>117</v>
      </c>
      <c r="C2" s="142"/>
      <c r="D2" s="142"/>
      <c r="E2" s="142"/>
      <c r="F2" s="142"/>
      <c r="G2" s="142"/>
      <c r="H2" s="142"/>
      <c r="I2" s="142"/>
      <c r="K2" s="142" t="s">
        <v>111</v>
      </c>
      <c r="L2" s="142"/>
      <c r="M2" s="142"/>
      <c r="N2" s="142"/>
      <c r="O2" s="142"/>
      <c r="P2" s="142"/>
      <c r="Q2" s="142"/>
      <c r="R2" s="142"/>
      <c r="S2" s="142"/>
    </row>
    <row r="3" spans="2:19" x14ac:dyDescent="0.2">
      <c r="B3" s="82">
        <f ca="1">TODAY()</f>
        <v>37195</v>
      </c>
      <c r="K3" s="82">
        <f ca="1">TODAY()</f>
        <v>37195</v>
      </c>
    </row>
    <row r="4" spans="2:19" x14ac:dyDescent="0.2">
      <c r="B4" s="81" t="str">
        <f>[1]!'0#C-N=PLT,DISPLAY NAME,1'</f>
        <v xml:space="preserve">American Crudes </v>
      </c>
      <c r="C4" t="s">
        <v>106</v>
      </c>
      <c r="D4" t="s">
        <v>107</v>
      </c>
      <c r="E4" t="s">
        <v>108</v>
      </c>
      <c r="F4" t="s">
        <v>114</v>
      </c>
      <c r="G4" t="s">
        <v>112</v>
      </c>
      <c r="H4" t="s">
        <v>113</v>
      </c>
      <c r="K4" s="81" t="str">
        <f>[1]!'0#P-USG=PLT,DISPLAY NAME,1'</f>
        <v>US Gulf Products</v>
      </c>
      <c r="L4" s="83" t="s">
        <v>106</v>
      </c>
      <c r="M4" s="83" t="s">
        <v>107</v>
      </c>
      <c r="N4" s="83" t="s">
        <v>108</v>
      </c>
      <c r="O4" s="83"/>
      <c r="P4" s="83"/>
      <c r="Q4" s="83"/>
      <c r="R4" s="83" t="s">
        <v>109</v>
      </c>
      <c r="S4" s="83" t="s">
        <v>110</v>
      </c>
    </row>
    <row r="5" spans="2:19" x14ac:dyDescent="0.2">
      <c r="B5" t="str">
        <f>[1]!'PCAAD00,DISPLAY NAME,1'</f>
        <v xml:space="preserve">ANS Long Beach  </v>
      </c>
      <c r="C5">
        <f>[1]!'PCAAD00,PRIM ACT 1,1'</f>
        <v>19.100000000000001</v>
      </c>
      <c r="D5">
        <f>[1]!'PCAAD00,SECOND ACTIVY 1,1'</f>
        <v>19.12</v>
      </c>
      <c r="E5">
        <f>(C5+D5)/2</f>
        <v>19.11</v>
      </c>
      <c r="F5" t="s">
        <v>115</v>
      </c>
      <c r="G5" t="str">
        <f>[1]!'PCAAD00,PRC AREA,1'</f>
        <v>LBch</v>
      </c>
      <c r="H5" s="6" t="e">
        <f>E5-'Crude&amp;Products'!$C$8</f>
        <v>#VALUE!</v>
      </c>
      <c r="K5" t="str">
        <f>[1]!'PGACT00,DISPLAY NAME,1'</f>
        <v xml:space="preserve">Unleaded        </v>
      </c>
      <c r="L5">
        <f>[1]!'PGACT00,PRIM ACT 1,1'</f>
        <v>52.25</v>
      </c>
      <c r="M5">
        <f>[1]!'PGACT00,SECOND ACTIVY 1,1'</f>
        <v>52.75</v>
      </c>
      <c r="N5">
        <f>(L5+M5)/2</f>
        <v>52.5</v>
      </c>
      <c r="O5" t="str">
        <f>[1]!'PGAAB00,NRG SIZE,1'</f>
        <v xml:space="preserve">Pipe </v>
      </c>
      <c r="P5" t="str">
        <f>[1]!'PGAAB00,NRG UNITS,1'</f>
        <v>c/Gal</v>
      </c>
      <c r="Q5" t="s">
        <v>0</v>
      </c>
      <c r="R5" t="e">
        <f>'Crude&amp;Products'!#REF!</f>
        <v>#REF!</v>
      </c>
      <c r="S5" s="81" t="e">
        <f>N5-R5</f>
        <v>#REF!</v>
      </c>
    </row>
    <row r="6" spans="2:19" x14ac:dyDescent="0.2">
      <c r="B6" t="str">
        <f>[1]!'PCABD00,DISPLAY NAME,1'</f>
        <v xml:space="preserve">HLS             </v>
      </c>
      <c r="C6">
        <f>[1]!'PCABD00,PRIM ACT 1,1'</f>
        <v>21.46</v>
      </c>
      <c r="D6">
        <f>[1]!'PCABD00,SECOND ACTIVY 1,1'</f>
        <v>21.49</v>
      </c>
      <c r="E6">
        <f t="shared" ref="E6:E11" si="0">(C6+D6)/2</f>
        <v>21.475000000000001</v>
      </c>
      <c r="F6" t="s">
        <v>115</v>
      </c>
      <c r="G6" t="str">
        <f>[1]!'PCABD00,PRC AREA,1'</f>
        <v xml:space="preserve">Emp </v>
      </c>
      <c r="H6" s="6" t="e">
        <f>E6-'Crude&amp;Products'!$C$8</f>
        <v>#VALUE!</v>
      </c>
      <c r="K6" t="str">
        <f>[1]!'PGAKT00,DISPLAY NAME,1'</f>
        <v xml:space="preserve">Unleaded RFG    </v>
      </c>
      <c r="L6">
        <f>[1]!'PGAKT00,PRIM ACT 1,1'</f>
        <v>53.75</v>
      </c>
      <c r="M6">
        <f>[1]!'PGAKT00,SECOND ACTIVY 1,1'</f>
        <v>54.5</v>
      </c>
      <c r="N6">
        <f>(L6+M6)/2</f>
        <v>54.125</v>
      </c>
      <c r="O6" t="str">
        <f>[1]!'PGAKT00,NRG SIZE,1'</f>
        <v xml:space="preserve">Pipe </v>
      </c>
      <c r="P6" t="str">
        <f>[1]!'PGAKT00,NRG UNITS,1'</f>
        <v>c/Gal</v>
      </c>
      <c r="Q6" t="s">
        <v>0</v>
      </c>
      <c r="R6" t="e">
        <f>R5</f>
        <v>#REF!</v>
      </c>
      <c r="S6" s="81" t="e">
        <f>N6-R6</f>
        <v>#REF!</v>
      </c>
    </row>
    <row r="7" spans="2:19" x14ac:dyDescent="0.2">
      <c r="B7" t="str">
        <f>[1]!'PCABN00,DISPLAY NAME,1'</f>
        <v>Lt Louisiana Swt</v>
      </c>
      <c r="C7">
        <f>[1]!'PCABN00,PRIM ACT 1,1'</f>
        <v>21.8</v>
      </c>
      <c r="D7">
        <f>[1]!'PCABN00,SECOND ACTIVY 1,1'</f>
        <v>21.83</v>
      </c>
      <c r="E7">
        <f t="shared" si="0"/>
        <v>21.814999999999998</v>
      </c>
      <c r="F7" t="s">
        <v>115</v>
      </c>
      <c r="G7" t="str">
        <f>[1]!'PCABN00,PRC AREA,1'</f>
        <v xml:space="preserve">StJ </v>
      </c>
      <c r="H7" s="6" t="e">
        <f>E7-'Crude&amp;Products'!$C$8</f>
        <v>#VALUE!</v>
      </c>
      <c r="S7" s="81"/>
    </row>
    <row r="8" spans="2:19" x14ac:dyDescent="0.2">
      <c r="B8" t="str">
        <f>[1]!'PCABJ00,DISPLAY NAME,1'</f>
        <v xml:space="preserve">Kern River      </v>
      </c>
      <c r="C8">
        <f>[1]!'PCABJ00,PRIM ACT 1,1'</f>
        <v>14.41</v>
      </c>
      <c r="D8">
        <f>[1]!'PCABJ00,SECOND ACTIVY 1,1'</f>
        <v>14.43</v>
      </c>
      <c r="E8">
        <f t="shared" si="0"/>
        <v>14.42</v>
      </c>
      <c r="F8" t="s">
        <v>115</v>
      </c>
      <c r="G8" t="str">
        <f>[1]!'PCABJ00,PRC AREA,1'</f>
        <v xml:space="preserve">Krn </v>
      </c>
      <c r="H8" s="6" t="e">
        <f>E8-'Crude&amp;Products'!$C$8</f>
        <v>#VALUE!</v>
      </c>
      <c r="K8" t="str">
        <f>[1]!'POAED00,DISPLAY NAME,1'</f>
        <v xml:space="preserve">No2             </v>
      </c>
      <c r="L8">
        <f>[1]!'POAED00,PRIM ACT 1,1'</f>
        <v>59.25</v>
      </c>
      <c r="M8">
        <f>[1]!'POAED00,SECOND ACTIVY 1,1'</f>
        <v>59.5</v>
      </c>
      <c r="N8">
        <f>(L8+M8)/2</f>
        <v>59.375</v>
      </c>
      <c r="O8" t="str">
        <f>[1]!'POAED00,NRG SIZE,1'</f>
        <v xml:space="preserve">Pipe </v>
      </c>
      <c r="P8" t="str">
        <f>[1]!'POAED00,NRG UNITS,1'</f>
        <v>c/Gal</v>
      </c>
      <c r="Q8" t="s">
        <v>45</v>
      </c>
      <c r="R8" t="e">
        <f>'Crude&amp;Products'!#REF!</f>
        <v>#REF!</v>
      </c>
      <c r="S8" s="81" t="e">
        <f>N8-R8</f>
        <v>#REF!</v>
      </c>
    </row>
    <row r="9" spans="2:19" x14ac:dyDescent="0.2">
      <c r="B9" t="str">
        <f>[1]!'AABHM00,DISPLAY NAME,1'</f>
        <v xml:space="preserve">Mars 1st Mo     </v>
      </c>
      <c r="C9">
        <f>[1]!'AABHM00,PRIM ACT 1,1'</f>
        <v>17.32</v>
      </c>
      <c r="D9">
        <f>[1]!'AABHM00,SECOND ACTIVY 1,1'</f>
        <v>17.34</v>
      </c>
      <c r="E9">
        <f t="shared" si="0"/>
        <v>17.329999999999998</v>
      </c>
      <c r="F9" t="s">
        <v>116</v>
      </c>
      <c r="G9" t="str">
        <f>[1]!'AABHM00,PRC AREA,1'</f>
        <v>StJm</v>
      </c>
      <c r="H9" s="6" t="e">
        <f>E9-'Crude&amp;Products'!$C$8</f>
        <v>#VALUE!</v>
      </c>
      <c r="K9" t="str">
        <f>[1]!'POAES00,DISPLAY NAME,1'</f>
        <v xml:space="preserve">LS No2          </v>
      </c>
      <c r="L9">
        <f>[1]!'POAER00,PRIM ACT 1,1'</f>
        <v>60.5</v>
      </c>
      <c r="M9">
        <f>[1]!'POAER00,SECOND ACTIVY 1,1'</f>
        <v>60.75</v>
      </c>
      <c r="N9">
        <f>(L9+M9)/2</f>
        <v>60.625</v>
      </c>
      <c r="O9" t="str">
        <f>[1]!'POAER00,NRG SIZE,1'</f>
        <v xml:space="preserve">Pipe </v>
      </c>
      <c r="P9" t="str">
        <f>[1]!'POAER00,NRG UNITS,1'</f>
        <v>c/Gal</v>
      </c>
      <c r="Q9" t="s">
        <v>45</v>
      </c>
      <c r="R9" t="e">
        <f>R8</f>
        <v>#REF!</v>
      </c>
      <c r="S9" s="81" t="e">
        <f>N9-R9</f>
        <v>#REF!</v>
      </c>
    </row>
    <row r="10" spans="2:19" x14ac:dyDescent="0.2">
      <c r="B10" t="str">
        <f>[1]!'AABHK00,DISPLAY NAME,1'</f>
        <v xml:space="preserve">Poseidon 1st Mo </v>
      </c>
      <c r="C10">
        <f>[1]!'AABHK00,PRIM ACT 1,1'</f>
        <v>17.940000000000001</v>
      </c>
      <c r="D10">
        <f>[1]!'AABHK00,SECOND ACTIVY 1,1'</f>
        <v>17.97</v>
      </c>
      <c r="E10">
        <f t="shared" si="0"/>
        <v>17.954999999999998</v>
      </c>
      <c r="F10" t="s">
        <v>116</v>
      </c>
      <c r="G10" t="str">
        <f>[1]!'AABHK00,PRC AREA,1'</f>
        <v>StJm</v>
      </c>
      <c r="H10" s="6" t="e">
        <f>E10-'Crude&amp;Products'!$C$8</f>
        <v>#VALUE!</v>
      </c>
      <c r="K10" t="str">
        <f>[1]!'PJABO00,DISPLAY NAME,1'</f>
        <v xml:space="preserve">Jet54           </v>
      </c>
      <c r="L10">
        <f>[1]!'PJABO00,PRIM ACT 1,1'</f>
        <v>61</v>
      </c>
      <c r="M10">
        <f>[1]!'PJABO00,SECOND ACTIVY 1,1'</f>
        <v>61.25</v>
      </c>
      <c r="N10">
        <f>(L10+M10)/2</f>
        <v>61.125</v>
      </c>
      <c r="O10" t="str">
        <f>[1]!'PJABO00,NRG SIZE,1'</f>
        <v xml:space="preserve">Pipe </v>
      </c>
      <c r="P10" t="str">
        <f>[1]!'PJABO00,NRG UNITS,1'</f>
        <v>c/Gal</v>
      </c>
      <c r="Q10" t="s">
        <v>45</v>
      </c>
      <c r="R10" t="e">
        <f>R9</f>
        <v>#REF!</v>
      </c>
      <c r="S10" s="81" t="e">
        <f>N10-R10</f>
        <v>#REF!</v>
      </c>
    </row>
    <row r="11" spans="2:19" x14ac:dyDescent="0.2">
      <c r="B11" t="str">
        <f>[1]!'PCACK00,DISPLAY NAME,1'</f>
        <v xml:space="preserve">W Tex Sour      </v>
      </c>
      <c r="C11">
        <f>[1]!'PCACK00,PRIM ACT 1,1'</f>
        <v>19.329999999999998</v>
      </c>
      <c r="D11">
        <f>[1]!'PCACK00,SECOND ACTIVY 1,1'</f>
        <v>19.36</v>
      </c>
      <c r="E11">
        <f t="shared" si="0"/>
        <v>19.344999999999999</v>
      </c>
      <c r="F11" t="s">
        <v>115</v>
      </c>
      <c r="G11" t="str">
        <f>[1]!'PCACK00,PRC AREA,1'</f>
        <v xml:space="preserve">Mdl </v>
      </c>
      <c r="H11" s="6" t="e">
        <f>E11-'Crude&amp;Products'!$C$8</f>
        <v>#VALUE!</v>
      </c>
      <c r="S11" s="81"/>
    </row>
    <row r="12" spans="2:19" x14ac:dyDescent="0.2">
      <c r="S12" s="81"/>
    </row>
    <row r="13" spans="2:19" x14ac:dyDescent="0.2">
      <c r="K13" s="81" t="str">
        <f>[1]!'0#P-NYH=PLT,DISPLAY NAME,1'</f>
        <v xml:space="preserve">NY Products     </v>
      </c>
      <c r="L13" s="83" t="s">
        <v>106</v>
      </c>
      <c r="M13" s="83" t="s">
        <v>107</v>
      </c>
      <c r="N13" s="83" t="s">
        <v>108</v>
      </c>
      <c r="O13" s="83"/>
      <c r="P13" s="83"/>
      <c r="Q13" s="83"/>
      <c r="R13" s="83" t="s">
        <v>109</v>
      </c>
      <c r="S13" s="83" t="s">
        <v>110</v>
      </c>
    </row>
    <row r="14" spans="2:19" x14ac:dyDescent="0.2">
      <c r="B14" s="81" t="str">
        <f>[1]!'0#C-SA=PLT,DISPLAY NAME,1'</f>
        <v xml:space="preserve">LatAm Crudes    </v>
      </c>
      <c r="C14" t="s">
        <v>106</v>
      </c>
      <c r="D14" t="s">
        <v>107</v>
      </c>
      <c r="E14" t="s">
        <v>108</v>
      </c>
      <c r="F14" t="s">
        <v>114</v>
      </c>
      <c r="G14" t="s">
        <v>112</v>
      </c>
      <c r="H14" t="s">
        <v>113</v>
      </c>
      <c r="K14" t="str">
        <f>[1]!'PGADB00,DISPLAY NAME,1'</f>
        <v xml:space="preserve">Unl 87          </v>
      </c>
      <c r="L14">
        <f>[1]!'PGADB00,PRIM ACT 1,1'</f>
        <v>55.25</v>
      </c>
      <c r="M14">
        <f>[1]!'PGADB00,SECOND ACTIVY 1,1'</f>
        <v>55.5</v>
      </c>
      <c r="N14">
        <f t="shared" ref="N14:N19" si="1">(L14+M14)/2</f>
        <v>55.375</v>
      </c>
      <c r="O14" t="str">
        <f>[1]!'PGADB00,NRG SIZE,1'</f>
        <v>Barge</v>
      </c>
      <c r="P14" t="str">
        <f>[1]!'PGADB00,NRG UNITS,1'</f>
        <v>c/Gal</v>
      </c>
      <c r="Q14" t="s">
        <v>0</v>
      </c>
      <c r="R14" t="e">
        <f>R6</f>
        <v>#REF!</v>
      </c>
      <c r="S14" s="81" t="e">
        <f>N14-R14</f>
        <v>#REF!</v>
      </c>
    </row>
    <row r="15" spans="2:19" x14ac:dyDescent="0.2">
      <c r="B15" t="str">
        <f>[1]!'PCAGL00,DISPLAY NAME,1'</f>
        <v xml:space="preserve">Cusiana         </v>
      </c>
      <c r="C15">
        <f>[1]!'PCAGL00,PRIM ACT 1,1'</f>
        <v>21.17</v>
      </c>
      <c r="D15">
        <f>[1]!'PCAGL00,SECOND ACTIVY 1,1'</f>
        <v>21.26</v>
      </c>
      <c r="E15">
        <f>(C15+D15)/2</f>
        <v>21.215000000000003</v>
      </c>
      <c r="F15" t="s">
        <v>116</v>
      </c>
      <c r="G15" t="str">
        <f>[1]!'PCAGL00,PRC AREA,1'</f>
        <v>Colm</v>
      </c>
      <c r="H15" s="6" t="e">
        <f>E15-'Crude&amp;Products'!$C$8</f>
        <v>#VALUE!</v>
      </c>
      <c r="K15" t="str">
        <f>[1]!'PGAKB00,DISPLAY NAME,1'</f>
        <v xml:space="preserve">Unl 87 RFG      </v>
      </c>
      <c r="L15">
        <f>[1]!'PGAKB00,PRIM ACT 1,1'</f>
        <v>56.5</v>
      </c>
      <c r="M15">
        <f>[1]!'PGAKB00,SECOND ACTIVY 1,1'</f>
        <v>56.75</v>
      </c>
      <c r="N15">
        <f t="shared" si="1"/>
        <v>56.625</v>
      </c>
      <c r="O15" t="str">
        <f>[1]!'PGAKB00,NRG SIZE,1'</f>
        <v>Barge</v>
      </c>
      <c r="P15" t="str">
        <f>[1]!'PGAKB00,NRG UNITS,1'</f>
        <v>c/Gal</v>
      </c>
      <c r="Q15" t="s">
        <v>0</v>
      </c>
      <c r="R15" t="e">
        <f>R14</f>
        <v>#REF!</v>
      </c>
      <c r="S15" s="81" t="e">
        <f>N15-R15</f>
        <v>#REF!</v>
      </c>
    </row>
    <row r="16" spans="2:19" x14ac:dyDescent="0.2">
      <c r="B16" t="str">
        <f>[1]!'PCADE00,DISPLAY NAME,1'</f>
        <v xml:space="preserve">Oriente         </v>
      </c>
      <c r="C16">
        <f>[1]!'PCADE00,PRIM ACT 1,1'</f>
        <v>15.57</v>
      </c>
      <c r="D16">
        <f>[1]!'PCADE00,SECOND ACTIVY 1,1'</f>
        <v>15.66</v>
      </c>
      <c r="E16">
        <f>(C16+D16)/2</f>
        <v>15.615</v>
      </c>
      <c r="F16" t="s">
        <v>116</v>
      </c>
      <c r="G16" t="str">
        <f>[1]!'PCADE00,PRC AREA,1'</f>
        <v>Ecud</v>
      </c>
      <c r="H16" s="6" t="e">
        <f>E16-'Crude&amp;Products'!$C$8</f>
        <v>#VALUE!</v>
      </c>
    </row>
    <row r="17" spans="2:19" x14ac:dyDescent="0.2">
      <c r="K17" t="str">
        <f>[1]!'POAEG00,DISPLAY NAME,1'</f>
        <v xml:space="preserve">No2             </v>
      </c>
      <c r="L17">
        <f>[1]!'POAEG00,PRIM ACT 1,1'</f>
        <v>61.5</v>
      </c>
      <c r="M17">
        <f>[1]!'POAEG00,SECOND ACTIVY 1,1'</f>
        <v>61.75</v>
      </c>
      <c r="N17">
        <f t="shared" si="1"/>
        <v>61.625</v>
      </c>
      <c r="O17" t="str">
        <f>[1]!'POAEG00,NRG SIZE,1'</f>
        <v>Barge</v>
      </c>
      <c r="P17" t="str">
        <f>[1]!'POAEG00,NRG UNITS,1'</f>
        <v>c/Gal</v>
      </c>
      <c r="Q17" t="str">
        <f>Q8</f>
        <v>HO</v>
      </c>
      <c r="R17" t="e">
        <f>R8</f>
        <v>#REF!</v>
      </c>
      <c r="S17" s="81" t="e">
        <f>N17-R17</f>
        <v>#REF!</v>
      </c>
    </row>
    <row r="18" spans="2:19" x14ac:dyDescent="0.2">
      <c r="K18" t="str">
        <f>[1]!'POAEU00,DISPLAY NAME,1'</f>
        <v xml:space="preserve">LS No2          </v>
      </c>
      <c r="L18">
        <f>[1]!'POAEU00,PRIM ACT 1,1'</f>
        <v>62.5</v>
      </c>
      <c r="M18">
        <f>[1]!'POAEU00,SECOND ACTIVY 1,1'</f>
        <v>62.75</v>
      </c>
      <c r="N18">
        <f t="shared" si="1"/>
        <v>62.625</v>
      </c>
      <c r="O18" t="str">
        <f>[1]!'POAEU00,NRG SIZE,1'</f>
        <v>Barge</v>
      </c>
      <c r="P18" t="str">
        <f>[1]!'POAEU00,NRG UNITS,1'</f>
        <v>c/Gal</v>
      </c>
      <c r="Q18" t="str">
        <f>Q17</f>
        <v>HO</v>
      </c>
      <c r="R18" t="e">
        <f>R17</f>
        <v>#REF!</v>
      </c>
      <c r="S18" s="81" t="e">
        <f>N18-R18</f>
        <v>#REF!</v>
      </c>
    </row>
    <row r="19" spans="2:19" x14ac:dyDescent="0.2">
      <c r="B19" s="81" t="str">
        <f>[1]!'0#C-A=PLT,DISPLAY NAME,1'</f>
        <v xml:space="preserve">Asian Crudes    </v>
      </c>
      <c r="C19" t="s">
        <v>106</v>
      </c>
      <c r="D19" t="s">
        <v>107</v>
      </c>
      <c r="E19" t="s">
        <v>108</v>
      </c>
      <c r="F19" t="s">
        <v>114</v>
      </c>
      <c r="G19" t="s">
        <v>112</v>
      </c>
      <c r="H19" t="s">
        <v>113</v>
      </c>
      <c r="K19" t="str">
        <f>[1]!'PJAAW00,DISPLAY NAME,1'</f>
        <v xml:space="preserve">Jet Kero        </v>
      </c>
      <c r="L19">
        <f>[1]!'PJAAW00,PRIM ACT 1,1'</f>
        <v>62.5</v>
      </c>
      <c r="M19">
        <f>[1]!'PJAAW00,SECOND ACTIVY 1,1'</f>
        <v>63</v>
      </c>
      <c r="N19">
        <f t="shared" si="1"/>
        <v>62.75</v>
      </c>
      <c r="O19" t="str">
        <f>[1]!'PJAAW00,NRG SIZE,1'</f>
        <v>Barge</v>
      </c>
      <c r="P19" t="str">
        <f>[1]!'PJAAW00,NRG UNITS,1'</f>
        <v>c/Gal</v>
      </c>
      <c r="Q19" t="str">
        <f>Q18</f>
        <v>HO</v>
      </c>
      <c r="R19" t="e">
        <f>R18</f>
        <v>#REF!</v>
      </c>
      <c r="S19" s="81" t="e">
        <f>N19-R19</f>
        <v>#REF!</v>
      </c>
    </row>
    <row r="20" spans="2:19" x14ac:dyDescent="0.2">
      <c r="B20" t="str">
        <f>[1]!'PCABO00,DISPLAY NAME,1'</f>
        <v xml:space="preserve">Minas           </v>
      </c>
      <c r="C20">
        <f>[1]!'PCABO00,PRIM ACT 1,1'</f>
        <v>19.05</v>
      </c>
      <c r="D20">
        <f>[1]!'PCABO00,SECOND ACTIVY 1,1'</f>
        <v>19.149999999999999</v>
      </c>
      <c r="E20">
        <f>(C20+D20)/2</f>
        <v>19.100000000000001</v>
      </c>
      <c r="F20" t="s">
        <v>116</v>
      </c>
      <c r="G20" t="str">
        <f>[1]!'PCABO00,PRC AREA,1'</f>
        <v xml:space="preserve">Ind </v>
      </c>
      <c r="H20" s="6" t="e">
        <f>E20-'Crude&amp;Products'!$C$8</f>
        <v>#VALUE!</v>
      </c>
    </row>
    <row r="21" spans="2:19" x14ac:dyDescent="0.2">
      <c r="B21" t="str">
        <f>[1]!'PCACB00,DISPLAY NAME,1'</f>
        <v xml:space="preserve">Tapis Blend     </v>
      </c>
      <c r="C21">
        <f>[1]!'PCACB00,PRIM ACT 1,1'</f>
        <v>21.7</v>
      </c>
      <c r="D21">
        <f>[1]!'PCACB00,SECOND ACTIVY 1,1'</f>
        <v>21.9</v>
      </c>
      <c r="E21">
        <f>(C21+D21)/2</f>
        <v>21.799999999999997</v>
      </c>
      <c r="F21" t="s">
        <v>116</v>
      </c>
      <c r="G21" t="str">
        <f>[1]!'PCACB00,PRC AREA,1'</f>
        <v xml:space="preserve">Mal </v>
      </c>
      <c r="H21" s="6" t="e">
        <f>E21-'Crude&amp;Products'!$C$8</f>
        <v>#VALUE!</v>
      </c>
    </row>
    <row r="22" spans="2:19" x14ac:dyDescent="0.2">
      <c r="K22" s="81" t="str">
        <f>[1]!'0#P-CHI=PLT,DISPLAY NAME,1'</f>
        <v>Chicago Products</v>
      </c>
      <c r="L22" s="83" t="s">
        <v>106</v>
      </c>
      <c r="M22" s="83" t="s">
        <v>107</v>
      </c>
      <c r="N22" s="83" t="s">
        <v>108</v>
      </c>
      <c r="O22" s="83"/>
      <c r="P22" s="83"/>
      <c r="Q22" s="83"/>
      <c r="R22" s="83" t="s">
        <v>109</v>
      </c>
      <c r="S22" s="83" t="s">
        <v>110</v>
      </c>
    </row>
    <row r="23" spans="2:19" x14ac:dyDescent="0.2">
      <c r="K23" t="str">
        <f>[1]!'PGACR00,DISPLAY NAME,1'</f>
        <v xml:space="preserve">Unl 87          </v>
      </c>
      <c r="L23">
        <f>[1]!'PGACR00,PRIM ACT 1,1'</f>
        <v>55.75</v>
      </c>
      <c r="M23">
        <f>[1]!'PGACR00,SECOND ACTIVY 1,1'</f>
        <v>56</v>
      </c>
      <c r="N23">
        <f>(L23+M23)/2</f>
        <v>55.875</v>
      </c>
      <c r="O23" t="str">
        <f>[1]!'PGACR00,NRG SIZE,1'</f>
        <v xml:space="preserve">Pipe </v>
      </c>
      <c r="P23" t="str">
        <f>[1]!'PGACR00,NRG UNITS,1'</f>
        <v>c/Gal</v>
      </c>
      <c r="Q23" t="str">
        <f>Q14</f>
        <v>HU</v>
      </c>
      <c r="R23" t="e">
        <f>R14</f>
        <v>#REF!</v>
      </c>
      <c r="S23" s="81" t="e">
        <f>N23-R23</f>
        <v>#REF!</v>
      </c>
    </row>
    <row r="24" spans="2:19" x14ac:dyDescent="0.2">
      <c r="B24" s="81" t="str">
        <f>[1]!'0#C-I=PLT,DISPLAY NAME,1'</f>
        <v xml:space="preserve">Intn'l Crudes   </v>
      </c>
      <c r="C24" t="s">
        <v>106</v>
      </c>
      <c r="D24" t="s">
        <v>107</v>
      </c>
      <c r="E24" t="s">
        <v>108</v>
      </c>
      <c r="F24" t="s">
        <v>114</v>
      </c>
      <c r="G24" t="s">
        <v>112</v>
      </c>
      <c r="H24" t="s">
        <v>113</v>
      </c>
    </row>
    <row r="25" spans="2:19" x14ac:dyDescent="0.2">
      <c r="B25" t="str">
        <f>[1]!'AAEJH00,DISPLAY NAME,1'</f>
        <v xml:space="preserve">Basrah Light    </v>
      </c>
      <c r="C25">
        <f>[1]!'AAEJH00,PRIM ACT 1,1'</f>
        <v>17.29</v>
      </c>
      <c r="D25">
        <f>[1]!'AAEJH00,SECOND ACTIVY 1,1'</f>
        <v>17.39</v>
      </c>
      <c r="E25">
        <f t="shared" ref="E25:E34" si="2">(C25+D25)/2</f>
        <v>17.34</v>
      </c>
      <c r="F25" t="s">
        <v>118</v>
      </c>
      <c r="G25" t="str">
        <f>[1]!'AAEJH00,PRC AREA,1'</f>
        <v xml:space="preserve">USG </v>
      </c>
      <c r="H25" s="6" t="e">
        <f>E25-'Crude&amp;Products'!$C$8</f>
        <v>#VALUE!</v>
      </c>
      <c r="K25" t="str">
        <f>[1]!'POAEB00,DISPLAY NAME,1'</f>
        <v xml:space="preserve">No2             </v>
      </c>
      <c r="L25">
        <f>[1]!'POAEB00,PRIM ACT 1,1'</f>
        <v>70.25</v>
      </c>
      <c r="M25">
        <f>[1]!'POAEB00,SECOND ACTIVY 1,1'</f>
        <v>70.75</v>
      </c>
      <c r="N25">
        <f>(L25+M25)/2</f>
        <v>70.5</v>
      </c>
      <c r="O25" t="str">
        <f>[1]!'POAEB00,NRG SIZE,1'</f>
        <v xml:space="preserve">Pipe </v>
      </c>
      <c r="P25" t="str">
        <f>[1]!'POAEB00,NRG UNITS,1'</f>
        <v>c/Gal</v>
      </c>
      <c r="Q25" t="str">
        <f>Q17</f>
        <v>HO</v>
      </c>
      <c r="R25" t="e">
        <f>R17</f>
        <v>#REF!</v>
      </c>
      <c r="S25" s="81" t="e">
        <f>N25-R25</f>
        <v>#REF!</v>
      </c>
    </row>
    <row r="26" spans="2:19" x14ac:dyDescent="0.2">
      <c r="B26" t="str">
        <f>[1]!'PCAIC00,DISPLAY NAME,1'</f>
        <v xml:space="preserve">Bonny Lt        </v>
      </c>
      <c r="C26">
        <f>[1]!'BON-E,BID,1'</f>
        <v>19.68</v>
      </c>
      <c r="D26">
        <f>[1]!'BON-E,ASK,1'</f>
        <v>19.7</v>
      </c>
      <c r="E26">
        <f t="shared" si="2"/>
        <v>19.689999999999998</v>
      </c>
      <c r="F26" t="s">
        <v>116</v>
      </c>
      <c r="G26" t="str">
        <f>[1]!'PCAIC00,PRC AREA,1'</f>
        <v>Orig</v>
      </c>
      <c r="H26" s="6" t="e">
        <f>E26-'Crude&amp;Products'!$C$8</f>
        <v>#VALUE!</v>
      </c>
      <c r="K26" t="str">
        <f>[1]!'POAEP00,DISPLAY NAME,1'</f>
        <v xml:space="preserve">No2 LS          </v>
      </c>
      <c r="L26">
        <f>[1]!'POAEP00,PRIM ACT 1,1'</f>
        <v>70.25</v>
      </c>
      <c r="M26">
        <f>[1]!'POAEP00,SECOND ACTIVY 1,1'</f>
        <v>70.75</v>
      </c>
      <c r="N26">
        <f>(L26+M26)/2</f>
        <v>70.5</v>
      </c>
      <c r="O26" t="str">
        <f>[1]!'POAEB00,NRG SIZE,1'</f>
        <v xml:space="preserve">Pipe </v>
      </c>
      <c r="P26" t="str">
        <f>[1]!'POAEB00,NRG UNITS,1'</f>
        <v>c/Gal</v>
      </c>
      <c r="Q26" t="str">
        <f>Q25</f>
        <v>HO</v>
      </c>
      <c r="R26" t="e">
        <f>R18</f>
        <v>#REF!</v>
      </c>
      <c r="S26" s="81" t="e">
        <f>N26-R26</f>
        <v>#REF!</v>
      </c>
    </row>
    <row r="27" spans="2:19" x14ac:dyDescent="0.2">
      <c r="B27" t="str">
        <f>[1]!'AAEJB00,DISPLAY NAME,1'</f>
        <v xml:space="preserve">Brass River     </v>
      </c>
      <c r="C27">
        <f>[1]!'AAEJB00,PRIM ACT 1,1'</f>
        <v>20.329999999999998</v>
      </c>
      <c r="D27">
        <f>[1]!'AAEJB00,SECOND ACTIVY 1,1'</f>
        <v>20.420000000000002</v>
      </c>
      <c r="E27">
        <f t="shared" si="2"/>
        <v>20.375</v>
      </c>
      <c r="F27" t="s">
        <v>116</v>
      </c>
      <c r="G27" t="str">
        <f>[1]!'AAEJB00,PRC AREA,1'</f>
        <v xml:space="preserve">Nig </v>
      </c>
      <c r="H27" s="6" t="e">
        <f>E27-'Crude&amp;Products'!$C$8</f>
        <v>#VALUE!</v>
      </c>
      <c r="K27" t="str">
        <f>[1]!'PJAAF00,DISPLAY NAME,1'</f>
        <v xml:space="preserve">Jet Fuel        </v>
      </c>
      <c r="L27">
        <f>[1]!'PJAAF00,PRIM ACT 1,1'</f>
        <v>65.75</v>
      </c>
      <c r="M27">
        <f>[1]!'PJAAF00,SECOND ACTIVY 1,1'</f>
        <v>66.75</v>
      </c>
      <c r="N27">
        <f>(L27+M27)/2</f>
        <v>66.25</v>
      </c>
      <c r="O27" t="str">
        <f>[1]!'PJAAF00,NRG SIZE,1'</f>
        <v xml:space="preserve">Pipe </v>
      </c>
      <c r="P27" t="str">
        <f>[1]!'PJAAF00,NRG UNITS,1'</f>
        <v>c/Gal</v>
      </c>
      <c r="Q27" t="str">
        <f>Q26</f>
        <v>HO</v>
      </c>
      <c r="R27" t="e">
        <f>R19</f>
        <v>#REF!</v>
      </c>
      <c r="S27" s="81" t="e">
        <f>N27-R27</f>
        <v>#REF!</v>
      </c>
    </row>
    <row r="28" spans="2:19" x14ac:dyDescent="0.2">
      <c r="B28" t="str">
        <f>[1]!'PCAAT00,DISPLAY NAME,1'</f>
        <v xml:space="preserve">Dubai 1Mo       </v>
      </c>
      <c r="C28">
        <f>[1]!'PCAAT00,PRIM ACT 1,1'</f>
        <v>19.13</v>
      </c>
      <c r="D28">
        <f>[1]!'PCAAT00,SECOND ACTIVY 1,1'</f>
        <v>19.170000000000002</v>
      </c>
      <c r="E28">
        <f t="shared" si="2"/>
        <v>19.149999999999999</v>
      </c>
      <c r="F28" t="s">
        <v>116</v>
      </c>
      <c r="G28" t="str">
        <f>[1]!'PCAAT00,PRC AREA,1'</f>
        <v>Orig</v>
      </c>
      <c r="H28" s="6" t="e">
        <f>E28-'Crude&amp;Products'!$C$8</f>
        <v>#VALUE!</v>
      </c>
    </row>
    <row r="29" spans="2:19" x14ac:dyDescent="0.2">
      <c r="B29" t="str">
        <f>[1]!'PCAIU00,DISPLAY NAME,1'</f>
        <v>Dubai 1st M Asia</v>
      </c>
      <c r="C29">
        <f>[1]!'PCAIU00,PRIM ACT 1,1'</f>
        <v>19.36</v>
      </c>
      <c r="D29">
        <f>[1]!'PCAIU00,SECOND ACTIVY 1,1'</f>
        <v>19.399999999999999</v>
      </c>
      <c r="E29">
        <f t="shared" si="2"/>
        <v>19.38</v>
      </c>
      <c r="F29" t="s">
        <v>116</v>
      </c>
      <c r="G29" t="str">
        <f>[1]!'PCAIU00,PRC AREA,1'</f>
        <v>Asia</v>
      </c>
      <c r="H29" s="6" t="e">
        <f>E29-'Crude&amp;Products'!$C$8</f>
        <v>#VALUE!</v>
      </c>
    </row>
    <row r="30" spans="2:19" x14ac:dyDescent="0.2">
      <c r="B30" t="str">
        <f>[1]!'PCACZ00,DISPLAY NAME,1'</f>
        <v xml:space="preserve">Flotta          </v>
      </c>
      <c r="C30">
        <f>[1]!'PCACZ00,PRIM ACT 1,1'</f>
        <v>19.68</v>
      </c>
      <c r="D30">
        <f>[1]!'PCACZ00,SECOND ACTIVY 1,1'</f>
        <v>19.78</v>
      </c>
      <c r="E30">
        <f t="shared" si="2"/>
        <v>19.73</v>
      </c>
      <c r="F30" t="s">
        <v>116</v>
      </c>
      <c r="G30" t="str">
        <f>[1]!'PCACZ00,PRC AREA,1'</f>
        <v>Orig</v>
      </c>
      <c r="H30" s="6" t="e">
        <f>E30-'Crude&amp;Products'!$C$8</f>
        <v>#VALUE!</v>
      </c>
    </row>
    <row r="31" spans="2:19" x14ac:dyDescent="0.2">
      <c r="B31" t="str">
        <f>[1]!'PCADJ00,DISPLAY NAME,1'</f>
        <v xml:space="preserve">Forties         </v>
      </c>
      <c r="C31">
        <f>[1]!'PCADJ00,PRIM ACT 1,1'</f>
        <v>20.38</v>
      </c>
      <c r="D31">
        <f>[1]!'PCADJ00,SECOND ACTIVY 1,1'</f>
        <v>20.48</v>
      </c>
      <c r="E31">
        <f t="shared" si="2"/>
        <v>20.43</v>
      </c>
      <c r="F31" t="s">
        <v>116</v>
      </c>
      <c r="G31" t="str">
        <f>[1]!'PCADJ00,PRC AREA,1'</f>
        <v>Orig</v>
      </c>
      <c r="H31" s="6" t="e">
        <f>E31-'Crude&amp;Products'!$C$8</f>
        <v>#VALUE!</v>
      </c>
    </row>
    <row r="32" spans="2:19" x14ac:dyDescent="0.2">
      <c r="B32" t="str">
        <f>[1]!'PCABH00,DISPLAY NAME,1'</f>
        <v xml:space="preserve">Iranian Heavy   </v>
      </c>
      <c r="C32">
        <f>[1]!'PCABH00,PRIM ACT 1,1'</f>
        <v>18.420000000000002</v>
      </c>
      <c r="D32">
        <f>[1]!'PCABH00,SECOND ACTIVY 1,1'</f>
        <v>18.5</v>
      </c>
      <c r="E32">
        <f t="shared" si="2"/>
        <v>18.46</v>
      </c>
      <c r="F32" t="s">
        <v>116</v>
      </c>
      <c r="G32" t="str">
        <f>[1]!'PCABH00,PRC AREA,1'</f>
        <v>Sidi</v>
      </c>
      <c r="H32" s="6" t="e">
        <f>E32-'Crude&amp;Products'!$C$8</f>
        <v>#VALUE!</v>
      </c>
    </row>
    <row r="33" spans="2:8" x14ac:dyDescent="0.2">
      <c r="B33" t="str">
        <f>[1]!'PCABI00,DISPLAY NAME,1'</f>
        <v xml:space="preserve">Iranian Light   </v>
      </c>
      <c r="C33">
        <f>[1]!'PCABI00,PRIM ACT 1,1'</f>
        <v>18.97</v>
      </c>
      <c r="D33">
        <f>[1]!'PCABI00,SECOND ACTIVY 1,1'</f>
        <v>19.05</v>
      </c>
      <c r="E33">
        <f t="shared" si="2"/>
        <v>19.009999999999998</v>
      </c>
      <c r="F33" t="s">
        <v>116</v>
      </c>
      <c r="G33" t="str">
        <f>[1]!'PCABI00,PRC AREA,1'</f>
        <v>Sidi</v>
      </c>
      <c r="H33" s="6" t="e">
        <f>E33-'Crude&amp;Products'!$C$8</f>
        <v>#VALUE!</v>
      </c>
    </row>
    <row r="34" spans="2:8" x14ac:dyDescent="0.2">
      <c r="B34" t="str">
        <f>[1]!'AAEJD00,DISPLAY NAME,1'</f>
        <v xml:space="preserve">Kirkuk Ceyhan   </v>
      </c>
      <c r="C34">
        <f>[1]!'AAEJD00,PRIM ACT 1,1'</f>
        <v>18.91</v>
      </c>
      <c r="D34">
        <f>[1]!'AAEJD00,SECOND ACTIVY 1,1'</f>
        <v>19</v>
      </c>
      <c r="E34">
        <f t="shared" si="2"/>
        <v>18.954999999999998</v>
      </c>
      <c r="F34" t="s">
        <v>116</v>
      </c>
      <c r="G34" t="str">
        <f>[1]!'AAEJD00,PRC AREA,1'</f>
        <v xml:space="preserve">Med </v>
      </c>
      <c r="H34" s="6" t="e">
        <f>E34-'Crude&amp;Products'!$C$8</f>
        <v>#VALUE!</v>
      </c>
    </row>
    <row r="35" spans="2:8" x14ac:dyDescent="0.2">
      <c r="B35" s="81" t="str">
        <f>[1]!'AAEUQ00,DISPLAY NAME,1'</f>
        <v xml:space="preserve">OPEC Basket     </v>
      </c>
      <c r="C35" s="81">
        <f>[1]!'AAEUQ00,PRIM ACT 1,1'</f>
        <v>23.75</v>
      </c>
      <c r="D35" s="81"/>
      <c r="E35" s="81">
        <f>C35</f>
        <v>23.75</v>
      </c>
      <c r="G35" s="81"/>
      <c r="H35" s="6" t="e">
        <f>E35-'Crude&amp;Products'!$C$8</f>
        <v>#VALUE!</v>
      </c>
    </row>
    <row r="36" spans="2:8" x14ac:dyDescent="0.2">
      <c r="B36" t="str">
        <f>[1]!'PCAJA00,DISPLAY NAME,1'</f>
        <v xml:space="preserve">Oman 1st M Asia </v>
      </c>
      <c r="C36">
        <f>[1]!'PCAJA00,PRIM ACT 1,1'</f>
        <v>19.16</v>
      </c>
      <c r="D36">
        <f>[1]!'PCAJA00,SECOND ACTIVY 1,1'</f>
        <v>19.2</v>
      </c>
      <c r="E36">
        <f>(C36+D36)/2</f>
        <v>19.18</v>
      </c>
      <c r="F36" t="s">
        <v>116</v>
      </c>
      <c r="G36" t="str">
        <f>[1]!'PCAJA00,PRC AREA,1'</f>
        <v>Asia</v>
      </c>
      <c r="H36" s="6" t="e">
        <f>E36-'Crude&amp;Products'!$C$8</f>
        <v>#VALUE!</v>
      </c>
    </row>
    <row r="37" spans="2:8" x14ac:dyDescent="0.2">
      <c r="B37" t="str">
        <f>[1]!'PCACA00,DISPLAY NAME,1'</f>
        <v xml:space="preserve">Suez Blend      </v>
      </c>
      <c r="C37">
        <f>[1]!'PCACA00,PRIM ACT 1,1'</f>
        <v>17.600000000000001</v>
      </c>
      <c r="D37">
        <f>[1]!'PCACA00,SECOND ACTIVY 1,1'</f>
        <v>17.68</v>
      </c>
      <c r="E37">
        <f>(C37+D37)/2</f>
        <v>17.64</v>
      </c>
      <c r="F37" t="s">
        <v>116</v>
      </c>
      <c r="G37" t="str">
        <f>[1]!'PCACA00,PRC AREA,1'</f>
        <v>Orig</v>
      </c>
      <c r="H37" s="6" t="e">
        <f>E37-'Crude&amp;Products'!$C$8</f>
        <v>#VALUE!</v>
      </c>
    </row>
    <row r="38" spans="2:8" x14ac:dyDescent="0.2">
      <c r="B38" t="str">
        <f>[1]!'PCACE00,DISPLAY NAME,1'</f>
        <v xml:space="preserve">Urals           </v>
      </c>
      <c r="C38">
        <f>[1]!'PCACE00,PRIM ACT 1,1'</f>
        <v>19.37</v>
      </c>
      <c r="D38">
        <f>[1]!'PCACE00,SECOND ACTIVY 1,1'</f>
        <v>19.45</v>
      </c>
      <c r="E38">
        <f>(C38+D38)/2</f>
        <v>19.41</v>
      </c>
      <c r="F38" t="s">
        <v>116</v>
      </c>
      <c r="G38" t="str">
        <f>[1]!'PCACE00,PRC AREA,1'</f>
        <v xml:space="preserve">Med </v>
      </c>
      <c r="H38" s="6" t="e">
        <f>E38-'Crude&amp;Products'!$C$8</f>
        <v>#VALUE!</v>
      </c>
    </row>
    <row r="40" spans="2:8" x14ac:dyDescent="0.2">
      <c r="B40" t="s">
        <v>201</v>
      </c>
      <c r="C40">
        <f>[1]!'BRT-,BID,1'</f>
        <v>19.579999999999998</v>
      </c>
      <c r="D40">
        <f>[1]!'BRT-,ASK,1'</f>
        <v>19.600000000000001</v>
      </c>
      <c r="E40">
        <f>(C40+D40)/2</f>
        <v>19.59</v>
      </c>
      <c r="H40" s="6" t="e">
        <f>E40-'Crude&amp;Products'!$C$8</f>
        <v>#VALUE!</v>
      </c>
    </row>
  </sheetData>
  <mergeCells count="2">
    <mergeCell ref="K2:S2"/>
    <mergeCell ref="B2:I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33"/>
  <sheetViews>
    <sheetView tabSelected="1" zoomScale="75" workbookViewId="0">
      <selection activeCell="D27" sqref="D27"/>
    </sheetView>
  </sheetViews>
  <sheetFormatPr defaultRowHeight="12.75" x14ac:dyDescent="0.2"/>
  <cols>
    <col min="1" max="3" width="9.140625" style="92"/>
    <col min="4" max="5" width="10.7109375" style="92" customWidth="1"/>
    <col min="6" max="16384" width="9.140625" style="92"/>
  </cols>
  <sheetData>
    <row r="1" spans="1:10" x14ac:dyDescent="0.2">
      <c r="B1" s="93"/>
      <c r="C1" s="93"/>
      <c r="D1" s="93"/>
      <c r="E1" s="93"/>
      <c r="F1" s="93"/>
    </row>
    <row r="2" spans="1:10" x14ac:dyDescent="0.2">
      <c r="B2" s="94"/>
      <c r="C2" s="94"/>
      <c r="D2" s="94"/>
      <c r="E2" s="94"/>
      <c r="F2" s="94"/>
    </row>
    <row r="3" spans="1:10" x14ac:dyDescent="0.2">
      <c r="A3" s="95"/>
      <c r="B3" s="96"/>
      <c r="C3" s="96"/>
      <c r="D3" s="96" t="s">
        <v>52</v>
      </c>
      <c r="E3" s="96"/>
      <c r="F3" s="96" t="s">
        <v>128</v>
      </c>
      <c r="G3" s="92" t="s">
        <v>127</v>
      </c>
    </row>
    <row r="4" spans="1:10" x14ac:dyDescent="0.2">
      <c r="A4" s="95"/>
      <c r="B4" s="96"/>
      <c r="C4" s="96"/>
      <c r="D4" s="96" t="s">
        <v>122</v>
      </c>
      <c r="E4" s="96" t="s">
        <v>125</v>
      </c>
      <c r="F4" s="96" t="s">
        <v>123</v>
      </c>
      <c r="G4" s="92" t="s">
        <v>124</v>
      </c>
      <c r="H4" s="96" t="s">
        <v>126</v>
      </c>
      <c r="I4" s="96" t="s">
        <v>129</v>
      </c>
      <c r="J4" s="96" t="s">
        <v>130</v>
      </c>
    </row>
    <row r="5" spans="1:10" x14ac:dyDescent="0.2">
      <c r="A5" s="95"/>
      <c r="B5" s="96"/>
      <c r="C5" s="29"/>
      <c r="D5" s="97"/>
      <c r="E5" s="97"/>
      <c r="F5" s="96"/>
    </row>
    <row r="6" spans="1:10" x14ac:dyDescent="0.2">
      <c r="A6" s="95"/>
      <c r="B6" s="96"/>
      <c r="C6" s="29">
        <v>37226</v>
      </c>
      <c r="D6" s="97">
        <f>[1]!'NGX1,PRIM ACT 1,1'</f>
        <v>3.202</v>
      </c>
      <c r="E6" s="97"/>
      <c r="F6" s="96"/>
    </row>
    <row r="7" spans="1:10" x14ac:dyDescent="0.2">
      <c r="A7" s="95"/>
      <c r="B7" s="96"/>
      <c r="C7" s="29">
        <v>37257</v>
      </c>
      <c r="D7" s="97">
        <f>[1]!'NGZ1,PRIM ACT 1,1'</f>
        <v>3.18</v>
      </c>
      <c r="E7" s="97"/>
      <c r="F7" s="96"/>
    </row>
    <row r="8" spans="1:10" x14ac:dyDescent="0.2">
      <c r="A8" s="95"/>
      <c r="B8" s="96"/>
      <c r="C8" s="29">
        <v>37288</v>
      </c>
      <c r="D8" s="97">
        <f>[1]!'NGF2,PRIM ACT 1,1'</f>
        <v>3.33</v>
      </c>
      <c r="E8" s="97"/>
      <c r="F8" s="96"/>
    </row>
    <row r="9" spans="1:10" x14ac:dyDescent="0.2">
      <c r="A9" s="95"/>
      <c r="B9" s="96"/>
      <c r="C9" s="29">
        <v>37316</v>
      </c>
      <c r="D9" s="97">
        <f>[1]!'NGG2,PRIM ACT 1,1'</f>
        <v>3.3250000000000002</v>
      </c>
      <c r="E9" s="97"/>
      <c r="F9" s="96"/>
    </row>
    <row r="10" spans="1:10" x14ac:dyDescent="0.2">
      <c r="A10" s="95"/>
      <c r="B10" s="96"/>
      <c r="C10" s="29">
        <v>37347</v>
      </c>
      <c r="D10" s="97">
        <f>[1]!'NGH2,PRIM ACT 1,1'</f>
        <v>3.27</v>
      </c>
      <c r="E10" s="97"/>
      <c r="F10" s="96"/>
    </row>
    <row r="11" spans="1:10" x14ac:dyDescent="0.2">
      <c r="A11" s="95"/>
      <c r="B11" s="96"/>
      <c r="C11" s="29">
        <v>37377</v>
      </c>
      <c r="D11" s="97">
        <f>[1]!'NGJ2,PRIM ACT 1,1'</f>
        <v>3.18</v>
      </c>
      <c r="E11" s="97"/>
      <c r="F11" s="96"/>
    </row>
    <row r="12" spans="1:10" x14ac:dyDescent="0.2">
      <c r="A12" s="95"/>
      <c r="B12" s="96"/>
      <c r="C12" s="29">
        <v>37408</v>
      </c>
      <c r="D12" s="97">
        <f>[1]!'NGK2,PRIM ACT 1,1'</f>
        <v>3.2050000000000001</v>
      </c>
      <c r="E12" s="97"/>
      <c r="F12" s="96"/>
    </row>
    <row r="13" spans="1:10" x14ac:dyDescent="0.2">
      <c r="A13" s="95"/>
      <c r="B13" s="96"/>
      <c r="C13" s="29">
        <v>37438</v>
      </c>
      <c r="D13" s="97">
        <f>[1]!'NGM2,PRIM ACT 1,1'</f>
        <v>3.24</v>
      </c>
      <c r="E13" s="97"/>
      <c r="F13" s="96"/>
    </row>
    <row r="14" spans="1:10" x14ac:dyDescent="0.2">
      <c r="A14" s="95"/>
      <c r="B14" s="96"/>
      <c r="C14" s="29">
        <v>37469</v>
      </c>
      <c r="D14" s="97">
        <f>[1]!'NGN2,PRIM ACT 1,1'</f>
        <v>3.2850000000000001</v>
      </c>
      <c r="E14" s="97"/>
      <c r="F14" s="96"/>
    </row>
    <row r="15" spans="1:10" x14ac:dyDescent="0.2">
      <c r="A15" s="95"/>
      <c r="B15" s="96"/>
      <c r="C15" s="29">
        <v>37500</v>
      </c>
      <c r="D15" s="97">
        <f>[1]!'NGQ2,PRIM ACT 1,1'</f>
        <v>3.3250000000000002</v>
      </c>
      <c r="E15" s="97"/>
      <c r="F15" s="96"/>
    </row>
    <row r="16" spans="1:10" x14ac:dyDescent="0.2">
      <c r="A16" s="95"/>
      <c r="B16" s="96"/>
      <c r="C16" s="29">
        <v>37530</v>
      </c>
      <c r="D16" s="97">
        <f>[1]!'NGU2,PRIM ACT 1,1'</f>
        <v>3.3250000000000002</v>
      </c>
      <c r="E16" s="97"/>
      <c r="F16" s="96"/>
    </row>
    <row r="17" spans="1:6" x14ac:dyDescent="0.2">
      <c r="A17" s="95"/>
      <c r="B17" s="96"/>
      <c r="C17" s="29">
        <v>37561</v>
      </c>
      <c r="D17" s="97">
        <f>[1]!'NGV2,PRIM ACT 1,1'</f>
        <v>3.355</v>
      </c>
      <c r="E17" s="97"/>
      <c r="F17" s="96"/>
    </row>
    <row r="18" spans="1:6" x14ac:dyDescent="0.2">
      <c r="A18" s="95"/>
      <c r="B18" s="96"/>
      <c r="C18" s="29">
        <v>37591</v>
      </c>
      <c r="D18" s="97">
        <f>[1]!'NGX2,PRIM ACT 1,1'</f>
        <v>3.5249999999999999</v>
      </c>
      <c r="E18" s="97"/>
      <c r="F18" s="96"/>
    </row>
    <row r="19" spans="1:6" x14ac:dyDescent="0.2">
      <c r="A19" s="95"/>
      <c r="B19" s="96"/>
      <c r="C19" s="29">
        <v>37622</v>
      </c>
      <c r="D19" s="97">
        <f>[1]!'NGZ2,PRIM ACT 1,1'</f>
        <v>3.7250000000000001</v>
      </c>
      <c r="E19" s="97"/>
      <c r="F19" s="96"/>
    </row>
    <row r="20" spans="1:6" x14ac:dyDescent="0.2">
      <c r="A20" s="95"/>
      <c r="B20" s="96"/>
      <c r="C20" s="29">
        <v>37653</v>
      </c>
      <c r="D20" s="97">
        <f>[1]!'NGF3,PRIM ACT 1,1'</f>
        <v>3.8149999999999999</v>
      </c>
      <c r="E20" s="97"/>
      <c r="F20" s="96"/>
    </row>
    <row r="21" spans="1:6" x14ac:dyDescent="0.2">
      <c r="A21" s="95"/>
      <c r="B21" s="96"/>
      <c r="C21" s="29">
        <v>37681</v>
      </c>
      <c r="D21" s="97">
        <f>[1]!'NGG3,PRIM ACT 1,1'</f>
        <v>3.73</v>
      </c>
      <c r="E21" s="97"/>
      <c r="F21" s="96"/>
    </row>
    <row r="22" spans="1:6" x14ac:dyDescent="0.2">
      <c r="A22" s="95"/>
      <c r="B22" s="96"/>
      <c r="C22" s="29">
        <v>37712</v>
      </c>
      <c r="D22" s="97">
        <f>[1]!'NGH3,PRIM ACT 1,1'</f>
        <v>3.6349999999999998</v>
      </c>
      <c r="E22" s="97"/>
      <c r="F22" s="96"/>
    </row>
    <row r="23" spans="1:6" x14ac:dyDescent="0.2">
      <c r="A23" s="95"/>
      <c r="B23" s="96"/>
      <c r="C23" s="29">
        <v>37742</v>
      </c>
      <c r="D23" s="97">
        <f>[1]!'NGJ3,PRIM ACT 1,1'</f>
        <v>3.51</v>
      </c>
      <c r="E23" s="97"/>
      <c r="F23" s="96"/>
    </row>
    <row r="24" spans="1:6" x14ac:dyDescent="0.2">
      <c r="A24" s="95"/>
      <c r="B24" s="96"/>
      <c r="C24" s="29">
        <v>37773</v>
      </c>
      <c r="D24" s="97">
        <f>[1]!'NGK3,PRIM ACT 1,1'</f>
        <v>3.51</v>
      </c>
      <c r="E24" s="97"/>
    </row>
    <row r="25" spans="1:6" x14ac:dyDescent="0.2">
      <c r="A25" s="95"/>
      <c r="C25" s="29">
        <v>37803</v>
      </c>
      <c r="D25" s="97">
        <f>[1]!'NGN3,PRIM ACT 1,1'</f>
        <v>3.585</v>
      </c>
      <c r="E25" s="97"/>
    </row>
    <row r="26" spans="1:6" x14ac:dyDescent="0.2">
      <c r="A26" s="95"/>
    </row>
    <row r="27" spans="1:6" x14ac:dyDescent="0.2">
      <c r="A27" s="95"/>
    </row>
    <row r="28" spans="1:6" x14ac:dyDescent="0.2">
      <c r="A28" s="95"/>
    </row>
    <row r="29" spans="1:6" x14ac:dyDescent="0.2">
      <c r="A29" s="95"/>
    </row>
    <row r="30" spans="1:6" x14ac:dyDescent="0.2">
      <c r="A30" s="95"/>
    </row>
    <row r="31" spans="1:6" x14ac:dyDescent="0.2">
      <c r="A31" s="95"/>
    </row>
    <row r="32" spans="1:6" x14ac:dyDescent="0.2">
      <c r="A32" s="95"/>
    </row>
    <row r="33" spans="1:1" x14ac:dyDescent="0.2">
      <c r="A33" s="9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G82"/>
  <sheetViews>
    <sheetView zoomScale="75" zoomScaleNormal="70" workbookViewId="0">
      <selection activeCell="C12" sqref="C12"/>
    </sheetView>
  </sheetViews>
  <sheetFormatPr defaultRowHeight="12.75" x14ac:dyDescent="0.2"/>
  <cols>
    <col min="2" max="2" width="16.28515625" customWidth="1"/>
    <col min="3" max="3" width="15.28515625" customWidth="1"/>
    <col min="4" max="4" width="14.140625" customWidth="1"/>
    <col min="5" max="5" width="13.7109375" customWidth="1"/>
    <col min="6" max="6" width="17.28515625" customWidth="1"/>
    <col min="7" max="7" width="13" customWidth="1"/>
    <col min="8" max="8" width="19" bestFit="1" customWidth="1"/>
    <col min="9" max="9" width="15" customWidth="1"/>
    <col min="10" max="10" width="14.5703125" customWidth="1"/>
    <col min="11" max="11" width="15.28515625" customWidth="1"/>
    <col min="12" max="12" width="15.42578125" customWidth="1"/>
    <col min="13" max="13" width="14.7109375" customWidth="1"/>
    <col min="14" max="15" width="13.42578125" bestFit="1" customWidth="1"/>
    <col min="16" max="16" width="13.7109375" customWidth="1"/>
    <col min="17" max="17" width="12.5703125" customWidth="1"/>
    <col min="18" max="18" width="15.28515625" bestFit="1" customWidth="1"/>
    <col min="19" max="19" width="11.85546875" customWidth="1"/>
    <col min="20" max="20" width="12" customWidth="1"/>
    <col min="21" max="21" width="11.7109375" customWidth="1"/>
    <col min="22" max="22" width="11.5703125" customWidth="1"/>
    <col min="23" max="23" width="11.7109375" bestFit="1" customWidth="1"/>
    <col min="24" max="24" width="9.28515625" bestFit="1" customWidth="1"/>
    <col min="25" max="25" width="11.7109375" bestFit="1" customWidth="1"/>
    <col min="26" max="26" width="12.140625" bestFit="1" customWidth="1"/>
    <col min="27" max="27" width="11.7109375" bestFit="1" customWidth="1"/>
    <col min="28" max="28" width="12.140625" bestFit="1" customWidth="1"/>
    <col min="29" max="29" width="3" customWidth="1"/>
  </cols>
  <sheetData>
    <row r="1" spans="1:30" ht="18" x14ac:dyDescent="0.25">
      <c r="A1" s="2"/>
      <c r="B1" s="16" t="s">
        <v>1</v>
      </c>
      <c r="C1" s="2"/>
      <c r="D1" s="2"/>
      <c r="E1" s="12">
        <v>100</v>
      </c>
      <c r="F1" s="12">
        <v>100</v>
      </c>
      <c r="G1" s="12">
        <v>100</v>
      </c>
      <c r="H1" s="9">
        <v>100</v>
      </c>
      <c r="I1" s="2"/>
      <c r="J1" s="2"/>
      <c r="L1" s="20">
        <v>100</v>
      </c>
      <c r="M1" s="2"/>
      <c r="N1" s="90"/>
      <c r="P1" s="17"/>
      <c r="Q1" s="2"/>
      <c r="R1" s="2"/>
      <c r="T1" s="2"/>
      <c r="U1" s="2"/>
      <c r="V1" s="2"/>
      <c r="X1" s="2"/>
      <c r="Y1" s="2"/>
      <c r="Z1" s="2"/>
      <c r="AA1" s="2"/>
    </row>
    <row r="2" spans="1:30" ht="13.5" thickBot="1" x14ac:dyDescent="0.25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30" ht="26.25" x14ac:dyDescent="0.4">
      <c r="A3" s="2"/>
      <c r="B3" s="136" t="s">
        <v>105</v>
      </c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43"/>
      <c r="P3" s="25"/>
      <c r="Q3" s="25"/>
      <c r="R3" s="25"/>
      <c r="S3" s="25"/>
      <c r="T3" s="25"/>
      <c r="U3" s="2"/>
      <c r="V3" s="2"/>
      <c r="W3" s="2"/>
      <c r="X3" s="2"/>
      <c r="Y3" s="2"/>
      <c r="Z3" s="2"/>
      <c r="AA3" s="2"/>
      <c r="AB3" s="2"/>
    </row>
    <row r="4" spans="1:30" x14ac:dyDescent="0.2">
      <c r="A4" s="2"/>
      <c r="B4" s="26" t="s">
        <v>5</v>
      </c>
      <c r="C4" s="2"/>
      <c r="D4" s="38">
        <f ca="1">TODAY()</f>
        <v>37195</v>
      </c>
      <c r="E4" s="2"/>
      <c r="F4" s="2"/>
      <c r="G4" s="2"/>
      <c r="H4" s="2"/>
      <c r="I4" s="2"/>
      <c r="J4" s="2"/>
      <c r="K4" s="2"/>
      <c r="L4" s="2"/>
      <c r="M4" s="2"/>
      <c r="N4" s="2"/>
      <c r="O4" s="27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30" x14ac:dyDescent="0.2">
      <c r="A5" s="2"/>
      <c r="B5" s="2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7"/>
      <c r="P5" s="2"/>
      <c r="Q5" s="2"/>
      <c r="R5" s="2"/>
      <c r="S5" s="18"/>
      <c r="T5" s="2"/>
      <c r="U5" s="2"/>
      <c r="V5" s="18"/>
      <c r="W5" s="2"/>
      <c r="X5" s="19"/>
      <c r="Y5" s="2"/>
      <c r="Z5" s="2"/>
      <c r="AA5" s="2"/>
      <c r="AB5" s="2"/>
    </row>
    <row r="6" spans="1:30" ht="15" x14ac:dyDescent="0.25">
      <c r="A6" s="2"/>
      <c r="B6" s="75"/>
      <c r="C6" s="140" t="s">
        <v>52</v>
      </c>
      <c r="D6" s="140"/>
      <c r="E6" s="140"/>
      <c r="F6" s="140"/>
      <c r="G6" s="140"/>
      <c r="H6" s="141"/>
      <c r="I6" s="2"/>
      <c r="J6" s="52"/>
      <c r="K6" s="138" t="s">
        <v>59</v>
      </c>
      <c r="L6" s="138"/>
      <c r="M6" s="138"/>
      <c r="N6" s="138"/>
      <c r="O6" s="144"/>
      <c r="P6" s="2"/>
      <c r="Q6" s="2"/>
      <c r="R6" s="2"/>
      <c r="S6" s="2"/>
      <c r="T6" s="2"/>
      <c r="W6" s="2"/>
      <c r="AA6" s="2"/>
      <c r="AB6" s="2"/>
    </row>
    <row r="7" spans="1:30" x14ac:dyDescent="0.2">
      <c r="A7" s="2"/>
      <c r="B7" s="28"/>
      <c r="C7" s="3" t="s">
        <v>51</v>
      </c>
      <c r="D7" s="3" t="s">
        <v>58</v>
      </c>
      <c r="E7" s="3" t="s">
        <v>0</v>
      </c>
      <c r="F7" s="3" t="s">
        <v>45</v>
      </c>
      <c r="G7" s="3" t="s">
        <v>50</v>
      </c>
      <c r="H7" s="44" t="s">
        <v>53</v>
      </c>
      <c r="I7" s="2"/>
      <c r="J7" s="53"/>
      <c r="K7" s="3" t="s">
        <v>43</v>
      </c>
      <c r="L7" s="3" t="s">
        <v>44</v>
      </c>
      <c r="M7" s="3" t="s">
        <v>42</v>
      </c>
      <c r="N7" s="3" t="s">
        <v>40</v>
      </c>
      <c r="O7" s="39" t="s">
        <v>41</v>
      </c>
      <c r="P7" s="2"/>
      <c r="Q7" s="2"/>
      <c r="R7" s="2"/>
      <c r="S7" s="2"/>
      <c r="T7" s="2"/>
      <c r="W7" s="2"/>
      <c r="AA7" s="2"/>
      <c r="AB7" s="7"/>
      <c r="AC7" s="1"/>
      <c r="AD7" s="1"/>
    </row>
    <row r="8" spans="1:30" x14ac:dyDescent="0.2">
      <c r="A8" s="2"/>
      <c r="B8" s="29">
        <v>37165</v>
      </c>
      <c r="C8" s="11">
        <v>26.78</v>
      </c>
      <c r="D8" s="11"/>
      <c r="E8" s="12">
        <v>75.599999999999994</v>
      </c>
      <c r="F8" s="12">
        <v>72.62</v>
      </c>
      <c r="G8" s="12">
        <v>42.5</v>
      </c>
      <c r="H8" s="46">
        <v>35</v>
      </c>
      <c r="I8" s="2"/>
      <c r="J8" s="45">
        <v>37165</v>
      </c>
      <c r="K8" s="20">
        <v>71.900000000000006</v>
      </c>
      <c r="L8" s="20">
        <v>69.909523809523805</v>
      </c>
      <c r="M8" s="20">
        <v>72.009523809523813</v>
      </c>
      <c r="N8" s="21">
        <v>20.149999999999999</v>
      </c>
      <c r="O8" s="40">
        <v>18.95</v>
      </c>
      <c r="P8" s="2"/>
      <c r="Q8" s="2"/>
      <c r="R8" s="18"/>
      <c r="S8" s="2"/>
      <c r="T8" s="18"/>
      <c r="W8" s="2"/>
      <c r="AA8" s="2"/>
      <c r="AB8" s="7"/>
      <c r="AC8" s="1"/>
      <c r="AD8" s="1"/>
    </row>
    <row r="9" spans="1:30" x14ac:dyDescent="0.2">
      <c r="A9" s="2"/>
      <c r="B9" s="29">
        <v>37196</v>
      </c>
      <c r="C9" s="11">
        <v>27.18</v>
      </c>
      <c r="D9" s="11">
        <v>26.23</v>
      </c>
      <c r="E9" s="12">
        <v>74.150000000000006</v>
      </c>
      <c r="F9" s="12">
        <v>74.069999999999993</v>
      </c>
      <c r="G9" s="12">
        <v>43</v>
      </c>
      <c r="H9" s="46">
        <v>35.5</v>
      </c>
      <c r="I9" s="2"/>
      <c r="J9" s="45">
        <v>37196</v>
      </c>
      <c r="K9" s="20">
        <v>73.509523809523813</v>
      </c>
      <c r="L9" s="20">
        <v>69.909523809523805</v>
      </c>
      <c r="M9" s="20">
        <v>73.009523809523813</v>
      </c>
      <c r="N9" s="21">
        <v>20.399999999999999</v>
      </c>
      <c r="O9" s="40">
        <v>18.8</v>
      </c>
      <c r="P9" s="2"/>
      <c r="Q9" s="2"/>
      <c r="R9" s="18"/>
      <c r="S9" s="2"/>
      <c r="T9" s="18"/>
      <c r="W9" s="2"/>
      <c r="AA9" s="2"/>
      <c r="AB9" s="7"/>
      <c r="AC9" s="1"/>
      <c r="AD9" s="1"/>
    </row>
    <row r="10" spans="1:30" x14ac:dyDescent="0.2">
      <c r="A10" s="2"/>
      <c r="B10" s="29">
        <v>37226</v>
      </c>
      <c r="C10" s="11">
        <v>27.33</v>
      </c>
      <c r="D10" s="11">
        <v>26.18</v>
      </c>
      <c r="E10" s="12">
        <v>73.52</v>
      </c>
      <c r="F10" s="12">
        <v>75.069999999999993</v>
      </c>
      <c r="G10" s="12">
        <v>43.25</v>
      </c>
      <c r="H10" s="46">
        <v>35.5</v>
      </c>
      <c r="I10" s="2"/>
      <c r="J10" s="45">
        <v>37226</v>
      </c>
      <c r="K10" s="20">
        <v>74.509523809523813</v>
      </c>
      <c r="L10" s="20">
        <v>69.680952380952391</v>
      </c>
      <c r="M10" s="20">
        <v>73.859523809523807</v>
      </c>
      <c r="N10" s="21">
        <v>20.65</v>
      </c>
      <c r="O10" s="40">
        <v>18.649999999999999</v>
      </c>
      <c r="P10" s="2"/>
      <c r="Q10" s="2"/>
      <c r="R10" s="18"/>
      <c r="S10" s="2"/>
      <c r="T10" s="18"/>
      <c r="W10" s="2"/>
      <c r="AA10" s="2"/>
      <c r="AB10" s="7"/>
      <c r="AC10" s="1"/>
      <c r="AD10" s="1"/>
    </row>
    <row r="11" spans="1:30" x14ac:dyDescent="0.2">
      <c r="A11" s="2"/>
      <c r="B11" s="29">
        <v>37257</v>
      </c>
      <c r="C11" s="11">
        <v>27.13</v>
      </c>
      <c r="D11" s="11">
        <v>26.17</v>
      </c>
      <c r="E11" s="12">
        <v>73.12</v>
      </c>
      <c r="F11" s="12">
        <v>75.819999999999993</v>
      </c>
      <c r="G11" s="12">
        <v>44</v>
      </c>
      <c r="H11" s="46">
        <v>36.65</v>
      </c>
      <c r="I11" s="2"/>
      <c r="J11" s="45">
        <v>37257</v>
      </c>
      <c r="K11" s="20">
        <v>75.359523809523807</v>
      </c>
      <c r="L11" s="20">
        <v>72.30952380952381</v>
      </c>
      <c r="M11" s="20">
        <v>77.409523809523805</v>
      </c>
      <c r="N11" s="21">
        <v>20.8</v>
      </c>
      <c r="O11" s="40">
        <v>18.399999999999999</v>
      </c>
      <c r="P11" s="2"/>
      <c r="Q11" s="2"/>
      <c r="R11" s="18"/>
      <c r="S11" s="2"/>
      <c r="T11" s="18"/>
      <c r="W11" s="2"/>
      <c r="AA11" s="2"/>
      <c r="AB11" s="7"/>
      <c r="AC11" s="1"/>
      <c r="AD11" s="1"/>
    </row>
    <row r="12" spans="1:30" x14ac:dyDescent="0.2">
      <c r="A12" s="2"/>
      <c r="B12" s="29">
        <v>37288</v>
      </c>
      <c r="C12" s="11">
        <v>26.83</v>
      </c>
      <c r="D12" s="11">
        <v>25.87</v>
      </c>
      <c r="E12" s="12">
        <v>73.540000000000006</v>
      </c>
      <c r="F12" s="12">
        <v>72</v>
      </c>
      <c r="G12" s="12">
        <v>43.25</v>
      </c>
      <c r="H12" s="46">
        <v>35.4</v>
      </c>
      <c r="I12" s="2"/>
      <c r="J12" s="45">
        <v>37288</v>
      </c>
      <c r="K12" s="20">
        <v>75.259523809523813</v>
      </c>
      <c r="L12" s="20">
        <v>70.209523809523816</v>
      </c>
      <c r="M12" s="20">
        <v>75.30952380952381</v>
      </c>
      <c r="N12" s="21">
        <v>20.75</v>
      </c>
      <c r="O12" s="40">
        <v>18.2</v>
      </c>
      <c r="P12" s="2"/>
      <c r="Q12" s="2"/>
      <c r="R12" s="18"/>
      <c r="S12" s="2"/>
      <c r="T12" s="18"/>
      <c r="W12" s="2"/>
      <c r="AA12" s="2"/>
      <c r="AB12" s="7"/>
      <c r="AC12" s="1"/>
      <c r="AD12" s="1"/>
    </row>
    <row r="13" spans="1:30" x14ac:dyDescent="0.2">
      <c r="A13" s="2"/>
      <c r="B13" s="29">
        <v>37316</v>
      </c>
      <c r="C13" s="11">
        <v>26.7</v>
      </c>
      <c r="D13" s="11">
        <v>25.57</v>
      </c>
      <c r="E13" s="12">
        <v>74.239999999999995</v>
      </c>
      <c r="F13" s="12">
        <v>73.16</v>
      </c>
      <c r="G13" s="12">
        <v>41.75</v>
      </c>
      <c r="H13" s="46">
        <v>35.15</v>
      </c>
      <c r="I13" s="2"/>
      <c r="J13" s="45">
        <v>37316</v>
      </c>
      <c r="K13" s="20">
        <v>73.159523809523805</v>
      </c>
      <c r="L13" s="20">
        <v>67.859523809523807</v>
      </c>
      <c r="M13" s="20">
        <v>72.959523809523802</v>
      </c>
      <c r="N13" s="21">
        <v>20.7</v>
      </c>
      <c r="O13" s="40">
        <v>18</v>
      </c>
      <c r="P13" s="2"/>
      <c r="Q13" s="2"/>
      <c r="R13" s="18"/>
      <c r="S13" s="2"/>
      <c r="T13" s="18"/>
      <c r="W13" s="2"/>
      <c r="AA13" s="2"/>
      <c r="AB13" s="7"/>
      <c r="AC13" s="1"/>
      <c r="AD13" s="1"/>
    </row>
    <row r="14" spans="1:30" x14ac:dyDescent="0.2">
      <c r="A14" s="2"/>
      <c r="B14" s="29">
        <v>37347</v>
      </c>
      <c r="C14" s="11">
        <v>26.36</v>
      </c>
      <c r="D14" s="11">
        <v>25.31</v>
      </c>
      <c r="E14" s="12">
        <v>80.19</v>
      </c>
      <c r="F14" s="12">
        <v>70.81</v>
      </c>
      <c r="G14" s="12">
        <v>40.85</v>
      </c>
      <c r="H14" s="46">
        <v>34.299999999999997</v>
      </c>
      <c r="I14" s="2"/>
      <c r="J14" s="45">
        <v>37347</v>
      </c>
      <c r="K14" s="20">
        <v>70.80952380952381</v>
      </c>
      <c r="L14" s="20">
        <v>66.259523809523813</v>
      </c>
      <c r="M14" s="20">
        <v>70.159523809523819</v>
      </c>
      <c r="N14" s="21">
        <v>20.5</v>
      </c>
      <c r="O14" s="40">
        <v>17.8</v>
      </c>
      <c r="P14" s="2"/>
      <c r="Q14" s="2"/>
      <c r="R14" s="18"/>
      <c r="S14" s="2"/>
      <c r="T14" s="18"/>
      <c r="W14" s="2"/>
      <c r="AA14" s="2"/>
      <c r="AB14" s="7"/>
      <c r="AC14" s="1"/>
      <c r="AD14" s="1"/>
    </row>
    <row r="15" spans="1:30" x14ac:dyDescent="0.2">
      <c r="A15" s="2"/>
      <c r="B15" s="29">
        <v>37377</v>
      </c>
      <c r="C15" s="11">
        <v>26.05</v>
      </c>
      <c r="D15" s="11">
        <v>25.07</v>
      </c>
      <c r="E15" s="12">
        <v>80.290000000000006</v>
      </c>
      <c r="F15" s="12">
        <v>68.61</v>
      </c>
      <c r="G15" s="12">
        <v>40.85</v>
      </c>
      <c r="H15" s="46">
        <v>34.299999999999997</v>
      </c>
      <c r="I15" s="2"/>
      <c r="J15" s="45">
        <v>37377</v>
      </c>
      <c r="K15" s="20">
        <v>68.609523809523822</v>
      </c>
      <c r="L15" s="20">
        <v>65.30952380952381</v>
      </c>
      <c r="M15" s="20">
        <v>69.209523809523816</v>
      </c>
      <c r="N15" s="21">
        <v>20.3</v>
      </c>
      <c r="O15" s="40">
        <v>17.55</v>
      </c>
      <c r="P15" s="2"/>
      <c r="Q15" s="2"/>
      <c r="R15" s="18"/>
      <c r="S15" s="2"/>
      <c r="T15" s="18"/>
      <c r="W15" s="2"/>
      <c r="AA15" s="2"/>
      <c r="AB15" s="7"/>
      <c r="AC15" s="1"/>
      <c r="AD15" s="1"/>
    </row>
    <row r="16" spans="1:30" x14ac:dyDescent="0.2">
      <c r="A16" s="2"/>
      <c r="B16" s="29">
        <v>37408</v>
      </c>
      <c r="C16" s="11">
        <v>25.78</v>
      </c>
      <c r="D16" s="11">
        <v>24.83</v>
      </c>
      <c r="E16" s="12">
        <v>79.59</v>
      </c>
      <c r="F16" s="12">
        <v>67.66</v>
      </c>
      <c r="G16" s="12">
        <v>40.85</v>
      </c>
      <c r="H16" s="46">
        <v>34.299999999999997</v>
      </c>
      <c r="I16" s="2"/>
      <c r="J16" s="45">
        <v>37408</v>
      </c>
      <c r="K16" s="20">
        <v>67.659523809523819</v>
      </c>
      <c r="L16" s="20">
        <v>65.159523809523819</v>
      </c>
      <c r="M16" s="20">
        <v>69.05952380952381</v>
      </c>
      <c r="N16" s="21">
        <v>20.2</v>
      </c>
      <c r="O16" s="40">
        <v>17.3</v>
      </c>
      <c r="P16" s="2"/>
      <c r="Q16" s="2"/>
      <c r="R16" s="18"/>
      <c r="S16" s="2"/>
      <c r="T16" s="18"/>
      <c r="W16" s="2"/>
      <c r="AA16" s="2"/>
      <c r="AB16" s="7"/>
      <c r="AC16" s="1"/>
      <c r="AD16" s="1"/>
    </row>
    <row r="17" spans="1:33" x14ac:dyDescent="0.2">
      <c r="A17" s="2"/>
      <c r="B17" s="29">
        <v>37438</v>
      </c>
      <c r="C17" s="11">
        <v>25.51</v>
      </c>
      <c r="D17" s="11">
        <v>24.56</v>
      </c>
      <c r="E17" s="12">
        <v>78.290000000000006</v>
      </c>
      <c r="F17" s="12">
        <v>67.510000000000005</v>
      </c>
      <c r="G17" s="12">
        <v>40.85</v>
      </c>
      <c r="H17" s="46">
        <v>34.65</v>
      </c>
      <c r="I17" s="2"/>
      <c r="J17" s="45">
        <v>37438</v>
      </c>
      <c r="K17" s="20">
        <v>67.509523809523813</v>
      </c>
      <c r="L17" s="20">
        <v>65.209523809523816</v>
      </c>
      <c r="M17" s="20">
        <v>69.909523809523805</v>
      </c>
      <c r="N17" s="21">
        <v>20.554000000000002</v>
      </c>
      <c r="O17" s="40">
        <v>18.004000000000001</v>
      </c>
      <c r="P17" s="2"/>
      <c r="Q17" s="2"/>
      <c r="R17" s="18"/>
      <c r="S17" s="2"/>
      <c r="T17" s="18"/>
      <c r="W17" s="2"/>
      <c r="AA17" s="2"/>
      <c r="AB17" s="7"/>
      <c r="AC17" s="1"/>
      <c r="AD17" s="1"/>
    </row>
    <row r="18" spans="1:33" x14ac:dyDescent="0.2">
      <c r="A18" s="2"/>
      <c r="B18" s="29">
        <v>37469</v>
      </c>
      <c r="C18" s="11">
        <v>25.24</v>
      </c>
      <c r="D18" s="11">
        <v>24.31</v>
      </c>
      <c r="E18" s="12">
        <v>76.34</v>
      </c>
      <c r="F18" s="12">
        <v>67.66</v>
      </c>
      <c r="G18" s="12"/>
      <c r="H18" s="46"/>
      <c r="I18" s="2"/>
      <c r="J18" s="45">
        <v>37469</v>
      </c>
      <c r="K18" s="20">
        <v>67.659523809523819</v>
      </c>
      <c r="L18" s="20">
        <v>65.659523809523819</v>
      </c>
      <c r="M18" s="20">
        <v>70.359523809523822</v>
      </c>
      <c r="N18" s="21">
        <v>20.272000000000002</v>
      </c>
      <c r="O18" s="40">
        <v>17.722000000000001</v>
      </c>
      <c r="P18" s="2"/>
      <c r="Q18" s="2"/>
      <c r="R18" s="18"/>
      <c r="S18" s="2"/>
      <c r="T18" s="18"/>
      <c r="W18" s="2"/>
      <c r="AA18" s="2"/>
      <c r="AB18" s="7"/>
      <c r="AC18" s="7"/>
      <c r="AD18" s="1"/>
      <c r="AE18" s="1"/>
    </row>
    <row r="19" spans="1:33" x14ac:dyDescent="0.2">
      <c r="A19" s="2"/>
      <c r="B19" s="29">
        <v>37500</v>
      </c>
      <c r="C19" s="11">
        <v>24.97</v>
      </c>
      <c r="D19" s="11">
        <v>24.08</v>
      </c>
      <c r="E19" s="12">
        <v>73.89</v>
      </c>
      <c r="F19" s="12">
        <v>68.11</v>
      </c>
      <c r="G19" s="12"/>
      <c r="H19" s="46"/>
      <c r="I19" s="2"/>
      <c r="J19" s="45">
        <v>37500</v>
      </c>
      <c r="K19" s="20">
        <v>68.109523809523807</v>
      </c>
      <c r="L19" s="20">
        <v>66.109523809523822</v>
      </c>
      <c r="M19" s="20">
        <v>70.80952380952381</v>
      </c>
      <c r="N19" s="21">
        <v>20.029</v>
      </c>
      <c r="O19" s="40">
        <v>17.478999999999999</v>
      </c>
      <c r="P19" s="2"/>
      <c r="Q19" s="2"/>
      <c r="R19" s="18"/>
      <c r="S19" s="2"/>
      <c r="T19" s="18"/>
      <c r="W19" s="2"/>
      <c r="AA19" s="2"/>
      <c r="AB19" s="7"/>
      <c r="AC19" s="7"/>
      <c r="AD19" s="1"/>
      <c r="AE19" s="1"/>
    </row>
    <row r="20" spans="1:33" x14ac:dyDescent="0.2">
      <c r="A20" s="2"/>
      <c r="B20" s="29">
        <v>37530</v>
      </c>
      <c r="C20" s="11">
        <v>24.7</v>
      </c>
      <c r="D20" s="11">
        <v>23.86</v>
      </c>
      <c r="E20" s="12"/>
      <c r="F20" s="12">
        <v>68.56</v>
      </c>
      <c r="G20" s="12"/>
      <c r="H20" s="46"/>
      <c r="I20" s="2"/>
      <c r="J20" s="45">
        <v>37530</v>
      </c>
      <c r="K20" s="20">
        <v>68.55952380952381</v>
      </c>
      <c r="L20" s="20">
        <v>65.359523809523807</v>
      </c>
      <c r="M20" s="20">
        <v>70.80952380952381</v>
      </c>
      <c r="N20" s="21">
        <v>19.783000000000001</v>
      </c>
      <c r="O20" s="40">
        <v>17.233000000000001</v>
      </c>
      <c r="P20" s="2"/>
      <c r="Q20" s="2"/>
      <c r="R20" s="18"/>
      <c r="S20" s="2"/>
      <c r="T20" s="18"/>
      <c r="W20" s="2"/>
      <c r="AA20" s="2"/>
      <c r="AB20" s="7"/>
      <c r="AC20" s="7"/>
      <c r="AD20" s="1"/>
      <c r="AE20" s="1"/>
    </row>
    <row r="21" spans="1:33" x14ac:dyDescent="0.2">
      <c r="A21" s="2"/>
      <c r="B21" s="29">
        <v>37561</v>
      </c>
      <c r="C21" s="11">
        <v>24.45</v>
      </c>
      <c r="D21" s="11">
        <v>23.66</v>
      </c>
      <c r="E21" s="12"/>
      <c r="F21" s="12">
        <v>69.010000000000005</v>
      </c>
      <c r="G21" s="12"/>
      <c r="H21" s="46"/>
      <c r="I21" s="2"/>
      <c r="J21" s="45">
        <v>37561</v>
      </c>
      <c r="K21" s="20">
        <v>69.009523809523813</v>
      </c>
      <c r="L21" s="20">
        <v>65.80952380952381</v>
      </c>
      <c r="M21" s="20">
        <v>71.259523809523813</v>
      </c>
      <c r="N21" s="21">
        <v>19.57</v>
      </c>
      <c r="O21" s="40">
        <v>17.02</v>
      </c>
      <c r="P21" s="2"/>
      <c r="Q21" s="2"/>
      <c r="R21" s="18"/>
      <c r="S21" s="2"/>
      <c r="T21" s="18"/>
      <c r="W21" s="2"/>
      <c r="AA21" s="2"/>
      <c r="AB21" s="7"/>
      <c r="AC21" s="7"/>
      <c r="AD21" s="1"/>
      <c r="AE21" s="1"/>
    </row>
    <row r="22" spans="1:33" x14ac:dyDescent="0.2">
      <c r="A22" s="2"/>
      <c r="B22" s="29">
        <v>37591</v>
      </c>
      <c r="C22" s="11">
        <v>24.23</v>
      </c>
      <c r="D22" s="11">
        <v>23.48</v>
      </c>
      <c r="E22" s="12"/>
      <c r="F22" s="12">
        <v>69.459999999999994</v>
      </c>
      <c r="G22" s="12"/>
      <c r="H22" s="46"/>
      <c r="I22" s="2"/>
      <c r="J22" s="45">
        <v>37591</v>
      </c>
      <c r="K22" s="20">
        <v>69.459523809523816</v>
      </c>
      <c r="L22" s="20">
        <v>66.109523809523822</v>
      </c>
      <c r="M22" s="20">
        <v>71.55952380952381</v>
      </c>
      <c r="N22" s="21">
        <v>19.399999999999999</v>
      </c>
      <c r="O22" s="40">
        <v>16.850000000000001</v>
      </c>
      <c r="P22" s="2"/>
      <c r="Q22" s="2"/>
      <c r="R22" s="18"/>
      <c r="S22" s="2"/>
      <c r="T22" s="18"/>
      <c r="W22" s="2"/>
      <c r="AA22" s="2"/>
      <c r="AB22" s="7"/>
      <c r="AC22" s="7"/>
      <c r="AD22" s="1"/>
      <c r="AE22" s="1"/>
    </row>
    <row r="23" spans="1:33" x14ac:dyDescent="0.2">
      <c r="A23" s="2"/>
      <c r="B23" s="29">
        <v>37622</v>
      </c>
      <c r="C23" s="11">
        <v>24.05</v>
      </c>
      <c r="D23" s="13"/>
      <c r="E23" s="12"/>
      <c r="F23" s="12">
        <v>69.760000000000005</v>
      </c>
      <c r="G23" s="12"/>
      <c r="H23" s="46"/>
      <c r="I23" s="2"/>
      <c r="J23" s="45">
        <v>37622</v>
      </c>
      <c r="K23" s="20">
        <v>69.759523809523813</v>
      </c>
      <c r="L23" s="20">
        <v>66.159523809523819</v>
      </c>
      <c r="M23" s="20">
        <v>72.259523809523813</v>
      </c>
      <c r="N23" s="21">
        <v>19.809000000000001</v>
      </c>
      <c r="O23" s="40">
        <v>16.759</v>
      </c>
      <c r="P23" s="2"/>
      <c r="Q23" s="2"/>
      <c r="R23" s="18"/>
      <c r="S23" s="2"/>
      <c r="T23" s="18"/>
      <c r="W23" s="2"/>
      <c r="AA23" s="2"/>
      <c r="AB23" s="7"/>
      <c r="AC23" s="7"/>
      <c r="AD23" s="1"/>
      <c r="AE23" s="1"/>
    </row>
    <row r="24" spans="1:33" x14ac:dyDescent="0.2">
      <c r="A24" s="2"/>
      <c r="B24" s="29">
        <v>37653</v>
      </c>
      <c r="C24" s="11">
        <v>23.88</v>
      </c>
      <c r="D24" s="13"/>
      <c r="E24" s="12"/>
      <c r="F24" s="12">
        <v>69.260000000000005</v>
      </c>
      <c r="G24" s="12"/>
      <c r="H24" s="12"/>
      <c r="I24" s="2"/>
      <c r="J24" s="45">
        <v>37653</v>
      </c>
      <c r="K24" s="20">
        <v>69.259523809523813</v>
      </c>
      <c r="L24" s="20">
        <v>68</v>
      </c>
      <c r="M24" s="20">
        <v>74.099999999999994</v>
      </c>
      <c r="N24" s="21">
        <v>19.670000000000002</v>
      </c>
      <c r="O24" s="40">
        <v>16.62</v>
      </c>
      <c r="P24" s="2"/>
      <c r="Q24" s="2"/>
      <c r="R24" s="18"/>
      <c r="S24" s="2"/>
      <c r="T24" s="18"/>
      <c r="W24" s="2"/>
      <c r="AA24" s="2"/>
      <c r="AB24" s="7"/>
      <c r="AC24" s="7"/>
      <c r="AD24" s="1"/>
      <c r="AE24" s="1"/>
    </row>
    <row r="25" spans="1:33" x14ac:dyDescent="0.2">
      <c r="A25" s="2"/>
      <c r="B25" s="29">
        <v>37681</v>
      </c>
      <c r="C25" s="11">
        <v>23.72</v>
      </c>
      <c r="D25" s="13"/>
      <c r="E25" s="12"/>
      <c r="F25" s="12">
        <v>67.510000000000005</v>
      </c>
      <c r="G25" s="12"/>
      <c r="H25" s="12"/>
      <c r="I25" s="2"/>
      <c r="J25" s="47">
        <v>37681</v>
      </c>
      <c r="K25" s="20">
        <v>71.099999999999994</v>
      </c>
      <c r="L25" s="20">
        <v>61.85</v>
      </c>
      <c r="M25" s="20">
        <v>67.95</v>
      </c>
      <c r="N25" s="54">
        <v>19.524999999999999</v>
      </c>
      <c r="O25" s="77">
        <v>16.475000000000001</v>
      </c>
      <c r="P25" s="2"/>
      <c r="Q25" s="2"/>
      <c r="R25" s="18"/>
      <c r="S25" s="2"/>
      <c r="T25" s="18"/>
      <c r="W25" s="2"/>
      <c r="AA25" s="2"/>
      <c r="AB25" s="7"/>
      <c r="AC25" s="7"/>
      <c r="AD25" s="1"/>
      <c r="AE25" s="1"/>
    </row>
    <row r="26" spans="1:33" x14ac:dyDescent="0.2">
      <c r="A26" s="2"/>
      <c r="B26" s="30"/>
      <c r="C26" s="2" t="s">
        <v>54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C26" s="7"/>
      <c r="AD26" s="7"/>
      <c r="AE26" s="1"/>
    </row>
    <row r="27" spans="1:33" x14ac:dyDescent="0.2">
      <c r="A27" s="2"/>
      <c r="B27" s="30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7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33" x14ac:dyDescent="0.2">
      <c r="A28" s="2"/>
      <c r="B28" s="78"/>
      <c r="C28" s="134" t="s">
        <v>55</v>
      </c>
      <c r="D28" s="134"/>
      <c r="E28" s="134"/>
      <c r="F28" s="134"/>
      <c r="G28" s="134"/>
      <c r="H28" s="134"/>
      <c r="I28" s="134"/>
      <c r="J28" s="134"/>
      <c r="K28" s="134"/>
      <c r="L28" s="134"/>
      <c r="M28" s="135"/>
      <c r="N28" s="2"/>
      <c r="O28" s="27"/>
      <c r="U28" s="2"/>
      <c r="V28" s="2"/>
      <c r="Z28" s="2"/>
      <c r="AA28" s="2"/>
      <c r="AB28" s="2"/>
      <c r="AC28" s="2"/>
      <c r="AD28" s="2"/>
      <c r="AE28" s="2"/>
      <c r="AF28" s="2"/>
      <c r="AG28" s="2"/>
    </row>
    <row r="29" spans="1:33" x14ac:dyDescent="0.2">
      <c r="A29" s="2"/>
      <c r="B29" s="30"/>
      <c r="C29" s="8"/>
      <c r="D29" s="8"/>
      <c r="E29" s="8"/>
      <c r="F29" s="8"/>
      <c r="G29" s="8"/>
      <c r="H29" s="8"/>
      <c r="I29" s="8"/>
      <c r="J29" s="5"/>
      <c r="K29" s="5"/>
      <c r="L29" s="5"/>
      <c r="M29" s="55"/>
      <c r="N29" s="2"/>
      <c r="O29" s="27"/>
      <c r="U29" s="2"/>
      <c r="V29" s="2"/>
      <c r="Z29" s="2"/>
      <c r="AA29" s="2"/>
      <c r="AB29" s="2"/>
      <c r="AC29" s="2"/>
      <c r="AD29" s="2"/>
      <c r="AE29" s="2"/>
      <c r="AF29" s="2"/>
      <c r="AG29" s="2"/>
    </row>
    <row r="30" spans="1:33" x14ac:dyDescent="0.2">
      <c r="A30" s="2"/>
      <c r="B30" s="29" t="s">
        <v>6</v>
      </c>
      <c r="C30" s="14">
        <v>27.23</v>
      </c>
      <c r="D30" s="5" t="s">
        <v>18</v>
      </c>
      <c r="E30" s="14">
        <v>4.3199555555555555</v>
      </c>
      <c r="F30" s="5" t="s">
        <v>30</v>
      </c>
      <c r="G30" s="22">
        <v>-0.98777777777777587</v>
      </c>
      <c r="H30" s="5" t="s">
        <v>61</v>
      </c>
      <c r="I30" s="22"/>
      <c r="J30" s="5" t="s">
        <v>77</v>
      </c>
      <c r="K30" s="22">
        <v>26.176666666666666</v>
      </c>
      <c r="L30" s="5" t="s">
        <v>89</v>
      </c>
      <c r="M30" s="56">
        <v>-7.8333333333333144E-2</v>
      </c>
      <c r="N30" s="2"/>
      <c r="O30" s="27"/>
      <c r="U30" s="2"/>
      <c r="V30" s="2"/>
      <c r="Z30" s="2"/>
      <c r="AA30" s="2"/>
      <c r="AB30" s="2"/>
      <c r="AC30" s="2"/>
      <c r="AD30" s="2"/>
      <c r="AE30" s="2"/>
      <c r="AF30" s="2"/>
      <c r="AG30" s="2"/>
    </row>
    <row r="31" spans="1:33" x14ac:dyDescent="0.2">
      <c r="A31" s="2"/>
      <c r="B31" s="29" t="s">
        <v>7</v>
      </c>
      <c r="C31" s="14">
        <v>27.263333333333332</v>
      </c>
      <c r="D31" s="5" t="s">
        <v>20</v>
      </c>
      <c r="E31" s="14">
        <v>3.6924666666666646</v>
      </c>
      <c r="F31" s="5" t="s">
        <v>31</v>
      </c>
      <c r="G31" s="22">
        <v>-1.1833333333333336</v>
      </c>
      <c r="H31" s="5" t="s">
        <v>62</v>
      </c>
      <c r="I31" s="22">
        <v>-0.918333333333333</v>
      </c>
      <c r="J31" s="5" t="s">
        <v>78</v>
      </c>
      <c r="K31" s="22">
        <v>26.07</v>
      </c>
      <c r="L31" s="5" t="s">
        <v>90</v>
      </c>
      <c r="M31" s="56">
        <v>0.10999999999999943</v>
      </c>
      <c r="N31" s="2"/>
      <c r="O31" s="27"/>
      <c r="U31" s="2"/>
      <c r="V31" s="2"/>
      <c r="Z31" s="2"/>
      <c r="AA31" s="2"/>
      <c r="AB31" s="2"/>
      <c r="AC31" s="2"/>
      <c r="AD31" s="2"/>
      <c r="AE31" s="2"/>
      <c r="AF31" s="2"/>
      <c r="AG31" s="2"/>
    </row>
    <row r="32" spans="1:33" x14ac:dyDescent="0.2">
      <c r="A32" s="2"/>
      <c r="B32" s="29" t="s">
        <v>8</v>
      </c>
      <c r="C32" s="14">
        <v>27.03</v>
      </c>
      <c r="D32" s="5" t="s">
        <v>21</v>
      </c>
      <c r="E32" s="14">
        <v>2.8391999999999982</v>
      </c>
      <c r="F32" s="5" t="s">
        <v>32</v>
      </c>
      <c r="G32" s="22">
        <v>-13.348333333333331</v>
      </c>
      <c r="H32" s="5" t="s">
        <v>63</v>
      </c>
      <c r="I32" s="22">
        <v>-0.77499999999999858</v>
      </c>
      <c r="J32" s="5" t="s">
        <v>79</v>
      </c>
      <c r="K32" s="22">
        <v>25.77</v>
      </c>
      <c r="L32" s="5" t="s">
        <v>91</v>
      </c>
      <c r="M32" s="56">
        <v>5.9999999999998721E-2</v>
      </c>
      <c r="N32" s="2"/>
      <c r="O32" s="27"/>
      <c r="U32" s="2"/>
      <c r="V32" s="2"/>
      <c r="Z32" s="2"/>
      <c r="AA32" s="2"/>
      <c r="AB32" s="2"/>
      <c r="AC32" s="2"/>
      <c r="AD32" s="2"/>
      <c r="AE32" s="2"/>
      <c r="AF32" s="2"/>
      <c r="AG32" s="2"/>
    </row>
    <row r="33" spans="1:33" x14ac:dyDescent="0.2">
      <c r="A33" s="2"/>
      <c r="B33" s="29" t="s">
        <v>9</v>
      </c>
      <c r="C33" s="14">
        <v>26.786666666666662</v>
      </c>
      <c r="D33" s="5" t="s">
        <v>22</v>
      </c>
      <c r="E33" s="14">
        <v>3.7239777777777725</v>
      </c>
      <c r="F33" s="5" t="s">
        <v>33</v>
      </c>
      <c r="G33" s="22">
        <v>0.4777777777777743</v>
      </c>
      <c r="H33" s="5" t="s">
        <v>64</v>
      </c>
      <c r="I33" s="22">
        <v>-0.82666666666666089</v>
      </c>
      <c r="J33" s="5" t="s">
        <v>80</v>
      </c>
      <c r="K33" s="22">
        <v>25.483333333333334</v>
      </c>
      <c r="L33" s="5" t="s">
        <v>92</v>
      </c>
      <c r="M33" s="56">
        <v>7.3333333333334139E-2</v>
      </c>
      <c r="N33" s="2"/>
      <c r="O33" s="27"/>
      <c r="U33" s="2"/>
      <c r="V33" s="2"/>
      <c r="Z33" s="2"/>
      <c r="AA33" s="2"/>
      <c r="AB33" s="2"/>
      <c r="AC33" s="2"/>
      <c r="AD33" s="2"/>
      <c r="AE33" s="2"/>
      <c r="AF33" s="2"/>
      <c r="AG33" s="2"/>
    </row>
    <row r="34" spans="1:33" x14ac:dyDescent="0.2">
      <c r="A34" s="2"/>
      <c r="B34" s="29" t="s">
        <v>10</v>
      </c>
      <c r="C34" s="14">
        <v>26.586666666666662</v>
      </c>
      <c r="D34" s="5" t="s">
        <v>19</v>
      </c>
      <c r="E34" s="14">
        <v>4.9722000000000079</v>
      </c>
      <c r="F34" s="5" t="s">
        <v>34</v>
      </c>
      <c r="G34" s="22"/>
      <c r="H34" s="5" t="s">
        <v>65</v>
      </c>
      <c r="I34" s="22">
        <v>-0.8766666666666616</v>
      </c>
      <c r="J34" s="5" t="s">
        <v>81</v>
      </c>
      <c r="K34" s="22">
        <v>25.23</v>
      </c>
      <c r="L34" s="5" t="s">
        <v>93</v>
      </c>
      <c r="M34" s="56">
        <v>0.26999999999999602</v>
      </c>
      <c r="N34" s="2"/>
      <c r="O34" s="27"/>
      <c r="U34" s="2"/>
      <c r="V34" s="2"/>
      <c r="Z34" s="2"/>
      <c r="AA34" s="2"/>
      <c r="AB34" s="2"/>
      <c r="AC34" s="2"/>
      <c r="AD34" s="2"/>
      <c r="AE34" s="2"/>
      <c r="AF34" s="2"/>
      <c r="AG34" s="2"/>
    </row>
    <row r="35" spans="1:33" x14ac:dyDescent="0.2">
      <c r="A35" s="2"/>
      <c r="B35" s="29" t="s">
        <v>11</v>
      </c>
      <c r="C35" s="14">
        <v>26.256666666666664</v>
      </c>
      <c r="D35" s="5"/>
      <c r="E35" s="14"/>
      <c r="F35" s="5"/>
      <c r="G35" s="15"/>
      <c r="H35" s="5" t="s">
        <v>66</v>
      </c>
      <c r="I35" s="22">
        <v>-0.84666666666666401</v>
      </c>
      <c r="J35" s="5" t="s">
        <v>82</v>
      </c>
      <c r="K35" s="22">
        <v>24.99</v>
      </c>
      <c r="L35" s="5" t="s">
        <v>94</v>
      </c>
      <c r="M35" s="56">
        <v>0.28999999999999559</v>
      </c>
      <c r="N35" s="2"/>
      <c r="O35" s="27"/>
      <c r="U35" s="2"/>
      <c r="V35" s="2"/>
      <c r="Z35" s="2"/>
      <c r="AA35" s="2"/>
      <c r="AB35" s="2"/>
      <c r="AC35" s="2"/>
      <c r="AD35" s="2"/>
      <c r="AE35" s="2"/>
      <c r="AF35" s="2"/>
      <c r="AG35" s="2"/>
    </row>
    <row r="36" spans="1:33" x14ac:dyDescent="0.2">
      <c r="A36" s="2"/>
      <c r="B36" s="29" t="s">
        <v>68</v>
      </c>
      <c r="C36" s="14">
        <v>25.96</v>
      </c>
      <c r="D36" s="5" t="s">
        <v>23</v>
      </c>
      <c r="E36" s="14">
        <v>3.8069611111111108</v>
      </c>
      <c r="F36" s="5" t="s">
        <v>36</v>
      </c>
      <c r="G36" s="15"/>
      <c r="H36" s="5" t="s">
        <v>67</v>
      </c>
      <c r="I36" s="22">
        <v>-1</v>
      </c>
      <c r="J36" s="5" t="s">
        <v>83</v>
      </c>
      <c r="K36" s="22">
        <v>24.74</v>
      </c>
      <c r="L36" s="5"/>
      <c r="M36" s="56"/>
      <c r="N36" s="2"/>
      <c r="O36" s="27"/>
      <c r="U36" s="2"/>
      <c r="V36" s="2"/>
      <c r="Z36" s="2"/>
      <c r="AA36" s="2"/>
      <c r="AB36" s="2"/>
      <c r="AC36" s="2"/>
      <c r="AD36" s="2"/>
      <c r="AE36" s="2"/>
      <c r="AF36" s="2"/>
      <c r="AG36" s="2"/>
    </row>
    <row r="37" spans="1:33" x14ac:dyDescent="0.2">
      <c r="A37" s="2"/>
      <c r="B37" s="29"/>
      <c r="C37" s="14"/>
      <c r="D37" s="5"/>
      <c r="E37" s="14"/>
      <c r="F37" s="5"/>
      <c r="G37" s="15"/>
      <c r="H37" s="5"/>
      <c r="I37" s="15"/>
      <c r="J37" s="5"/>
      <c r="K37" s="15"/>
      <c r="L37" s="5" t="s">
        <v>95</v>
      </c>
      <c r="M37" s="56">
        <v>0.13444444444444059</v>
      </c>
      <c r="N37" s="2"/>
      <c r="O37" s="27"/>
      <c r="U37" s="2"/>
      <c r="V37" s="2"/>
      <c r="Z37" s="2"/>
      <c r="AA37" s="2"/>
      <c r="AB37" s="2"/>
      <c r="AC37" s="2"/>
      <c r="AD37" s="2"/>
      <c r="AE37" s="2"/>
      <c r="AF37" s="2"/>
      <c r="AG37" s="2"/>
    </row>
    <row r="38" spans="1:33" x14ac:dyDescent="0.2">
      <c r="A38" s="2"/>
      <c r="B38" s="29" t="s">
        <v>12</v>
      </c>
      <c r="C38" s="14">
        <v>27.174444444444443</v>
      </c>
      <c r="D38" s="5" t="s">
        <v>24</v>
      </c>
      <c r="E38" s="22">
        <v>3.736155555555559</v>
      </c>
      <c r="F38" s="5" t="s">
        <v>35</v>
      </c>
      <c r="G38" s="15"/>
      <c r="H38" s="5" t="s">
        <v>69</v>
      </c>
      <c r="I38" s="22">
        <v>-0.94999999999999929</v>
      </c>
      <c r="J38" s="5" t="s">
        <v>84</v>
      </c>
      <c r="K38" s="22"/>
      <c r="L38" s="5" t="s">
        <v>96</v>
      </c>
      <c r="M38" s="56">
        <v>12.393888888888883</v>
      </c>
      <c r="N38" s="2"/>
      <c r="O38" s="27"/>
      <c r="U38" s="2"/>
      <c r="V38" s="2"/>
      <c r="Z38" s="2"/>
      <c r="AA38" s="2"/>
      <c r="AB38" s="2"/>
      <c r="AC38" s="2"/>
      <c r="AD38" s="2"/>
      <c r="AE38" s="2"/>
      <c r="AF38" s="2"/>
      <c r="AG38" s="2"/>
    </row>
    <row r="39" spans="1:33" x14ac:dyDescent="0.2">
      <c r="A39" s="2"/>
      <c r="B39" s="29" t="s">
        <v>13</v>
      </c>
      <c r="C39" s="14">
        <v>26.543333333333333</v>
      </c>
      <c r="D39" s="5" t="s">
        <v>25</v>
      </c>
      <c r="E39" s="22">
        <v>5.3724666666666678</v>
      </c>
      <c r="F39" s="5" t="s">
        <v>37</v>
      </c>
      <c r="G39" s="22">
        <v>-1.048888888888893</v>
      </c>
      <c r="H39" s="5" t="s">
        <v>70</v>
      </c>
      <c r="I39" s="22">
        <v>-1.1499999999999999</v>
      </c>
      <c r="J39" s="5" t="s">
        <v>85</v>
      </c>
      <c r="K39" s="22">
        <v>25.49444444444444</v>
      </c>
      <c r="L39" s="5"/>
      <c r="M39" s="56"/>
      <c r="N39" s="2"/>
      <c r="O39" s="27"/>
      <c r="U39" s="2"/>
      <c r="V39" s="2"/>
      <c r="Z39" s="2"/>
      <c r="AA39" s="2"/>
      <c r="AB39" s="2"/>
      <c r="AC39" s="2"/>
      <c r="AD39" s="2"/>
      <c r="AE39" s="2"/>
      <c r="AF39" s="2"/>
      <c r="AG39" s="2"/>
    </row>
    <row r="40" spans="1:33" x14ac:dyDescent="0.2">
      <c r="A40" s="2"/>
      <c r="B40" s="29" t="s">
        <v>14</v>
      </c>
      <c r="C40" s="14">
        <v>25.69</v>
      </c>
      <c r="D40" s="5" t="s">
        <v>26</v>
      </c>
      <c r="E40" s="22">
        <v>7.6538000000000039</v>
      </c>
      <c r="F40" s="5" t="s">
        <v>38</v>
      </c>
      <c r="G40" s="22">
        <v>-0.95444444444444798</v>
      </c>
      <c r="H40" s="5" t="s">
        <v>71</v>
      </c>
      <c r="I40" s="22">
        <v>-0.9599999999999973</v>
      </c>
      <c r="J40" s="5" t="s">
        <v>86</v>
      </c>
      <c r="K40" s="22">
        <v>24.73555555555555</v>
      </c>
      <c r="L40" s="5"/>
      <c r="M40" s="56"/>
      <c r="N40" s="2"/>
      <c r="O40" s="27"/>
      <c r="U40" s="2"/>
      <c r="V40" s="2"/>
      <c r="Z40" s="2"/>
      <c r="AA40" s="2"/>
      <c r="AB40" s="2"/>
      <c r="AC40" s="2"/>
      <c r="AD40" s="2"/>
      <c r="AE40" s="2"/>
      <c r="AF40" s="2"/>
      <c r="AG40" s="2"/>
    </row>
    <row r="41" spans="1:33" x14ac:dyDescent="0.2">
      <c r="A41" s="2"/>
      <c r="B41" s="29" t="s">
        <v>15</v>
      </c>
      <c r="C41" s="14">
        <v>24.882222222222225</v>
      </c>
      <c r="D41" s="5" t="s">
        <v>27</v>
      </c>
      <c r="E41" s="22"/>
      <c r="F41" s="5" t="s">
        <v>39</v>
      </c>
      <c r="G41" s="22">
        <v>-0.87111111111111583</v>
      </c>
      <c r="H41" s="5" t="s">
        <v>72</v>
      </c>
      <c r="I41" s="22">
        <v>-0.9599999999999973</v>
      </c>
      <c r="J41" s="5" t="s">
        <v>87</v>
      </c>
      <c r="K41" s="22">
        <v>24.011111111111109</v>
      </c>
      <c r="L41" s="5"/>
      <c r="M41" s="56"/>
      <c r="N41" s="2"/>
      <c r="O41" s="27"/>
      <c r="U41" s="2"/>
      <c r="V41" s="2"/>
      <c r="Z41" s="2"/>
      <c r="AA41" s="2"/>
      <c r="AB41" s="2"/>
      <c r="AC41" s="2"/>
      <c r="AD41" s="2"/>
      <c r="AE41" s="2"/>
      <c r="AF41" s="2"/>
      <c r="AG41" s="2"/>
    </row>
    <row r="42" spans="1:33" x14ac:dyDescent="0.2">
      <c r="A42" s="2"/>
      <c r="B42" s="29" t="s">
        <v>16</v>
      </c>
      <c r="C42" s="14">
        <v>24.18</v>
      </c>
      <c r="D42" s="5" t="s">
        <v>28</v>
      </c>
      <c r="E42" s="22"/>
      <c r="F42" s="5" t="s">
        <v>56</v>
      </c>
      <c r="G42" s="15"/>
      <c r="H42" s="5" t="s">
        <v>73</v>
      </c>
      <c r="I42" s="22">
        <v>-1.1299999999999999</v>
      </c>
      <c r="J42" s="5" t="s">
        <v>88</v>
      </c>
      <c r="K42" s="22"/>
      <c r="L42" s="5"/>
      <c r="M42" s="56"/>
      <c r="N42" s="2"/>
      <c r="O42" s="27"/>
      <c r="U42" s="2"/>
      <c r="V42" s="2"/>
      <c r="Z42" s="2"/>
      <c r="AA42" s="2"/>
      <c r="AB42" s="2"/>
      <c r="AC42" s="2"/>
      <c r="AD42" s="2"/>
      <c r="AE42" s="2"/>
      <c r="AF42" s="2"/>
      <c r="AG42" s="2"/>
    </row>
    <row r="43" spans="1:33" x14ac:dyDescent="0.2">
      <c r="B43" s="29"/>
      <c r="C43" s="14"/>
      <c r="D43" s="5"/>
      <c r="E43" s="15"/>
      <c r="F43" s="5"/>
      <c r="G43" s="15"/>
      <c r="H43" s="5" t="s">
        <v>74</v>
      </c>
      <c r="I43" s="22">
        <v>-1.05</v>
      </c>
      <c r="J43" s="5"/>
      <c r="K43" s="22"/>
      <c r="L43" s="5"/>
      <c r="M43" s="56"/>
      <c r="N43" s="2"/>
      <c r="O43" s="27"/>
    </row>
    <row r="44" spans="1:33" x14ac:dyDescent="0.2">
      <c r="B44" s="76" t="s">
        <v>17</v>
      </c>
      <c r="C44" s="57">
        <v>25.323888888888888</v>
      </c>
      <c r="D44" s="58" t="s">
        <v>29</v>
      </c>
      <c r="E44" s="59"/>
      <c r="F44" s="58" t="s">
        <v>57</v>
      </c>
      <c r="G44" s="59"/>
      <c r="H44" s="58" t="s">
        <v>75</v>
      </c>
      <c r="I44" s="60">
        <v>-0.98</v>
      </c>
      <c r="J44" s="58"/>
      <c r="K44" s="60"/>
      <c r="L44" s="58"/>
      <c r="M44" s="61"/>
      <c r="N44" s="2"/>
      <c r="O44" s="27"/>
    </row>
    <row r="45" spans="1:33" x14ac:dyDescent="0.2">
      <c r="B45" s="2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7"/>
    </row>
    <row r="46" spans="1:33" x14ac:dyDescent="0.2">
      <c r="B46" s="2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7"/>
      <c r="P46" s="2"/>
      <c r="Q46" s="2"/>
      <c r="R46" s="2"/>
      <c r="S46" s="2"/>
      <c r="T46" s="2"/>
    </row>
    <row r="47" spans="1:33" x14ac:dyDescent="0.2">
      <c r="B47" s="79"/>
      <c r="C47" s="132" t="s">
        <v>47</v>
      </c>
      <c r="D47" s="132"/>
      <c r="E47" s="132"/>
      <c r="F47" s="132"/>
      <c r="G47" s="133"/>
      <c r="H47" s="2"/>
      <c r="I47" s="67"/>
      <c r="J47" s="140" t="s">
        <v>46</v>
      </c>
      <c r="K47" s="140"/>
      <c r="L47" s="140"/>
      <c r="M47" s="140"/>
      <c r="N47" s="141"/>
      <c r="O47" s="27"/>
      <c r="P47" s="2"/>
      <c r="Q47" s="2"/>
      <c r="R47" s="2"/>
      <c r="S47" s="2"/>
      <c r="T47" s="2"/>
    </row>
    <row r="48" spans="1:33" x14ac:dyDescent="0.2">
      <c r="B48" s="26"/>
      <c r="C48" s="3" t="s">
        <v>48</v>
      </c>
      <c r="D48" s="3" t="s">
        <v>49</v>
      </c>
      <c r="E48" s="3" t="s">
        <v>60</v>
      </c>
      <c r="F48" s="3" t="s">
        <v>76</v>
      </c>
      <c r="G48" s="44"/>
      <c r="H48" s="2"/>
      <c r="I48" s="68"/>
      <c r="J48" s="3" t="s">
        <v>120</v>
      </c>
      <c r="K48" s="3" t="s">
        <v>121</v>
      </c>
      <c r="L48" s="4" t="s">
        <v>3</v>
      </c>
      <c r="M48" s="4" t="s">
        <v>4</v>
      </c>
      <c r="N48" s="69" t="s">
        <v>2</v>
      </c>
      <c r="O48" s="27"/>
      <c r="P48" s="2"/>
      <c r="Q48" s="2"/>
      <c r="R48" s="2"/>
      <c r="S48" s="2"/>
      <c r="T48" s="2"/>
    </row>
    <row r="49" spans="2:20" x14ac:dyDescent="0.2">
      <c r="B49" s="29">
        <v>37165</v>
      </c>
      <c r="C49" s="9"/>
      <c r="D49" s="9">
        <v>228</v>
      </c>
      <c r="E49" s="9"/>
      <c r="F49" s="5" t="s">
        <v>6</v>
      </c>
      <c r="G49" s="64"/>
      <c r="H49" s="2"/>
      <c r="I49" s="45">
        <v>37165</v>
      </c>
      <c r="J49" s="10">
        <v>3.9130000000000003</v>
      </c>
      <c r="K49" s="10">
        <v>3.8793999999999969</v>
      </c>
      <c r="L49" s="10">
        <v>4.4713599999999989</v>
      </c>
      <c r="M49" s="10">
        <v>4.5548000000000002</v>
      </c>
      <c r="N49" s="70">
        <v>4.3461999999999961</v>
      </c>
      <c r="O49" s="27"/>
      <c r="P49" s="2"/>
      <c r="Q49" s="2"/>
      <c r="R49" s="2"/>
      <c r="S49" s="2"/>
      <c r="T49" s="2"/>
    </row>
    <row r="50" spans="2:20" x14ac:dyDescent="0.2">
      <c r="B50" s="29">
        <v>37196</v>
      </c>
      <c r="C50" s="9">
        <v>26.33</v>
      </c>
      <c r="D50" s="9">
        <v>228.25</v>
      </c>
      <c r="E50" s="9">
        <v>4.2665147453083136</v>
      </c>
      <c r="F50" s="5" t="s">
        <v>7</v>
      </c>
      <c r="G50" s="64">
        <v>26.254999999999999</v>
      </c>
      <c r="H50" s="2"/>
      <c r="I50" s="45">
        <v>37196</v>
      </c>
      <c r="J50" s="10">
        <v>3.6150666666666638</v>
      </c>
      <c r="K50" s="10">
        <v>4.2660666666666636</v>
      </c>
      <c r="L50" s="10">
        <v>3.9495600000000026</v>
      </c>
      <c r="M50" s="10">
        <v>3.9518000000000009</v>
      </c>
      <c r="N50" s="70">
        <v>3.9461999999999975</v>
      </c>
      <c r="O50" s="27"/>
      <c r="P50" s="2"/>
      <c r="Q50" s="2"/>
      <c r="R50" s="2"/>
      <c r="S50" s="2"/>
      <c r="T50" s="2"/>
    </row>
    <row r="51" spans="2:20" x14ac:dyDescent="0.2">
      <c r="B51" s="29">
        <v>37226</v>
      </c>
      <c r="C51" s="9">
        <v>26.36</v>
      </c>
      <c r="D51" s="9">
        <v>228.25</v>
      </c>
      <c r="E51" s="9">
        <v>4.2365147453083125</v>
      </c>
      <c r="F51" s="5" t="s">
        <v>8</v>
      </c>
      <c r="G51" s="64">
        <v>25.96</v>
      </c>
      <c r="H51" s="2"/>
      <c r="I51" s="45">
        <v>37226</v>
      </c>
      <c r="J51" s="10">
        <v>3.6803999999999988</v>
      </c>
      <c r="K51" s="10">
        <v>4.8143999999999956</v>
      </c>
      <c r="L51" s="10">
        <v>3.8088000000000024</v>
      </c>
      <c r="M51" s="10">
        <v>3.7653999999999948</v>
      </c>
      <c r="N51" s="70">
        <v>3.873899999999999</v>
      </c>
      <c r="O51" s="27"/>
      <c r="P51" s="2"/>
      <c r="Q51" s="2"/>
      <c r="R51" s="2"/>
      <c r="S51" s="2"/>
      <c r="T51" s="2"/>
    </row>
    <row r="52" spans="2:20" x14ac:dyDescent="0.2">
      <c r="B52" s="29">
        <v>37257</v>
      </c>
      <c r="C52" s="9">
        <v>26.15</v>
      </c>
      <c r="D52" s="9">
        <v>229</v>
      </c>
      <c r="E52" s="9">
        <v>4.5470509383378044</v>
      </c>
      <c r="F52" s="5" t="s">
        <v>9</v>
      </c>
      <c r="G52" s="64">
        <v>25.71</v>
      </c>
      <c r="H52" s="2"/>
      <c r="I52" s="45">
        <v>37257</v>
      </c>
      <c r="J52" s="10">
        <v>4.1001333333333427</v>
      </c>
      <c r="K52" s="10">
        <v>3.4533333333333367</v>
      </c>
      <c r="L52" s="10">
        <v>4.0339999999999971</v>
      </c>
      <c r="M52" s="10">
        <v>3.9583999999999975</v>
      </c>
      <c r="N52" s="70">
        <v>4.1474000000000011</v>
      </c>
      <c r="O52" s="27"/>
      <c r="P52" s="2"/>
      <c r="Q52" s="2"/>
      <c r="R52" s="2"/>
      <c r="S52" s="2"/>
      <c r="T52" s="2"/>
    </row>
    <row r="53" spans="2:20" x14ac:dyDescent="0.2">
      <c r="B53" s="29">
        <v>37288</v>
      </c>
      <c r="C53" s="9">
        <v>25.77</v>
      </c>
      <c r="D53" s="9">
        <v>0</v>
      </c>
      <c r="E53" s="9" t="s">
        <v>119</v>
      </c>
      <c r="F53" s="5" t="s">
        <v>10</v>
      </c>
      <c r="G53" s="64">
        <v>25.41</v>
      </c>
      <c r="H53" s="2"/>
      <c r="I53" s="45">
        <v>37288</v>
      </c>
      <c r="J53" s="10">
        <v>4.5941333333333354</v>
      </c>
      <c r="K53" s="10">
        <v>4.1405333333333338</v>
      </c>
      <c r="L53" s="10">
        <v>3.7980800000000046</v>
      </c>
      <c r="M53" s="10">
        <v>3.8412000000000055</v>
      </c>
      <c r="N53" s="70">
        <v>3.7334000000000032</v>
      </c>
      <c r="O53" s="27"/>
      <c r="P53" s="2"/>
      <c r="Q53" s="2"/>
      <c r="R53" s="2"/>
      <c r="S53" s="2"/>
      <c r="T53" s="2"/>
    </row>
    <row r="54" spans="2:20" x14ac:dyDescent="0.2">
      <c r="B54" s="29">
        <v>37316</v>
      </c>
      <c r="C54" s="9">
        <v>25.65</v>
      </c>
      <c r="D54" s="9">
        <v>0</v>
      </c>
      <c r="E54" s="9" t="s">
        <v>119</v>
      </c>
      <c r="F54" s="5" t="s">
        <v>11</v>
      </c>
      <c r="G54" s="64">
        <v>24.96</v>
      </c>
      <c r="H54" s="2"/>
      <c r="I54" s="45">
        <v>37316</v>
      </c>
      <c r="J54" s="10">
        <v>7.423133333333336</v>
      </c>
      <c r="K54" s="10">
        <v>3.4835333333333374</v>
      </c>
      <c r="L54" s="10">
        <v>4.2993599999999956</v>
      </c>
      <c r="M54" s="10">
        <v>4.3295999999999992</v>
      </c>
      <c r="N54" s="70">
        <v>4.2539999999999978</v>
      </c>
      <c r="O54" s="27"/>
      <c r="P54" s="2"/>
      <c r="Q54" s="2"/>
      <c r="R54" s="2"/>
      <c r="S54" s="2"/>
      <c r="T54" s="2"/>
    </row>
    <row r="55" spans="2:20" x14ac:dyDescent="0.2">
      <c r="B55" s="29">
        <v>37347</v>
      </c>
      <c r="C55" s="9">
        <v>25.17</v>
      </c>
      <c r="D55" s="9">
        <v>215</v>
      </c>
      <c r="E55" s="9">
        <v>3.6503753351206427</v>
      </c>
      <c r="F55" s="5" t="s">
        <v>68</v>
      </c>
      <c r="G55" s="64">
        <v>24.7</v>
      </c>
      <c r="H55" s="2"/>
      <c r="I55" s="45">
        <v>37347</v>
      </c>
      <c r="J55" s="10">
        <v>7.7618000000000009</v>
      </c>
      <c r="K55" s="10">
        <v>2.8561999999999976</v>
      </c>
      <c r="L55" s="10">
        <v>5.7439599999999986</v>
      </c>
      <c r="M55" s="10">
        <v>6.0066000000000015</v>
      </c>
      <c r="N55" s="70">
        <v>5.35</v>
      </c>
      <c r="O55" s="27"/>
      <c r="P55" s="2"/>
      <c r="Q55" s="2"/>
      <c r="R55" s="2"/>
      <c r="S55" s="2"/>
      <c r="T55" s="2"/>
    </row>
    <row r="56" spans="2:20" x14ac:dyDescent="0.2">
      <c r="B56" s="29">
        <v>37377</v>
      </c>
      <c r="C56" s="9">
        <v>24.75</v>
      </c>
      <c r="D56" s="9">
        <v>216</v>
      </c>
      <c r="E56" s="9">
        <v>4.2044235924932991</v>
      </c>
      <c r="F56" s="5"/>
      <c r="G56" s="64"/>
      <c r="H56" s="2"/>
      <c r="I56" s="45">
        <v>37377</v>
      </c>
      <c r="J56" s="10">
        <v>7.7378000000000036</v>
      </c>
      <c r="K56" s="10">
        <v>2.7271999999999963</v>
      </c>
      <c r="L56" s="10">
        <v>5.7095599999999989</v>
      </c>
      <c r="M56" s="10">
        <v>6.0365999999999973</v>
      </c>
      <c r="N56" s="70">
        <v>5.2189999999999976</v>
      </c>
      <c r="O56" s="27"/>
      <c r="P56" s="2"/>
      <c r="Q56" s="2"/>
      <c r="R56" s="2"/>
      <c r="S56" s="2"/>
      <c r="T56" s="2"/>
    </row>
    <row r="57" spans="2:20" x14ac:dyDescent="0.2">
      <c r="B57" s="29">
        <v>37408</v>
      </c>
      <c r="C57" s="9">
        <v>24.65</v>
      </c>
      <c r="D57" s="9">
        <v>210</v>
      </c>
      <c r="E57" s="9">
        <v>3.500134048257376</v>
      </c>
      <c r="F57" s="5" t="s">
        <v>12</v>
      </c>
      <c r="G57" s="64"/>
      <c r="H57" s="2"/>
      <c r="I57" s="45">
        <v>37408</v>
      </c>
      <c r="J57" s="10">
        <v>7.4618000000000038</v>
      </c>
      <c r="K57" s="10">
        <v>2.9342000000000006</v>
      </c>
      <c r="L57" s="10">
        <v>5.6435599999999964</v>
      </c>
      <c r="M57" s="10">
        <v>5.9775999999999998</v>
      </c>
      <c r="N57" s="70">
        <v>5.1425000000000001</v>
      </c>
      <c r="O57" s="27"/>
      <c r="P57" s="2"/>
      <c r="Q57" s="2"/>
      <c r="R57" s="2"/>
      <c r="S57" s="2"/>
      <c r="T57" s="2"/>
    </row>
    <row r="58" spans="2:20" x14ac:dyDescent="0.2">
      <c r="B58" s="29">
        <v>37438</v>
      </c>
      <c r="C58" s="9"/>
      <c r="D58" s="9">
        <v>0</v>
      </c>
      <c r="E58" s="9">
        <v>0</v>
      </c>
      <c r="F58" s="5" t="s">
        <v>13</v>
      </c>
      <c r="G58" s="64">
        <v>25.36</v>
      </c>
      <c r="H58" s="2"/>
      <c r="I58" s="45">
        <v>37438</v>
      </c>
      <c r="J58" s="10">
        <v>6.9128000000000043</v>
      </c>
      <c r="K58" s="10">
        <v>3.267199999999999</v>
      </c>
      <c r="L58" s="10">
        <v>5.5607599999999993</v>
      </c>
      <c r="M58" s="10">
        <v>5.8626000000000049</v>
      </c>
      <c r="N58" s="70">
        <v>5.1080000000000005</v>
      </c>
      <c r="O58" s="27"/>
      <c r="P58" s="2"/>
      <c r="Q58" s="2"/>
      <c r="R58" s="2"/>
      <c r="S58" s="2"/>
      <c r="T58" s="2"/>
    </row>
    <row r="59" spans="2:20" x14ac:dyDescent="0.2">
      <c r="B59" s="29">
        <v>37469</v>
      </c>
      <c r="C59" s="9">
        <v>0</v>
      </c>
      <c r="D59" s="9"/>
      <c r="E59" s="9"/>
      <c r="F59" s="5" t="s">
        <v>14</v>
      </c>
      <c r="G59" s="64">
        <v>12.341666666666667</v>
      </c>
      <c r="H59" s="2"/>
      <c r="I59" s="45">
        <v>37469</v>
      </c>
      <c r="J59" s="10">
        <v>6.1538000000000039</v>
      </c>
      <c r="K59" s="10">
        <v>3.7262000000000022</v>
      </c>
      <c r="L59" s="10">
        <v>5.36456</v>
      </c>
      <c r="M59" s="10">
        <v>5.6076000000000006</v>
      </c>
      <c r="N59" s="70">
        <v>5</v>
      </c>
      <c r="O59" s="27"/>
      <c r="P59" s="2"/>
      <c r="Q59" s="2"/>
      <c r="R59" s="2"/>
      <c r="S59" s="2"/>
      <c r="T59" s="2"/>
    </row>
    <row r="60" spans="2:20" x14ac:dyDescent="0.2">
      <c r="B60" s="29">
        <v>37500</v>
      </c>
      <c r="C60" s="9">
        <v>23.89</v>
      </c>
      <c r="D60" s="9"/>
      <c r="E60" s="9"/>
      <c r="F60" s="5" t="s">
        <v>15</v>
      </c>
      <c r="G60" s="64"/>
      <c r="H60" s="2"/>
      <c r="I60" s="45">
        <v>37500</v>
      </c>
      <c r="J60" s="10"/>
      <c r="K60" s="10">
        <v>4.1785333333333377</v>
      </c>
      <c r="L60" s="10">
        <v>5.0927600000000037</v>
      </c>
      <c r="M60" s="10">
        <v>5.2546000000000008</v>
      </c>
      <c r="N60" s="70">
        <v>4.8499999999999996</v>
      </c>
      <c r="O60" s="27"/>
      <c r="P60" s="2"/>
      <c r="Q60" s="2"/>
      <c r="R60" s="2"/>
      <c r="S60" s="2"/>
      <c r="T60" s="2"/>
    </row>
    <row r="61" spans="2:20" x14ac:dyDescent="0.2">
      <c r="B61" s="29">
        <v>37530</v>
      </c>
      <c r="C61" s="9">
        <v>0</v>
      </c>
      <c r="D61" s="9"/>
      <c r="E61" s="9"/>
      <c r="F61" s="5" t="s">
        <v>16</v>
      </c>
      <c r="G61" s="64"/>
      <c r="H61" s="2"/>
      <c r="I61" s="45">
        <v>37530</v>
      </c>
      <c r="J61" s="10"/>
      <c r="K61" s="10">
        <v>4.6075333333333361</v>
      </c>
      <c r="L61" s="10"/>
      <c r="M61" s="10"/>
      <c r="N61" s="70"/>
      <c r="O61" s="27"/>
      <c r="P61" s="2"/>
      <c r="Q61" s="2"/>
      <c r="R61" s="2"/>
      <c r="S61" s="2"/>
      <c r="T61" s="2"/>
    </row>
    <row r="62" spans="2:20" x14ac:dyDescent="0.2">
      <c r="B62" s="29">
        <v>37561</v>
      </c>
      <c r="C62" s="9"/>
      <c r="D62" s="9"/>
      <c r="E62" s="9"/>
      <c r="F62" s="5"/>
      <c r="G62" s="64"/>
      <c r="H62" s="18"/>
      <c r="I62" s="45">
        <v>37561</v>
      </c>
      <c r="J62" s="10"/>
      <c r="K62" s="10">
        <v>5.0031999999999996</v>
      </c>
      <c r="L62" s="10"/>
      <c r="M62" s="10"/>
      <c r="N62" s="70"/>
      <c r="O62" s="27"/>
      <c r="P62" s="2"/>
      <c r="Q62" s="2"/>
      <c r="R62" s="2"/>
      <c r="S62" s="2"/>
      <c r="T62" s="2"/>
    </row>
    <row r="63" spans="2:20" x14ac:dyDescent="0.2">
      <c r="B63" s="76">
        <v>37591</v>
      </c>
      <c r="C63" s="65">
        <v>23.2</v>
      </c>
      <c r="D63" s="65"/>
      <c r="E63" s="65"/>
      <c r="F63" s="58" t="s">
        <v>17</v>
      </c>
      <c r="G63" s="66"/>
      <c r="H63" s="35"/>
      <c r="I63" s="45">
        <v>37591</v>
      </c>
      <c r="J63" s="10"/>
      <c r="K63" s="10">
        <v>5.3058666666666667</v>
      </c>
      <c r="L63" s="10"/>
      <c r="M63" s="10"/>
      <c r="N63" s="70"/>
      <c r="O63" s="27"/>
      <c r="P63" s="2"/>
      <c r="Q63" s="2"/>
      <c r="R63" s="2"/>
      <c r="S63" s="2"/>
      <c r="T63" s="2"/>
    </row>
    <row r="64" spans="2:20" x14ac:dyDescent="0.2">
      <c r="B64" s="26"/>
      <c r="C64" s="18"/>
      <c r="D64" s="2"/>
      <c r="E64" s="2"/>
      <c r="F64" s="2"/>
      <c r="G64" s="2"/>
      <c r="H64" s="2"/>
      <c r="I64" s="47">
        <v>37622</v>
      </c>
      <c r="J64" s="71"/>
      <c r="K64" s="10">
        <f>((F24*42/100)-((C24*(2/3)+(C25*(1/3)))))</f>
        <v>5.2625333333333373</v>
      </c>
      <c r="L64" s="71"/>
      <c r="M64" s="71"/>
      <c r="N64" s="72"/>
      <c r="O64" s="27"/>
      <c r="P64" s="2"/>
      <c r="Q64" s="2"/>
      <c r="R64" s="2"/>
      <c r="S64" s="2"/>
      <c r="T64" s="2"/>
    </row>
    <row r="65" spans="2:15" x14ac:dyDescent="0.2">
      <c r="B65" s="2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7"/>
    </row>
    <row r="66" spans="2:15" x14ac:dyDescent="0.2">
      <c r="B66" s="79"/>
      <c r="C66" s="62"/>
      <c r="D66" s="62"/>
      <c r="E66" s="62"/>
      <c r="F66" s="62"/>
      <c r="G66" s="63"/>
      <c r="H66" s="2"/>
      <c r="I66" s="2"/>
      <c r="J66" s="2"/>
      <c r="K66" s="2"/>
      <c r="L66" s="2"/>
      <c r="M66" s="2"/>
      <c r="N66" s="2"/>
      <c r="O66" s="27"/>
    </row>
    <row r="67" spans="2:15" x14ac:dyDescent="0.2">
      <c r="B67" s="26"/>
      <c r="C67" s="3" t="s">
        <v>97</v>
      </c>
      <c r="D67" s="3"/>
      <c r="E67" s="3" t="s">
        <v>103</v>
      </c>
      <c r="F67" s="3"/>
      <c r="G67" s="44" t="s">
        <v>104</v>
      </c>
      <c r="H67" s="2"/>
      <c r="I67" s="2"/>
      <c r="J67" s="2"/>
      <c r="K67" s="2"/>
      <c r="L67" s="2"/>
      <c r="M67" s="2"/>
      <c r="N67" s="2"/>
      <c r="O67" s="27"/>
    </row>
    <row r="68" spans="2:15" x14ac:dyDescent="0.2">
      <c r="B68" s="29" t="s">
        <v>6</v>
      </c>
      <c r="C68" s="31">
        <v>2.968</v>
      </c>
      <c r="D68" s="5">
        <v>37165</v>
      </c>
      <c r="E68" s="32">
        <v>2.7104761904762</v>
      </c>
      <c r="F68" s="5">
        <v>37165</v>
      </c>
      <c r="G68" s="73">
        <v>0.91139999999999688</v>
      </c>
      <c r="H68" s="2"/>
      <c r="I68" s="2"/>
      <c r="J68" s="2"/>
      <c r="K68" s="2"/>
      <c r="L68" s="2"/>
      <c r="M68" s="2"/>
      <c r="N68" s="2"/>
      <c r="O68" s="27"/>
    </row>
    <row r="69" spans="2:15" x14ac:dyDescent="0.2">
      <c r="B69" s="29" t="s">
        <v>7</v>
      </c>
      <c r="C69" s="31">
        <v>3.6106666666666705</v>
      </c>
      <c r="D69" s="5">
        <v>37196</v>
      </c>
      <c r="E69" s="32">
        <v>4.1604761904761887</v>
      </c>
      <c r="F69" s="5">
        <v>37196</v>
      </c>
      <c r="G69" s="73">
        <v>0.6553999999999931</v>
      </c>
      <c r="H69" s="2"/>
      <c r="I69" s="2"/>
      <c r="J69" s="2"/>
      <c r="K69" s="2"/>
      <c r="L69" s="2"/>
      <c r="M69" s="2"/>
      <c r="N69" s="2"/>
      <c r="O69" s="27"/>
    </row>
    <row r="70" spans="2:15" x14ac:dyDescent="0.2">
      <c r="B70" s="29" t="s">
        <v>8</v>
      </c>
      <c r="C70" s="31">
        <v>4.2639999999999993</v>
      </c>
      <c r="D70" s="5">
        <v>37226</v>
      </c>
      <c r="E70" s="32">
        <v>5.3890476190476022</v>
      </c>
      <c r="F70" s="5">
        <v>37226</v>
      </c>
      <c r="G70" s="73">
        <v>0.55039999999999623</v>
      </c>
      <c r="H70" s="2"/>
      <c r="I70" s="2"/>
      <c r="J70" s="2"/>
      <c r="K70" s="2"/>
      <c r="L70" s="2"/>
      <c r="M70" s="2"/>
      <c r="N70" s="2"/>
      <c r="O70" s="27"/>
    </row>
    <row r="71" spans="2:15" x14ac:dyDescent="0.2">
      <c r="B71" s="29" t="s">
        <v>9</v>
      </c>
      <c r="C71" s="31">
        <v>4.8643333333333381</v>
      </c>
      <c r="D71" s="5">
        <v>37257</v>
      </c>
      <c r="E71" s="32">
        <v>3.510476190476183</v>
      </c>
      <c r="F71" s="5">
        <v>37257</v>
      </c>
      <c r="G71" s="73">
        <v>-1.4110000000000014</v>
      </c>
      <c r="H71" s="2"/>
      <c r="I71" s="2"/>
      <c r="J71" s="2"/>
      <c r="K71" s="2"/>
      <c r="L71" s="2"/>
      <c r="M71" s="2"/>
      <c r="N71" s="2"/>
      <c r="O71" s="27"/>
    </row>
    <row r="72" spans="2:15" x14ac:dyDescent="0.2">
      <c r="B72" s="29" t="s">
        <v>10</v>
      </c>
      <c r="C72" s="31">
        <v>5.0223333333333393</v>
      </c>
      <c r="D72" s="5">
        <v>37288</v>
      </c>
      <c r="E72" s="32">
        <v>1.7904761904761841</v>
      </c>
      <c r="F72" s="5">
        <v>37288</v>
      </c>
      <c r="G72" s="73">
        <v>-0.88180000000000547</v>
      </c>
      <c r="H72" s="2"/>
      <c r="I72" s="2"/>
      <c r="J72" s="2"/>
      <c r="K72" s="2"/>
      <c r="L72" s="2"/>
      <c r="M72" s="2"/>
      <c r="N72" s="2"/>
      <c r="O72" s="27"/>
    </row>
    <row r="73" spans="2:15" x14ac:dyDescent="0.2">
      <c r="B73" s="29" t="s">
        <v>11</v>
      </c>
      <c r="C73" s="31">
        <v>4.4703333333333326</v>
      </c>
      <c r="D73" s="5">
        <v>37316</v>
      </c>
      <c r="E73" s="32">
        <v>5.3004761904761892</v>
      </c>
      <c r="F73" s="5">
        <v>37316</v>
      </c>
      <c r="G73" s="73">
        <v>-0.98679999999999524</v>
      </c>
      <c r="H73" s="2"/>
      <c r="I73" s="2"/>
      <c r="J73" s="2"/>
      <c r="K73" s="2"/>
      <c r="L73" s="2"/>
      <c r="M73" s="2"/>
      <c r="N73" s="2"/>
      <c r="O73" s="27"/>
    </row>
    <row r="74" spans="2:15" x14ac:dyDescent="0.2">
      <c r="B74" s="29"/>
      <c r="C74" s="33"/>
      <c r="D74" s="23"/>
      <c r="E74" s="33"/>
      <c r="F74" s="23"/>
      <c r="G74" s="74"/>
      <c r="H74" s="2"/>
      <c r="I74" s="2"/>
      <c r="J74" s="2"/>
      <c r="K74" s="2"/>
      <c r="L74" s="2"/>
      <c r="M74" s="2"/>
      <c r="N74" s="2"/>
      <c r="O74" s="27"/>
    </row>
    <row r="75" spans="2:15" x14ac:dyDescent="0.2">
      <c r="B75" s="29" t="s">
        <v>12</v>
      </c>
      <c r="C75" s="31">
        <v>3.6142222222222244</v>
      </c>
      <c r="D75" s="23" t="s">
        <v>98</v>
      </c>
      <c r="E75" s="32">
        <v>4.0866666666666731</v>
      </c>
      <c r="F75" s="23" t="s">
        <v>98</v>
      </c>
      <c r="G75" s="73">
        <v>0.23328888888888244</v>
      </c>
      <c r="H75" s="2"/>
      <c r="I75" s="2"/>
      <c r="J75" s="2"/>
      <c r="K75" s="2"/>
      <c r="L75" s="2"/>
      <c r="M75" s="2"/>
      <c r="N75" s="2"/>
      <c r="O75" s="27"/>
    </row>
    <row r="76" spans="2:15" x14ac:dyDescent="0.2">
      <c r="B76" s="29" t="s">
        <v>13</v>
      </c>
      <c r="C76" s="31">
        <v>4.7856666666666641</v>
      </c>
      <c r="D76" s="23" t="s">
        <v>99</v>
      </c>
      <c r="E76" s="32">
        <v>3.5338095238095235</v>
      </c>
      <c r="F76" s="23" t="s">
        <v>99</v>
      </c>
      <c r="G76" s="73">
        <v>0.15865714285714105</v>
      </c>
      <c r="H76" s="2"/>
      <c r="I76" s="2"/>
      <c r="J76" s="2"/>
      <c r="K76" s="2"/>
      <c r="L76" s="2"/>
      <c r="M76" s="2"/>
      <c r="N76" s="2"/>
      <c r="O76" s="27"/>
    </row>
    <row r="77" spans="2:15" x14ac:dyDescent="0.2">
      <c r="B77" s="29" t="s">
        <v>14</v>
      </c>
      <c r="C77" s="31">
        <v>3.3010000000000019</v>
      </c>
      <c r="D77" s="23" t="s">
        <v>100</v>
      </c>
      <c r="E77" s="32">
        <v>3.4504761904761807</v>
      </c>
      <c r="F77" s="23" t="s">
        <v>100</v>
      </c>
      <c r="G77" s="73">
        <v>-0.61127619047618253</v>
      </c>
      <c r="H77" s="2"/>
      <c r="I77" s="2"/>
      <c r="J77" s="2"/>
      <c r="K77" s="2"/>
      <c r="L77" s="2"/>
      <c r="M77" s="2"/>
      <c r="N77" s="2"/>
      <c r="O77" s="27"/>
    </row>
    <row r="78" spans="2:15" x14ac:dyDescent="0.2">
      <c r="B78" s="29" t="s">
        <v>15</v>
      </c>
      <c r="C78" s="31">
        <v>3.5767777777777781</v>
      </c>
      <c r="D78" s="23" t="s">
        <v>101</v>
      </c>
      <c r="E78" s="32">
        <v>2.1004761904761864</v>
      </c>
      <c r="F78" s="23" t="s">
        <v>101</v>
      </c>
      <c r="G78" s="73">
        <v>1.6235015873015861</v>
      </c>
      <c r="H78" s="2"/>
      <c r="I78" s="2"/>
      <c r="J78" s="2"/>
      <c r="K78" s="2"/>
      <c r="L78" s="2"/>
      <c r="M78" s="2"/>
      <c r="N78" s="2"/>
      <c r="O78" s="27"/>
    </row>
    <row r="79" spans="2:15" x14ac:dyDescent="0.2">
      <c r="B79" s="29" t="s">
        <v>16</v>
      </c>
      <c r="C79" s="31">
        <v>4.8040000000000056</v>
      </c>
      <c r="D79" s="23" t="s">
        <v>102</v>
      </c>
      <c r="E79" s="32">
        <v>3.2504761904761921</v>
      </c>
      <c r="F79" s="23" t="s">
        <v>102</v>
      </c>
      <c r="G79" s="73">
        <v>1.7217238095238159</v>
      </c>
      <c r="H79" s="2"/>
      <c r="I79" s="2"/>
      <c r="J79" s="2"/>
      <c r="K79" s="2"/>
      <c r="L79" s="2"/>
      <c r="M79" s="2"/>
      <c r="N79" s="2"/>
      <c r="O79" s="27"/>
    </row>
    <row r="80" spans="2:15" x14ac:dyDescent="0.2">
      <c r="B80" s="29"/>
      <c r="C80" s="33"/>
      <c r="D80" s="23"/>
      <c r="E80" s="33"/>
      <c r="F80" s="23"/>
      <c r="G80" s="74"/>
      <c r="H80" s="2"/>
      <c r="I80" s="2"/>
      <c r="J80" s="2"/>
      <c r="K80" s="2"/>
      <c r="L80" s="2"/>
      <c r="M80" s="2"/>
      <c r="N80" s="2"/>
      <c r="O80" s="27"/>
    </row>
    <row r="81" spans="2:15" x14ac:dyDescent="0.2">
      <c r="B81" s="29" t="s">
        <v>17</v>
      </c>
      <c r="C81" s="31">
        <v>4.1168611111111098</v>
      </c>
      <c r="D81" s="24">
        <v>2002</v>
      </c>
      <c r="E81" s="34">
        <v>3.0838095238095065</v>
      </c>
      <c r="F81" s="24">
        <v>2002</v>
      </c>
      <c r="G81" s="73">
        <v>-0.30989999999999895</v>
      </c>
      <c r="H81" s="2"/>
      <c r="I81" s="2"/>
      <c r="J81" s="2"/>
      <c r="K81" s="2"/>
      <c r="L81" s="2"/>
      <c r="M81" s="2"/>
      <c r="N81" s="2"/>
      <c r="O81" s="27"/>
    </row>
    <row r="82" spans="2:15" ht="13.5" thickBot="1" x14ac:dyDescent="0.25">
      <c r="B82" s="41"/>
      <c r="C82" s="42"/>
      <c r="D82" s="43"/>
      <c r="E82" s="42"/>
      <c r="F82" s="43"/>
      <c r="G82" s="80"/>
      <c r="H82" s="36"/>
      <c r="I82" s="36"/>
      <c r="J82" s="36"/>
      <c r="K82" s="36"/>
      <c r="L82" s="36"/>
      <c r="M82" s="36"/>
      <c r="N82" s="36"/>
      <c r="O82" s="37"/>
    </row>
  </sheetData>
  <mergeCells count="6">
    <mergeCell ref="C47:G47"/>
    <mergeCell ref="C28:M28"/>
    <mergeCell ref="B3:O3"/>
    <mergeCell ref="J47:N47"/>
    <mergeCell ref="K6:O6"/>
    <mergeCell ref="C6:H6"/>
  </mergeCells>
  <phoneticPr fontId="0" type="noConversion"/>
  <printOptions horizontalCentered="1" verticalCentered="1"/>
  <pageMargins left="0.75" right="0.75" top="1" bottom="1" header="0.5" footer="0.5"/>
  <pageSetup scale="46" orientation="landscape" r:id="rId1"/>
  <headerFooter alignWithMargins="0"/>
  <rowBreaks count="1" manualBreakCount="1">
    <brk id="26" max="1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G82"/>
  <sheetViews>
    <sheetView zoomScale="75" zoomScaleNormal="70" workbookViewId="0">
      <selection activeCell="C4" sqref="C4"/>
    </sheetView>
  </sheetViews>
  <sheetFormatPr defaultRowHeight="12.75" x14ac:dyDescent="0.2"/>
  <cols>
    <col min="2" max="2" width="16.28515625" customWidth="1"/>
    <col min="3" max="3" width="15.28515625" customWidth="1"/>
    <col min="4" max="4" width="14.140625" customWidth="1"/>
    <col min="5" max="5" width="13.7109375" customWidth="1"/>
    <col min="6" max="6" width="17.28515625" customWidth="1"/>
    <col min="7" max="7" width="13" customWidth="1"/>
    <col min="8" max="8" width="19" bestFit="1" customWidth="1"/>
    <col min="9" max="9" width="15" customWidth="1"/>
    <col min="10" max="10" width="14.5703125" customWidth="1"/>
    <col min="11" max="11" width="15.28515625" customWidth="1"/>
    <col min="12" max="12" width="15.42578125" customWidth="1"/>
    <col min="13" max="13" width="14.7109375" customWidth="1"/>
    <col min="14" max="15" width="13.42578125" bestFit="1" customWidth="1"/>
    <col min="16" max="16" width="13.7109375" customWidth="1"/>
    <col min="17" max="17" width="12.5703125" customWidth="1"/>
    <col min="18" max="18" width="15.28515625" bestFit="1" customWidth="1"/>
    <col min="19" max="19" width="11.85546875" customWidth="1"/>
    <col min="20" max="20" width="12" customWidth="1"/>
    <col min="21" max="21" width="11.7109375" customWidth="1"/>
    <col min="22" max="22" width="11.5703125" customWidth="1"/>
    <col min="23" max="23" width="11.7109375" bestFit="1" customWidth="1"/>
    <col min="24" max="24" width="9.28515625" bestFit="1" customWidth="1"/>
    <col min="25" max="25" width="11.7109375" bestFit="1" customWidth="1"/>
    <col min="26" max="26" width="12.140625" bestFit="1" customWidth="1"/>
    <col min="27" max="27" width="11.7109375" bestFit="1" customWidth="1"/>
    <col min="28" max="28" width="12.140625" bestFit="1" customWidth="1"/>
    <col min="29" max="29" width="3" customWidth="1"/>
  </cols>
  <sheetData>
    <row r="1" spans="1:30" ht="18" x14ac:dyDescent="0.25">
      <c r="A1" s="2"/>
      <c r="B1" s="16" t="s">
        <v>1</v>
      </c>
      <c r="C1" s="2"/>
      <c r="D1" s="2"/>
      <c r="E1" s="12">
        <v>100</v>
      </c>
      <c r="F1" s="12">
        <v>100</v>
      </c>
      <c r="G1" s="12">
        <v>100</v>
      </c>
      <c r="H1" s="9">
        <v>100</v>
      </c>
      <c r="I1" s="2"/>
      <c r="J1" s="2"/>
      <c r="L1" s="20">
        <v>100</v>
      </c>
      <c r="M1" s="2"/>
      <c r="N1" s="90"/>
      <c r="P1" s="17"/>
      <c r="Q1" s="2"/>
      <c r="R1" s="2"/>
      <c r="T1" s="2"/>
      <c r="U1" s="2"/>
      <c r="V1" s="2"/>
      <c r="X1" s="2"/>
      <c r="Y1" s="2"/>
      <c r="Z1" s="2"/>
      <c r="AA1" s="2"/>
    </row>
    <row r="2" spans="1:30" ht="13.5" thickBot="1" x14ac:dyDescent="0.25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30" ht="26.25" x14ac:dyDescent="0.4">
      <c r="A3" s="2"/>
      <c r="B3" s="136" t="s">
        <v>105</v>
      </c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43"/>
      <c r="P3" s="25"/>
      <c r="Q3" s="25"/>
      <c r="R3" s="25"/>
      <c r="S3" s="25"/>
      <c r="T3" s="25"/>
      <c r="U3" s="2"/>
      <c r="V3" s="2"/>
      <c r="W3" s="2"/>
      <c r="X3" s="2"/>
      <c r="Y3" s="2"/>
      <c r="Z3" s="2"/>
      <c r="AA3" s="2"/>
      <c r="AB3" s="2"/>
    </row>
    <row r="4" spans="1:30" x14ac:dyDescent="0.2">
      <c r="A4" s="2"/>
      <c r="B4" s="26" t="s">
        <v>5</v>
      </c>
      <c r="C4" s="2"/>
      <c r="D4" s="38">
        <f ca="1">TODAY()</f>
        <v>37195</v>
      </c>
      <c r="E4" s="2"/>
      <c r="F4" s="2"/>
      <c r="G4" s="2"/>
      <c r="H4" s="2"/>
      <c r="I4" s="2"/>
      <c r="J4" s="2"/>
      <c r="K4" s="2"/>
      <c r="L4" s="2"/>
      <c r="M4" s="2"/>
      <c r="N4" s="2"/>
      <c r="O4" s="27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30" x14ac:dyDescent="0.2">
      <c r="A5" s="2"/>
      <c r="B5" s="2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7"/>
      <c r="P5" s="2"/>
      <c r="Q5" s="2"/>
      <c r="R5" s="2"/>
      <c r="S5" s="18"/>
      <c r="T5" s="2"/>
      <c r="U5" s="2"/>
      <c r="V5" s="18"/>
      <c r="W5" s="2"/>
      <c r="X5" s="19"/>
      <c r="Y5" s="2"/>
      <c r="Z5" s="2"/>
      <c r="AA5" s="2"/>
      <c r="AB5" s="2"/>
    </row>
    <row r="6" spans="1:30" ht="15" x14ac:dyDescent="0.25">
      <c r="A6" s="2"/>
      <c r="B6" s="75"/>
      <c r="C6" s="86" t="s">
        <v>52</v>
      </c>
      <c r="D6" s="86"/>
      <c r="E6" s="86"/>
      <c r="F6" s="86"/>
      <c r="G6" s="86"/>
      <c r="H6" s="87"/>
      <c r="I6" s="2"/>
      <c r="J6" s="52"/>
      <c r="K6" s="88" t="s">
        <v>59</v>
      </c>
      <c r="L6" s="88"/>
      <c r="M6" s="88"/>
      <c r="N6" s="88"/>
      <c r="O6" s="89"/>
      <c r="P6" s="2"/>
      <c r="Q6" s="2"/>
      <c r="R6" s="2"/>
      <c r="S6" s="2"/>
      <c r="T6" s="2"/>
      <c r="W6" s="2"/>
      <c r="AA6" s="2"/>
      <c r="AB6" s="2"/>
    </row>
    <row r="7" spans="1:30" x14ac:dyDescent="0.2">
      <c r="A7" s="2"/>
      <c r="B7" s="28"/>
      <c r="C7" s="3" t="s">
        <v>51</v>
      </c>
      <c r="D7" s="3" t="s">
        <v>58</v>
      </c>
      <c r="E7" s="3" t="s">
        <v>0</v>
      </c>
      <c r="F7" s="3" t="s">
        <v>45</v>
      </c>
      <c r="G7" s="3" t="s">
        <v>50</v>
      </c>
      <c r="H7" s="44" t="s">
        <v>53</v>
      </c>
      <c r="I7" s="2"/>
      <c r="J7" s="53"/>
      <c r="K7" s="3" t="s">
        <v>43</v>
      </c>
      <c r="L7" s="3" t="s">
        <v>44</v>
      </c>
      <c r="M7" s="3" t="s">
        <v>42</v>
      </c>
      <c r="N7" s="3" t="s">
        <v>40</v>
      </c>
      <c r="O7" s="39" t="s">
        <v>41</v>
      </c>
      <c r="P7" s="2"/>
      <c r="Q7" s="2"/>
      <c r="R7" s="2"/>
      <c r="S7" s="2"/>
      <c r="T7" s="2"/>
      <c r="W7" s="2"/>
      <c r="AA7" s="2"/>
      <c r="AB7" s="7"/>
      <c r="AC7" s="1"/>
      <c r="AD7" s="1"/>
    </row>
    <row r="8" spans="1:30" x14ac:dyDescent="0.2">
      <c r="A8" s="2"/>
      <c r="B8" s="29">
        <v>37165</v>
      </c>
      <c r="C8" s="11">
        <v>27.73</v>
      </c>
      <c r="D8" s="11"/>
      <c r="E8" s="12">
        <v>79.5</v>
      </c>
      <c r="F8" s="12">
        <v>75.150000000000006</v>
      </c>
      <c r="G8" s="12">
        <v>44.25</v>
      </c>
      <c r="H8" s="46">
        <v>35.5</v>
      </c>
      <c r="I8" s="2"/>
      <c r="J8" s="45">
        <v>37165</v>
      </c>
      <c r="K8" s="20">
        <v>74.430952380952391</v>
      </c>
      <c r="L8" s="20">
        <v>72.36904761904762</v>
      </c>
      <c r="M8" s="20">
        <v>75.469047619047629</v>
      </c>
      <c r="N8" s="21">
        <v>20.95</v>
      </c>
      <c r="O8" s="40">
        <v>20</v>
      </c>
      <c r="P8" s="2"/>
      <c r="Q8" s="2"/>
      <c r="R8" s="18"/>
      <c r="S8" s="2"/>
      <c r="T8" s="18"/>
      <c r="W8" s="2"/>
      <c r="AA8" s="2"/>
      <c r="AB8" s="7"/>
      <c r="AC8" s="1"/>
      <c r="AD8" s="1"/>
    </row>
    <row r="9" spans="1:30" x14ac:dyDescent="0.2">
      <c r="A9" s="2"/>
      <c r="B9" s="29">
        <v>37196</v>
      </c>
      <c r="C9" s="11">
        <v>28.12</v>
      </c>
      <c r="D9" s="11">
        <v>27.29</v>
      </c>
      <c r="E9" s="12">
        <v>77.5</v>
      </c>
      <c r="F9" s="12">
        <v>76.150000000000006</v>
      </c>
      <c r="G9" s="12">
        <v>44.75</v>
      </c>
      <c r="H9" s="46">
        <v>35.75</v>
      </c>
      <c r="I9" s="2"/>
      <c r="J9" s="45">
        <v>37196</v>
      </c>
      <c r="K9" s="20">
        <v>75.969047619047615</v>
      </c>
      <c r="L9" s="20">
        <v>72.269047619047626</v>
      </c>
      <c r="M9" s="20">
        <v>76.86904761904762</v>
      </c>
      <c r="N9" s="21">
        <v>21.1</v>
      </c>
      <c r="O9" s="40">
        <v>19.7</v>
      </c>
      <c r="P9" s="2"/>
      <c r="Q9" s="2"/>
      <c r="R9" s="18"/>
      <c r="S9" s="2"/>
      <c r="T9" s="18"/>
      <c r="W9" s="2"/>
      <c r="AA9" s="2"/>
      <c r="AB9" s="7"/>
      <c r="AC9" s="1"/>
      <c r="AD9" s="1"/>
    </row>
    <row r="10" spans="1:30" x14ac:dyDescent="0.2">
      <c r="A10" s="2"/>
      <c r="B10" s="29">
        <v>37226</v>
      </c>
      <c r="C10" s="11">
        <v>28.18</v>
      </c>
      <c r="D10" s="11">
        <v>27</v>
      </c>
      <c r="E10" s="12">
        <v>76.400000000000006</v>
      </c>
      <c r="F10" s="12">
        <v>76.849999999999994</v>
      </c>
      <c r="G10" s="12">
        <v>45.25</v>
      </c>
      <c r="H10" s="46">
        <v>35.75</v>
      </c>
      <c r="I10" s="2"/>
      <c r="J10" s="45">
        <v>37226</v>
      </c>
      <c r="K10" s="20">
        <v>76.86904761904762</v>
      </c>
      <c r="L10" s="20">
        <v>71.840476190476195</v>
      </c>
      <c r="M10" s="20">
        <v>76.969047619047615</v>
      </c>
      <c r="N10" s="21">
        <v>21.25</v>
      </c>
      <c r="O10" s="40">
        <v>19.399999999999999</v>
      </c>
      <c r="P10" s="2"/>
      <c r="Q10" s="2"/>
      <c r="R10" s="18"/>
      <c r="S10" s="2"/>
      <c r="T10" s="18"/>
      <c r="W10" s="2"/>
      <c r="AA10" s="2"/>
      <c r="AB10" s="7"/>
      <c r="AC10" s="1"/>
      <c r="AD10" s="1"/>
    </row>
    <row r="11" spans="1:30" x14ac:dyDescent="0.2">
      <c r="A11" s="2"/>
      <c r="B11" s="29">
        <v>37257</v>
      </c>
      <c r="C11" s="11">
        <v>27.87</v>
      </c>
      <c r="D11" s="11">
        <v>26.81</v>
      </c>
      <c r="E11" s="12">
        <v>75.8</v>
      </c>
      <c r="F11" s="12">
        <v>77.7</v>
      </c>
      <c r="G11" s="12">
        <v>46</v>
      </c>
      <c r="H11" s="46">
        <v>36.75</v>
      </c>
      <c r="I11" s="2"/>
      <c r="J11" s="45">
        <v>37257</v>
      </c>
      <c r="K11" s="20">
        <v>77.519047619047626</v>
      </c>
      <c r="L11" s="20">
        <v>74.069047619047623</v>
      </c>
      <c r="M11" s="20">
        <v>79.169047619047632</v>
      </c>
      <c r="N11" s="21">
        <v>21.35</v>
      </c>
      <c r="O11" s="40">
        <v>19.149999999999999</v>
      </c>
      <c r="P11" s="2"/>
      <c r="Q11" s="2"/>
      <c r="R11" s="18"/>
      <c r="S11" s="2"/>
      <c r="T11" s="18"/>
      <c r="W11" s="2"/>
      <c r="AA11" s="2"/>
      <c r="AB11" s="7"/>
      <c r="AC11" s="1"/>
      <c r="AD11" s="1"/>
    </row>
    <row r="12" spans="1:30" x14ac:dyDescent="0.2">
      <c r="A12" s="2"/>
      <c r="B12" s="29">
        <v>37288</v>
      </c>
      <c r="C12" s="11">
        <v>27.42</v>
      </c>
      <c r="D12" s="11">
        <v>26.44</v>
      </c>
      <c r="E12" s="12">
        <v>76.05</v>
      </c>
      <c r="F12" s="12">
        <v>77</v>
      </c>
      <c r="G12" s="12">
        <v>45.25</v>
      </c>
      <c r="H12" s="46">
        <v>35.5</v>
      </c>
      <c r="I12" s="2"/>
      <c r="J12" s="45">
        <v>37288</v>
      </c>
      <c r="K12" s="20">
        <v>77.019047619047626</v>
      </c>
      <c r="L12" s="20">
        <v>71.169047619047618</v>
      </c>
      <c r="M12" s="20">
        <v>76.269047619047626</v>
      </c>
      <c r="N12" s="21">
        <v>21.25</v>
      </c>
      <c r="O12" s="40">
        <v>18.95</v>
      </c>
      <c r="P12" s="2"/>
      <c r="Q12" s="2"/>
      <c r="R12" s="18"/>
      <c r="S12" s="2"/>
      <c r="T12" s="18"/>
      <c r="W12" s="2"/>
      <c r="AA12" s="2"/>
      <c r="AB12" s="7"/>
      <c r="AC12" s="1"/>
      <c r="AD12" s="1"/>
    </row>
    <row r="13" spans="1:30" x14ac:dyDescent="0.2">
      <c r="A13" s="2"/>
      <c r="B13" s="29">
        <v>37316</v>
      </c>
      <c r="C13" s="11">
        <v>26.97</v>
      </c>
      <c r="D13" s="11">
        <v>26.07</v>
      </c>
      <c r="E13" s="12">
        <v>76.599999999999994</v>
      </c>
      <c r="F13" s="12">
        <v>74.099999999999994</v>
      </c>
      <c r="G13" s="12">
        <v>43.75</v>
      </c>
      <c r="H13" s="46">
        <v>35.25</v>
      </c>
      <c r="I13" s="2"/>
      <c r="J13" s="45">
        <v>37316</v>
      </c>
      <c r="K13" s="20">
        <v>74.11904761904762</v>
      </c>
      <c r="L13" s="20">
        <v>68.469047619047615</v>
      </c>
      <c r="M13" s="20">
        <v>73.569047619047623</v>
      </c>
      <c r="N13" s="21">
        <v>21.15</v>
      </c>
      <c r="O13" s="40">
        <v>18.75</v>
      </c>
      <c r="P13" s="2"/>
      <c r="Q13" s="2"/>
      <c r="R13" s="18"/>
      <c r="S13" s="2"/>
      <c r="T13" s="18"/>
      <c r="W13" s="2"/>
      <c r="AA13" s="2"/>
      <c r="AB13" s="7"/>
      <c r="AC13" s="1"/>
      <c r="AD13" s="1"/>
    </row>
    <row r="14" spans="1:30" x14ac:dyDescent="0.2">
      <c r="A14" s="2"/>
      <c r="B14" s="29">
        <v>37347</v>
      </c>
      <c r="C14" s="11">
        <v>26.52</v>
      </c>
      <c r="D14" s="11">
        <v>25.74</v>
      </c>
      <c r="E14" s="12">
        <v>82.53</v>
      </c>
      <c r="F14" s="12">
        <v>71.09</v>
      </c>
      <c r="G14" s="12">
        <v>42.85</v>
      </c>
      <c r="H14" s="46">
        <v>34.4</v>
      </c>
      <c r="I14" s="2"/>
      <c r="J14" s="45">
        <v>37347</v>
      </c>
      <c r="K14" s="20">
        <v>71.419047619047632</v>
      </c>
      <c r="L14" s="20">
        <v>66.669047619047618</v>
      </c>
      <c r="M14" s="20">
        <v>70.569047619047637</v>
      </c>
      <c r="N14" s="21">
        <v>20.95</v>
      </c>
      <c r="O14" s="40">
        <v>18.55</v>
      </c>
      <c r="P14" s="2"/>
      <c r="Q14" s="2"/>
      <c r="R14" s="18"/>
      <c r="S14" s="2"/>
      <c r="T14" s="18"/>
      <c r="W14" s="2"/>
      <c r="AA14" s="2"/>
      <c r="AB14" s="7"/>
      <c r="AC14" s="1"/>
      <c r="AD14" s="1"/>
    </row>
    <row r="15" spans="1:30" x14ac:dyDescent="0.2">
      <c r="A15" s="2"/>
      <c r="B15" s="29">
        <v>37377</v>
      </c>
      <c r="C15" s="11">
        <v>26.07</v>
      </c>
      <c r="D15" s="11">
        <v>25.43</v>
      </c>
      <c r="E15" s="12">
        <v>82.48</v>
      </c>
      <c r="F15" s="12">
        <v>69.02</v>
      </c>
      <c r="G15" s="12">
        <v>42.85</v>
      </c>
      <c r="H15" s="46">
        <v>34.4</v>
      </c>
      <c r="I15" s="2"/>
      <c r="J15" s="45">
        <v>37377</v>
      </c>
      <c r="K15" s="20">
        <v>69.019047619047626</v>
      </c>
      <c r="L15" s="20">
        <v>65.61904761904762</v>
      </c>
      <c r="M15" s="20">
        <v>69.519047619047626</v>
      </c>
      <c r="N15" s="21">
        <v>20.75</v>
      </c>
      <c r="O15" s="40">
        <v>18.3</v>
      </c>
      <c r="P15" s="2"/>
      <c r="Q15" s="2"/>
      <c r="R15" s="18"/>
      <c r="S15" s="2"/>
      <c r="T15" s="18"/>
      <c r="W15" s="2"/>
      <c r="AA15" s="2"/>
      <c r="AB15" s="7"/>
      <c r="AC15" s="1"/>
      <c r="AD15" s="1"/>
    </row>
    <row r="16" spans="1:30" x14ac:dyDescent="0.2">
      <c r="A16" s="2"/>
      <c r="B16" s="29">
        <v>37408</v>
      </c>
      <c r="C16" s="11">
        <v>26.15</v>
      </c>
      <c r="D16" s="11">
        <v>25.12</v>
      </c>
      <c r="E16" s="12">
        <v>81.58</v>
      </c>
      <c r="F16" s="12">
        <v>63.5</v>
      </c>
      <c r="G16" s="12">
        <v>42.85</v>
      </c>
      <c r="H16" s="46">
        <v>34.4</v>
      </c>
      <c r="I16" s="2"/>
      <c r="J16" s="45">
        <v>37408</v>
      </c>
      <c r="K16" s="20">
        <v>67.969047619047615</v>
      </c>
      <c r="L16" s="20">
        <v>65.469047619047615</v>
      </c>
      <c r="M16" s="20">
        <v>69.36904761904762</v>
      </c>
      <c r="N16" s="21">
        <v>20.65</v>
      </c>
      <c r="O16" s="40">
        <v>18.05</v>
      </c>
      <c r="P16" s="2"/>
      <c r="Q16" s="2"/>
      <c r="R16" s="18"/>
      <c r="S16" s="2"/>
      <c r="T16" s="18"/>
      <c r="W16" s="2"/>
      <c r="AA16" s="2"/>
      <c r="AB16" s="7"/>
      <c r="AC16" s="1"/>
      <c r="AD16" s="1"/>
    </row>
    <row r="17" spans="1:33" x14ac:dyDescent="0.2">
      <c r="A17" s="2"/>
      <c r="B17" s="29">
        <v>37438</v>
      </c>
      <c r="C17" s="11">
        <v>25.81</v>
      </c>
      <c r="D17" s="11">
        <v>24.83</v>
      </c>
      <c r="E17" s="12">
        <v>80.08</v>
      </c>
      <c r="F17" s="12">
        <v>67.819999999999993</v>
      </c>
      <c r="G17" s="12">
        <v>42.85</v>
      </c>
      <c r="H17" s="46">
        <v>34.75</v>
      </c>
      <c r="I17" s="2"/>
      <c r="J17" s="45">
        <v>37438</v>
      </c>
      <c r="K17" s="20">
        <v>67.819047619047623</v>
      </c>
      <c r="L17" s="20">
        <v>65.519047619047626</v>
      </c>
      <c r="M17" s="20">
        <v>70.219047619047629</v>
      </c>
      <c r="N17" s="21">
        <v>20.795000000000002</v>
      </c>
      <c r="O17" s="40">
        <v>18.245000000000001</v>
      </c>
      <c r="P17" s="2"/>
      <c r="Q17" s="2"/>
      <c r="R17" s="18"/>
      <c r="S17" s="2"/>
      <c r="T17" s="18"/>
      <c r="W17" s="2"/>
      <c r="AA17" s="2"/>
      <c r="AB17" s="7"/>
      <c r="AC17" s="1"/>
      <c r="AD17" s="1"/>
    </row>
    <row r="18" spans="1:33" x14ac:dyDescent="0.2">
      <c r="A18" s="2"/>
      <c r="B18" s="29">
        <v>37469</v>
      </c>
      <c r="C18" s="11">
        <v>25.49</v>
      </c>
      <c r="D18" s="11">
        <v>24.56</v>
      </c>
      <c r="E18" s="12">
        <v>77.97</v>
      </c>
      <c r="F18" s="12">
        <v>67.97</v>
      </c>
      <c r="G18" s="12"/>
      <c r="H18" s="46"/>
      <c r="I18" s="2"/>
      <c r="J18" s="45">
        <v>37469</v>
      </c>
      <c r="K18" s="20">
        <v>67.969047619047615</v>
      </c>
      <c r="L18" s="20">
        <v>65.969047619047615</v>
      </c>
      <c r="M18" s="20">
        <v>70.669047619047618</v>
      </c>
      <c r="N18" s="21">
        <v>20.488</v>
      </c>
      <c r="O18" s="40">
        <v>17.938000000000002</v>
      </c>
      <c r="P18" s="2"/>
      <c r="Q18" s="2"/>
      <c r="R18" s="18"/>
      <c r="S18" s="2"/>
      <c r="T18" s="18"/>
      <c r="W18" s="2"/>
      <c r="AA18" s="2"/>
      <c r="AB18" s="7"/>
      <c r="AC18" s="7"/>
      <c r="AD18" s="1"/>
      <c r="AE18" s="1"/>
    </row>
    <row r="19" spans="1:33" x14ac:dyDescent="0.2">
      <c r="A19" s="2"/>
      <c r="B19" s="29">
        <v>37500</v>
      </c>
      <c r="C19" s="11">
        <v>25.19</v>
      </c>
      <c r="D19" s="11">
        <v>24.31</v>
      </c>
      <c r="E19" s="12">
        <v>75.47</v>
      </c>
      <c r="F19" s="12">
        <v>68.42</v>
      </c>
      <c r="G19" s="12"/>
      <c r="H19" s="46"/>
      <c r="I19" s="2"/>
      <c r="J19" s="45">
        <v>37500</v>
      </c>
      <c r="K19" s="20">
        <v>68.419047619047618</v>
      </c>
      <c r="L19" s="20">
        <v>66.419047619047618</v>
      </c>
      <c r="M19" s="20">
        <v>71.11904761904762</v>
      </c>
      <c r="N19" s="21">
        <v>20.239000000000001</v>
      </c>
      <c r="O19" s="40">
        <v>17.689</v>
      </c>
      <c r="P19" s="2"/>
      <c r="Q19" s="2"/>
      <c r="R19" s="18"/>
      <c r="S19" s="2"/>
      <c r="T19" s="18"/>
      <c r="W19" s="2"/>
      <c r="AA19" s="2"/>
      <c r="AB19" s="7"/>
      <c r="AC19" s="7"/>
      <c r="AD19" s="1"/>
      <c r="AE19" s="1"/>
    </row>
    <row r="20" spans="1:33" x14ac:dyDescent="0.2">
      <c r="A20" s="2"/>
      <c r="B20" s="29">
        <v>37530</v>
      </c>
      <c r="C20" s="11">
        <v>24.91</v>
      </c>
      <c r="D20" s="11">
        <v>24.08</v>
      </c>
      <c r="E20" s="12"/>
      <c r="F20" s="12">
        <v>68.87</v>
      </c>
      <c r="G20" s="12"/>
      <c r="H20" s="46"/>
      <c r="I20" s="2"/>
      <c r="J20" s="45">
        <v>37530</v>
      </c>
      <c r="K20" s="20">
        <v>68.86904761904762</v>
      </c>
      <c r="L20" s="20">
        <v>65.669047619047632</v>
      </c>
      <c r="M20" s="20">
        <v>71.11904761904762</v>
      </c>
      <c r="N20" s="21">
        <v>19.993000000000002</v>
      </c>
      <c r="O20" s="40">
        <v>17.443000000000001</v>
      </c>
      <c r="P20" s="2"/>
      <c r="Q20" s="2"/>
      <c r="R20" s="18"/>
      <c r="S20" s="2"/>
      <c r="T20" s="18"/>
      <c r="W20" s="2"/>
      <c r="AA20" s="2"/>
      <c r="AB20" s="7"/>
      <c r="AC20" s="7"/>
      <c r="AD20" s="1"/>
      <c r="AE20" s="1"/>
    </row>
    <row r="21" spans="1:33" x14ac:dyDescent="0.2">
      <c r="A21" s="2"/>
      <c r="B21" s="29">
        <v>37561</v>
      </c>
      <c r="C21" s="11">
        <v>24.66</v>
      </c>
      <c r="D21" s="11">
        <v>23.87</v>
      </c>
      <c r="E21" s="12"/>
      <c r="F21" s="12">
        <v>69.319999999999993</v>
      </c>
      <c r="G21" s="12"/>
      <c r="H21" s="46"/>
      <c r="I21" s="2"/>
      <c r="J21" s="45">
        <v>37561</v>
      </c>
      <c r="K21" s="20">
        <v>69.319047619047623</v>
      </c>
      <c r="L21" s="20">
        <v>66.11904761904762</v>
      </c>
      <c r="M21" s="20">
        <v>71.569047619047623</v>
      </c>
      <c r="N21" s="21">
        <v>19.777000000000001</v>
      </c>
      <c r="O21" s="40">
        <v>17.227</v>
      </c>
      <c r="P21" s="2"/>
      <c r="Q21" s="2"/>
      <c r="R21" s="18"/>
      <c r="S21" s="2"/>
      <c r="T21" s="18"/>
      <c r="W21" s="2"/>
      <c r="AA21" s="2"/>
      <c r="AB21" s="7"/>
      <c r="AC21" s="7"/>
      <c r="AD21" s="1"/>
      <c r="AE21" s="1"/>
    </row>
    <row r="22" spans="1:33" x14ac:dyDescent="0.2">
      <c r="A22" s="2"/>
      <c r="B22" s="29">
        <v>37591</v>
      </c>
      <c r="C22" s="11">
        <v>24.55</v>
      </c>
      <c r="D22" s="11">
        <v>23.68</v>
      </c>
      <c r="E22" s="12"/>
      <c r="F22" s="12">
        <v>69.77</v>
      </c>
      <c r="G22" s="12"/>
      <c r="H22" s="46"/>
      <c r="I22" s="2"/>
      <c r="J22" s="45">
        <v>37591</v>
      </c>
      <c r="K22" s="20">
        <v>69.769047619047626</v>
      </c>
      <c r="L22" s="20">
        <v>66.419047619047618</v>
      </c>
      <c r="M22" s="20">
        <v>71.86904761904762</v>
      </c>
      <c r="N22" s="21">
        <v>19.599</v>
      </c>
      <c r="O22" s="40">
        <v>17.048999999999999</v>
      </c>
      <c r="P22" s="2"/>
      <c r="Q22" s="2"/>
      <c r="R22" s="18"/>
      <c r="S22" s="2"/>
      <c r="T22" s="18"/>
      <c r="W22" s="2"/>
      <c r="AA22" s="2"/>
      <c r="AB22" s="7"/>
      <c r="AC22" s="7"/>
      <c r="AD22" s="1"/>
      <c r="AE22" s="1"/>
    </row>
    <row r="23" spans="1:33" x14ac:dyDescent="0.2">
      <c r="A23" s="2"/>
      <c r="B23" s="29">
        <v>37622</v>
      </c>
      <c r="C23" s="11">
        <v>24.25</v>
      </c>
      <c r="D23" s="13"/>
      <c r="E23" s="12"/>
      <c r="F23" s="12">
        <v>70.069999999999993</v>
      </c>
      <c r="G23" s="12"/>
      <c r="H23" s="46"/>
      <c r="I23" s="2"/>
      <c r="J23" s="45">
        <v>37622</v>
      </c>
      <c r="K23" s="20">
        <v>70.069047619047623</v>
      </c>
      <c r="L23" s="20">
        <v>66.469047619047629</v>
      </c>
      <c r="M23" s="20">
        <v>72.569047619047623</v>
      </c>
      <c r="N23" s="21">
        <v>20</v>
      </c>
      <c r="O23" s="40">
        <v>16.95</v>
      </c>
      <c r="P23" s="2"/>
      <c r="Q23" s="2"/>
      <c r="R23" s="18"/>
      <c r="S23" s="2"/>
      <c r="T23" s="18"/>
      <c r="W23" s="2"/>
      <c r="AA23" s="2"/>
      <c r="AB23" s="7"/>
      <c r="AC23" s="7"/>
      <c r="AD23" s="1"/>
      <c r="AE23" s="1"/>
    </row>
    <row r="24" spans="1:33" x14ac:dyDescent="0.2">
      <c r="A24" s="2"/>
      <c r="B24" s="29">
        <v>37653</v>
      </c>
      <c r="C24" s="11">
        <v>24.07</v>
      </c>
      <c r="D24" s="13"/>
      <c r="E24" s="12"/>
      <c r="F24" s="12">
        <v>69.569999999999993</v>
      </c>
      <c r="G24" s="12"/>
      <c r="H24" s="12"/>
      <c r="I24" s="2"/>
      <c r="J24" s="45">
        <v>37653</v>
      </c>
      <c r="K24" s="20">
        <v>69.569047619047623</v>
      </c>
      <c r="L24" s="20">
        <v>68</v>
      </c>
      <c r="M24" s="20">
        <v>74.099999999999994</v>
      </c>
      <c r="N24" s="21">
        <v>19.855</v>
      </c>
      <c r="O24" s="40">
        <v>16.805</v>
      </c>
      <c r="P24" s="2"/>
      <c r="Q24" s="2"/>
      <c r="R24" s="18"/>
      <c r="S24" s="2"/>
      <c r="T24" s="18"/>
      <c r="W24" s="2"/>
      <c r="AA24" s="2"/>
      <c r="AB24" s="7"/>
      <c r="AC24" s="7"/>
      <c r="AD24" s="1"/>
      <c r="AE24" s="1"/>
    </row>
    <row r="25" spans="1:33" x14ac:dyDescent="0.2">
      <c r="A25" s="2"/>
      <c r="B25" s="29">
        <v>37681</v>
      </c>
      <c r="C25" s="11">
        <v>23.9</v>
      </c>
      <c r="D25" s="13"/>
      <c r="E25" s="12"/>
      <c r="F25" s="12">
        <v>67.819999999999993</v>
      </c>
      <c r="G25" s="12"/>
      <c r="H25" s="12"/>
      <c r="I25" s="2"/>
      <c r="J25" s="47">
        <v>37681</v>
      </c>
      <c r="K25" s="91">
        <v>71.099999999999994</v>
      </c>
      <c r="L25" s="91">
        <v>61.919047619047618</v>
      </c>
      <c r="M25" s="91">
        <v>68.019047619047626</v>
      </c>
      <c r="N25" s="54">
        <v>19.702999999999999</v>
      </c>
      <c r="O25" s="77">
        <v>16.653000000000002</v>
      </c>
      <c r="P25" s="2"/>
      <c r="Q25" s="2"/>
      <c r="R25" s="18"/>
      <c r="S25" s="2"/>
      <c r="T25" s="18"/>
      <c r="W25" s="2"/>
      <c r="AA25" s="2"/>
      <c r="AB25" s="7"/>
      <c r="AC25" s="7"/>
      <c r="AD25" s="1"/>
      <c r="AE25" s="1"/>
    </row>
    <row r="26" spans="1:33" x14ac:dyDescent="0.2">
      <c r="A26" s="2"/>
      <c r="B26" s="30"/>
      <c r="C26" s="2" t="s">
        <v>54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C26" s="7"/>
      <c r="AD26" s="7"/>
      <c r="AE26" s="1"/>
    </row>
    <row r="27" spans="1:33" x14ac:dyDescent="0.2">
      <c r="A27" s="2"/>
      <c r="B27" s="30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7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33" x14ac:dyDescent="0.2">
      <c r="A28" s="2"/>
      <c r="B28" s="78"/>
      <c r="C28" s="84" t="s">
        <v>55</v>
      </c>
      <c r="D28" s="84"/>
      <c r="E28" s="84"/>
      <c r="F28" s="84"/>
      <c r="G28" s="84"/>
      <c r="H28" s="84"/>
      <c r="I28" s="84"/>
      <c r="J28" s="84"/>
      <c r="K28" s="84"/>
      <c r="L28" s="84"/>
      <c r="M28" s="85"/>
      <c r="N28" s="2"/>
      <c r="O28" s="27"/>
      <c r="U28" s="2"/>
      <c r="V28" s="2"/>
      <c r="Z28" s="2"/>
      <c r="AA28" s="2"/>
      <c r="AB28" s="2"/>
      <c r="AC28" s="2"/>
      <c r="AD28" s="2"/>
      <c r="AE28" s="2"/>
      <c r="AF28" s="2"/>
      <c r="AG28" s="2"/>
    </row>
    <row r="29" spans="1:33" x14ac:dyDescent="0.2">
      <c r="A29" s="2"/>
      <c r="B29" s="30"/>
      <c r="C29" s="8"/>
      <c r="D29" s="8"/>
      <c r="E29" s="8"/>
      <c r="F29" s="8"/>
      <c r="G29" s="8"/>
      <c r="H29" s="8"/>
      <c r="I29" s="8"/>
      <c r="J29" s="5"/>
      <c r="K29" s="5"/>
      <c r="L29" s="5"/>
      <c r="M29" s="55"/>
      <c r="N29" s="2"/>
      <c r="O29" s="27"/>
      <c r="U29" s="2"/>
      <c r="V29" s="2"/>
      <c r="Z29" s="2"/>
      <c r="AA29" s="2"/>
      <c r="AB29" s="2"/>
      <c r="AC29" s="2"/>
      <c r="AD29" s="2"/>
      <c r="AE29" s="2"/>
      <c r="AF29" s="2"/>
      <c r="AG29" s="2"/>
    </row>
    <row r="30" spans="1:33" x14ac:dyDescent="0.2">
      <c r="A30" s="2"/>
      <c r="B30" s="29" t="s">
        <v>6</v>
      </c>
      <c r="C30" s="14">
        <v>28.14</v>
      </c>
      <c r="D30" s="5" t="s">
        <v>18</v>
      </c>
      <c r="E30" s="14">
        <v>3.9621111111111098</v>
      </c>
      <c r="F30" s="5" t="s">
        <v>30</v>
      </c>
      <c r="G30" s="22">
        <v>-1.107222222222223</v>
      </c>
      <c r="H30" s="5" t="s">
        <v>61</v>
      </c>
      <c r="I30" s="22"/>
      <c r="J30" s="5" t="s">
        <v>77</v>
      </c>
      <c r="K30" s="22">
        <v>26.936666666666667</v>
      </c>
      <c r="L30" s="5" t="s">
        <v>89</v>
      </c>
      <c r="M30" s="56">
        <v>7.1666666666668988E-2</v>
      </c>
      <c r="N30" s="2"/>
      <c r="O30" s="27"/>
      <c r="U30" s="2"/>
      <c r="V30" s="2"/>
      <c r="Z30" s="2"/>
      <c r="AA30" s="2"/>
      <c r="AB30" s="2"/>
      <c r="AC30" s="2"/>
      <c r="AD30" s="2"/>
      <c r="AE30" s="2"/>
      <c r="AF30" s="2"/>
      <c r="AG30" s="2"/>
    </row>
    <row r="31" spans="1:33" x14ac:dyDescent="0.2">
      <c r="A31" s="2"/>
      <c r="B31" s="29" t="s">
        <v>7</v>
      </c>
      <c r="C31" s="14">
        <v>28.076666666666664</v>
      </c>
      <c r="D31" s="5" t="s">
        <v>20</v>
      </c>
      <c r="E31" s="14">
        <v>5.2119999999999997</v>
      </c>
      <c r="F31" s="5" t="s">
        <v>31</v>
      </c>
      <c r="G31" s="22">
        <v>-0.87333333333332774</v>
      </c>
      <c r="H31" s="5" t="s">
        <v>62</v>
      </c>
      <c r="I31" s="22">
        <v>-0.88166666666666416</v>
      </c>
      <c r="J31" s="5" t="s">
        <v>78</v>
      </c>
      <c r="K31" s="22">
        <v>26.686666666666664</v>
      </c>
      <c r="L31" s="5" t="s">
        <v>90</v>
      </c>
      <c r="M31" s="56">
        <v>0.13166666666666416</v>
      </c>
      <c r="N31" s="2"/>
      <c r="O31" s="27"/>
      <c r="U31" s="2"/>
      <c r="V31" s="2"/>
      <c r="Z31" s="2"/>
      <c r="AA31" s="2"/>
      <c r="AB31" s="2"/>
      <c r="AC31" s="2"/>
      <c r="AD31" s="2"/>
      <c r="AE31" s="2"/>
      <c r="AF31" s="2"/>
      <c r="AG31" s="2"/>
    </row>
    <row r="32" spans="1:33" x14ac:dyDescent="0.2">
      <c r="A32" s="2"/>
      <c r="B32" s="29" t="s">
        <v>8</v>
      </c>
      <c r="C32" s="14">
        <v>27.72</v>
      </c>
      <c r="D32" s="5" t="s">
        <v>21</v>
      </c>
      <c r="E32" s="14">
        <v>2.5598444444444404</v>
      </c>
      <c r="F32" s="5" t="s">
        <v>32</v>
      </c>
      <c r="G32" s="22">
        <v>-9.2122222222222234</v>
      </c>
      <c r="H32" s="5" t="s">
        <v>63</v>
      </c>
      <c r="I32" s="22">
        <v>-0.85499999999999998</v>
      </c>
      <c r="J32" s="5" t="s">
        <v>79</v>
      </c>
      <c r="K32" s="22">
        <v>26.316666666666663</v>
      </c>
      <c r="L32" s="5" t="s">
        <v>91</v>
      </c>
      <c r="M32" s="56">
        <v>5.6666666666664867E-2</v>
      </c>
      <c r="N32" s="2"/>
      <c r="O32" s="27"/>
      <c r="U32" s="2"/>
      <c r="V32" s="2"/>
      <c r="Z32" s="2"/>
      <c r="AA32" s="2"/>
      <c r="AB32" s="2"/>
      <c r="AC32" s="2"/>
      <c r="AD32" s="2"/>
      <c r="AE32" s="2"/>
      <c r="AF32" s="2"/>
      <c r="AG32" s="2"/>
    </row>
    <row r="33" spans="1:33" x14ac:dyDescent="0.2">
      <c r="A33" s="2"/>
      <c r="B33" s="29" t="s">
        <v>9</v>
      </c>
      <c r="C33" s="14">
        <v>27.27</v>
      </c>
      <c r="D33" s="5" t="s">
        <v>22</v>
      </c>
      <c r="E33" s="14">
        <v>3.4849555555555547</v>
      </c>
      <c r="F33" s="5" t="s">
        <v>33</v>
      </c>
      <c r="G33" s="22">
        <v>0.84222222222222598</v>
      </c>
      <c r="H33" s="5" t="s">
        <v>64</v>
      </c>
      <c r="I33" s="22">
        <v>-0.71499999999999997</v>
      </c>
      <c r="J33" s="5" t="s">
        <v>80</v>
      </c>
      <c r="K33" s="22">
        <v>25.96</v>
      </c>
      <c r="L33" s="5" t="s">
        <v>92</v>
      </c>
      <c r="M33" s="56">
        <v>2.9999999999997584E-2</v>
      </c>
      <c r="N33" s="2"/>
      <c r="O33" s="27"/>
      <c r="U33" s="2"/>
      <c r="V33" s="2"/>
      <c r="Z33" s="2"/>
      <c r="AA33" s="2"/>
      <c r="AB33" s="2"/>
      <c r="AC33" s="2"/>
      <c r="AD33" s="2"/>
      <c r="AE33" s="2"/>
      <c r="AF33" s="2"/>
      <c r="AG33" s="2"/>
    </row>
    <row r="34" spans="1:33" x14ac:dyDescent="0.2">
      <c r="A34" s="2"/>
      <c r="B34" s="29" t="s">
        <v>10</v>
      </c>
      <c r="C34" s="14">
        <v>26.82</v>
      </c>
      <c r="D34" s="5" t="s">
        <v>19</v>
      </c>
      <c r="E34" s="14">
        <v>4.6932888888888904</v>
      </c>
      <c r="F34" s="5" t="s">
        <v>34</v>
      </c>
      <c r="G34" s="22"/>
      <c r="H34" s="5" t="s">
        <v>65</v>
      </c>
      <c r="I34" s="22">
        <v>-0.55999999999999872</v>
      </c>
      <c r="J34" s="5" t="s">
        <v>81</v>
      </c>
      <c r="K34" s="22">
        <v>25.636666666666663</v>
      </c>
      <c r="L34" s="5" t="s">
        <v>93</v>
      </c>
      <c r="M34" s="56">
        <v>-1.3333333333335418E-2</v>
      </c>
      <c r="N34" s="2"/>
      <c r="O34" s="27"/>
      <c r="U34" s="2"/>
      <c r="V34" s="2"/>
      <c r="Z34" s="2"/>
      <c r="AA34" s="2"/>
      <c r="AB34" s="2"/>
      <c r="AC34" s="2"/>
      <c r="AD34" s="2"/>
      <c r="AE34" s="2"/>
      <c r="AF34" s="2"/>
      <c r="AG34" s="2"/>
    </row>
    <row r="35" spans="1:33" x14ac:dyDescent="0.2">
      <c r="A35" s="2"/>
      <c r="B35" s="29" t="s">
        <v>11</v>
      </c>
      <c r="C35" s="14">
        <v>26.37</v>
      </c>
      <c r="D35" s="5"/>
      <c r="E35" s="14"/>
      <c r="F35" s="5"/>
      <c r="G35" s="15"/>
      <c r="H35" s="5" t="s">
        <v>66</v>
      </c>
      <c r="I35" s="22">
        <v>-0.43999999999999773</v>
      </c>
      <c r="J35" s="5" t="s">
        <v>82</v>
      </c>
      <c r="K35" s="22">
        <v>25.326666666666668</v>
      </c>
      <c r="L35" s="5" t="s">
        <v>94</v>
      </c>
      <c r="M35" s="56">
        <v>1.6666666666687036E-3</v>
      </c>
      <c r="N35" s="2"/>
      <c r="O35" s="27"/>
      <c r="U35" s="2"/>
      <c r="V35" s="2"/>
      <c r="Z35" s="2"/>
      <c r="AA35" s="2"/>
      <c r="AB35" s="2"/>
      <c r="AC35" s="2"/>
      <c r="AD35" s="2"/>
      <c r="AE35" s="2"/>
      <c r="AF35" s="2"/>
      <c r="AG35" s="2"/>
    </row>
    <row r="36" spans="1:33" x14ac:dyDescent="0.2">
      <c r="A36" s="2"/>
      <c r="B36" s="29" t="s">
        <v>68</v>
      </c>
      <c r="C36" s="14">
        <v>26.096666666666664</v>
      </c>
      <c r="D36" s="5" t="s">
        <v>23</v>
      </c>
      <c r="E36" s="14">
        <v>3.9875222222222213</v>
      </c>
      <c r="F36" s="5" t="s">
        <v>36</v>
      </c>
      <c r="G36" s="15"/>
      <c r="H36" s="5" t="s">
        <v>67</v>
      </c>
      <c r="I36" s="22">
        <v>-0.44666666666666544</v>
      </c>
      <c r="J36" s="5" t="s">
        <v>83</v>
      </c>
      <c r="K36" s="22">
        <v>25.023333333333333</v>
      </c>
      <c r="L36" s="5"/>
      <c r="M36" s="56"/>
      <c r="N36" s="2"/>
      <c r="O36" s="27"/>
      <c r="U36" s="2"/>
      <c r="V36" s="2"/>
      <c r="Z36" s="2"/>
      <c r="AA36" s="2"/>
      <c r="AB36" s="2"/>
      <c r="AC36" s="2"/>
      <c r="AD36" s="2"/>
      <c r="AE36" s="2"/>
      <c r="AF36" s="2"/>
      <c r="AG36" s="2"/>
    </row>
    <row r="37" spans="1:33" x14ac:dyDescent="0.2">
      <c r="A37" s="2"/>
      <c r="B37" s="29"/>
      <c r="C37" s="14"/>
      <c r="D37" s="5"/>
      <c r="E37" s="14"/>
      <c r="F37" s="5"/>
      <c r="G37" s="15"/>
      <c r="H37" s="5"/>
      <c r="I37" s="15"/>
      <c r="J37" s="5"/>
      <c r="K37" s="15"/>
      <c r="L37" s="5" t="s">
        <v>95</v>
      </c>
      <c r="M37" s="56">
        <v>2.444444444444116E-2</v>
      </c>
      <c r="N37" s="2"/>
      <c r="O37" s="27"/>
      <c r="U37" s="2"/>
      <c r="V37" s="2"/>
      <c r="Z37" s="2"/>
      <c r="AA37" s="2"/>
      <c r="AB37" s="2"/>
      <c r="AC37" s="2"/>
      <c r="AD37" s="2"/>
      <c r="AE37" s="2"/>
      <c r="AF37" s="2"/>
      <c r="AG37" s="2"/>
    </row>
    <row r="38" spans="1:33" x14ac:dyDescent="0.2">
      <c r="A38" s="2"/>
      <c r="B38" s="29" t="s">
        <v>12</v>
      </c>
      <c r="C38" s="14">
        <v>27.978888888888889</v>
      </c>
      <c r="D38" s="5" t="s">
        <v>24</v>
      </c>
      <c r="E38" s="22">
        <v>4.6971111111111128</v>
      </c>
      <c r="F38" s="5" t="s">
        <v>35</v>
      </c>
      <c r="G38" s="15"/>
      <c r="H38" s="5" t="s">
        <v>69</v>
      </c>
      <c r="I38" s="22">
        <v>-0.83000000000000185</v>
      </c>
      <c r="J38" s="5" t="s">
        <v>84</v>
      </c>
      <c r="K38" s="22"/>
      <c r="L38" s="5" t="s">
        <v>96</v>
      </c>
      <c r="M38" s="56">
        <v>8.2966666666666669</v>
      </c>
      <c r="N38" s="2"/>
      <c r="O38" s="27"/>
      <c r="U38" s="2"/>
      <c r="V38" s="2"/>
      <c r="Z38" s="2"/>
      <c r="AA38" s="2"/>
      <c r="AB38" s="2"/>
      <c r="AC38" s="2"/>
      <c r="AD38" s="2"/>
      <c r="AE38" s="2"/>
      <c r="AF38" s="2"/>
      <c r="AG38" s="2"/>
    </row>
    <row r="39" spans="1:33" x14ac:dyDescent="0.2">
      <c r="A39" s="2"/>
      <c r="B39" s="29" t="s">
        <v>13</v>
      </c>
      <c r="C39" s="14">
        <v>26.82</v>
      </c>
      <c r="D39" s="5" t="s">
        <v>25</v>
      </c>
      <c r="E39" s="22">
        <v>5.1630000000000003</v>
      </c>
      <c r="F39" s="5" t="s">
        <v>37</v>
      </c>
      <c r="G39" s="22">
        <v>-0.84888888888888658</v>
      </c>
      <c r="H39" s="5" t="s">
        <v>70</v>
      </c>
      <c r="I39" s="22">
        <v>-1.18</v>
      </c>
      <c r="J39" s="5" t="s">
        <v>85</v>
      </c>
      <c r="K39" s="22">
        <v>25.97111111111111</v>
      </c>
      <c r="L39" s="5"/>
      <c r="M39" s="56"/>
      <c r="N39" s="2"/>
      <c r="O39" s="27"/>
      <c r="U39" s="2"/>
      <c r="V39" s="2"/>
      <c r="Z39" s="2"/>
      <c r="AA39" s="2"/>
      <c r="AB39" s="2"/>
      <c r="AC39" s="2"/>
      <c r="AD39" s="2"/>
      <c r="AE39" s="2"/>
      <c r="AF39" s="2"/>
      <c r="AG39" s="2"/>
    </row>
    <row r="40" spans="1:33" x14ac:dyDescent="0.2">
      <c r="A40" s="2"/>
      <c r="B40" s="29" t="s">
        <v>14</v>
      </c>
      <c r="C40" s="14">
        <v>25.945555555555558</v>
      </c>
      <c r="D40" s="5" t="s">
        <v>26</v>
      </c>
      <c r="E40" s="22">
        <v>8.5770444444444394</v>
      </c>
      <c r="F40" s="5" t="s">
        <v>38</v>
      </c>
      <c r="G40" s="22">
        <v>-0.91555555555555657</v>
      </c>
      <c r="H40" s="5" t="s">
        <v>71</v>
      </c>
      <c r="I40" s="22">
        <v>-1.06</v>
      </c>
      <c r="J40" s="5" t="s">
        <v>86</v>
      </c>
      <c r="K40" s="22">
        <v>25.03</v>
      </c>
      <c r="L40" s="5"/>
      <c r="M40" s="56"/>
      <c r="N40" s="2"/>
      <c r="O40" s="27"/>
      <c r="U40" s="2"/>
      <c r="V40" s="2"/>
      <c r="Z40" s="2"/>
      <c r="AA40" s="2"/>
      <c r="AB40" s="2"/>
      <c r="AC40" s="2"/>
      <c r="AD40" s="2"/>
      <c r="AE40" s="2"/>
      <c r="AF40" s="2"/>
      <c r="AG40" s="2"/>
    </row>
    <row r="41" spans="1:33" x14ac:dyDescent="0.2">
      <c r="A41" s="2"/>
      <c r="B41" s="29" t="s">
        <v>15</v>
      </c>
      <c r="C41" s="14">
        <v>25.104444444444443</v>
      </c>
      <c r="D41" s="5" t="s">
        <v>27</v>
      </c>
      <c r="E41" s="22">
        <v>7.5883555555555624</v>
      </c>
      <c r="F41" s="5" t="s">
        <v>39</v>
      </c>
      <c r="G41" s="22">
        <v>-0.86444444444444812</v>
      </c>
      <c r="H41" s="5" t="s">
        <v>72</v>
      </c>
      <c r="I41" s="22">
        <v>-0.98</v>
      </c>
      <c r="J41" s="5" t="s">
        <v>87</v>
      </c>
      <c r="K41" s="22">
        <v>24.24</v>
      </c>
      <c r="L41" s="5"/>
      <c r="M41" s="56"/>
      <c r="N41" s="2"/>
      <c r="O41" s="27"/>
      <c r="U41" s="2"/>
      <c r="V41" s="2"/>
      <c r="Z41" s="2"/>
      <c r="AA41" s="2"/>
      <c r="AB41" s="2"/>
      <c r="AC41" s="2"/>
      <c r="AD41" s="2"/>
      <c r="AE41" s="2"/>
      <c r="AF41" s="2"/>
      <c r="AG41" s="2"/>
    </row>
    <row r="42" spans="1:33" x14ac:dyDescent="0.2">
      <c r="A42" s="2"/>
      <c r="B42" s="29" t="s">
        <v>16</v>
      </c>
      <c r="C42" s="14">
        <v>24.421111111111106</v>
      </c>
      <c r="D42" s="5" t="s">
        <v>28</v>
      </c>
      <c r="E42" s="22"/>
      <c r="F42" s="5" t="s">
        <v>56</v>
      </c>
      <c r="G42" s="15"/>
      <c r="H42" s="5" t="s">
        <v>73</v>
      </c>
      <c r="I42" s="22">
        <v>-0.89999999999999858</v>
      </c>
      <c r="J42" s="5" t="s">
        <v>88</v>
      </c>
      <c r="K42" s="22"/>
      <c r="L42" s="5"/>
      <c r="M42" s="56"/>
      <c r="N42" s="2"/>
      <c r="O42" s="27"/>
      <c r="U42" s="2"/>
      <c r="V42" s="2"/>
      <c r="Z42" s="2"/>
      <c r="AA42" s="2"/>
      <c r="AB42" s="2"/>
      <c r="AC42" s="2"/>
      <c r="AD42" s="2"/>
      <c r="AE42" s="2"/>
      <c r="AF42" s="2"/>
      <c r="AG42" s="2"/>
    </row>
    <row r="43" spans="1:33" x14ac:dyDescent="0.2">
      <c r="B43" s="29"/>
      <c r="C43" s="14"/>
      <c r="D43" s="5"/>
      <c r="E43" s="15"/>
      <c r="F43" s="5"/>
      <c r="G43" s="15"/>
      <c r="H43" s="5" t="s">
        <v>74</v>
      </c>
      <c r="I43" s="22">
        <v>-0.78000000000000114</v>
      </c>
      <c r="J43" s="5"/>
      <c r="K43" s="22"/>
      <c r="L43" s="5"/>
      <c r="M43" s="56"/>
      <c r="N43" s="2"/>
      <c r="O43" s="27"/>
    </row>
    <row r="44" spans="1:33" x14ac:dyDescent="0.2">
      <c r="B44" s="76" t="s">
        <v>17</v>
      </c>
      <c r="C44" s="57">
        <v>25.572777777777777</v>
      </c>
      <c r="D44" s="58" t="s">
        <v>29</v>
      </c>
      <c r="E44" s="59"/>
      <c r="F44" s="58" t="s">
        <v>57</v>
      </c>
      <c r="G44" s="59"/>
      <c r="H44" s="58" t="s">
        <v>75</v>
      </c>
      <c r="I44" s="60">
        <v>-0.64000000000000057</v>
      </c>
      <c r="J44" s="58"/>
      <c r="K44" s="60"/>
      <c r="L44" s="58"/>
      <c r="M44" s="61"/>
      <c r="N44" s="2"/>
      <c r="O44" s="27"/>
    </row>
    <row r="45" spans="1:33" x14ac:dyDescent="0.2">
      <c r="B45" s="2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7"/>
    </row>
    <row r="46" spans="1:33" x14ac:dyDescent="0.2">
      <c r="B46" s="2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7"/>
      <c r="P46" s="2"/>
      <c r="Q46" s="2"/>
      <c r="R46" s="2"/>
      <c r="S46" s="2"/>
      <c r="T46" s="2"/>
    </row>
    <row r="47" spans="1:33" x14ac:dyDescent="0.2">
      <c r="B47" s="79"/>
      <c r="C47" s="62" t="s">
        <v>47</v>
      </c>
      <c r="D47" s="62"/>
      <c r="E47" s="62"/>
      <c r="F47" s="62"/>
      <c r="G47" s="63"/>
      <c r="H47" s="2"/>
      <c r="I47" s="67"/>
      <c r="J47" s="86" t="s">
        <v>46</v>
      </c>
      <c r="K47" s="86"/>
      <c r="L47" s="86"/>
      <c r="M47" s="86"/>
      <c r="N47" s="87"/>
      <c r="O47" s="27"/>
      <c r="P47" s="2"/>
      <c r="Q47" s="2"/>
      <c r="R47" s="2"/>
      <c r="S47" s="2"/>
      <c r="T47" s="2"/>
    </row>
    <row r="48" spans="1:33" x14ac:dyDescent="0.2">
      <c r="B48" s="26"/>
      <c r="C48" s="3" t="s">
        <v>48</v>
      </c>
      <c r="D48" s="3" t="s">
        <v>49</v>
      </c>
      <c r="E48" s="3" t="s">
        <v>60</v>
      </c>
      <c r="F48" s="3" t="s">
        <v>76</v>
      </c>
      <c r="G48" s="44"/>
      <c r="H48" s="2"/>
      <c r="I48" s="68"/>
      <c r="J48" s="3" t="s">
        <v>120</v>
      </c>
      <c r="K48" s="3" t="s">
        <v>121</v>
      </c>
      <c r="L48" s="4" t="s">
        <v>3</v>
      </c>
      <c r="M48" s="4" t="s">
        <v>4</v>
      </c>
      <c r="N48" s="69" t="s">
        <v>2</v>
      </c>
      <c r="O48" s="27"/>
      <c r="P48" s="2"/>
      <c r="Q48" s="2"/>
      <c r="R48" s="2"/>
      <c r="S48" s="2"/>
      <c r="T48" s="2"/>
    </row>
    <row r="49" spans="2:20" x14ac:dyDescent="0.2">
      <c r="B49" s="29">
        <v>37165</v>
      </c>
      <c r="C49" s="9"/>
      <c r="D49" s="9">
        <v>244.25</v>
      </c>
      <c r="E49" s="9"/>
      <c r="F49" s="5" t="s">
        <v>6</v>
      </c>
      <c r="G49" s="64"/>
      <c r="H49" s="2"/>
      <c r="I49" s="45">
        <v>37165</v>
      </c>
      <c r="J49" s="10">
        <v>4.41</v>
      </c>
      <c r="K49" s="10">
        <v>3.843</v>
      </c>
      <c r="L49" s="10">
        <v>4.9291999999999971</v>
      </c>
      <c r="M49" s="10">
        <v>5.0510000000000019</v>
      </c>
      <c r="N49" s="70">
        <v>4.7465000000000011</v>
      </c>
      <c r="O49" s="27"/>
      <c r="P49" s="2"/>
      <c r="Q49" s="2"/>
      <c r="R49" s="2"/>
      <c r="S49" s="2"/>
      <c r="T49" s="2"/>
    </row>
    <row r="50" spans="2:20" x14ac:dyDescent="0.2">
      <c r="B50" s="29">
        <v>37196</v>
      </c>
      <c r="C50" s="9">
        <v>27.31</v>
      </c>
      <c r="D50" s="9">
        <v>243.75</v>
      </c>
      <c r="E50" s="9">
        <v>5.3642627345844538</v>
      </c>
      <c r="F50" s="5" t="s">
        <v>7</v>
      </c>
      <c r="G50" s="64">
        <v>26.864999999999998</v>
      </c>
      <c r="H50" s="2"/>
      <c r="I50" s="45">
        <v>37196</v>
      </c>
      <c r="J50" s="10">
        <v>4.0113333333333365</v>
      </c>
      <c r="K50" s="10">
        <v>4.2003333333333366</v>
      </c>
      <c r="L50" s="10">
        <v>4.2032000000000043</v>
      </c>
      <c r="M50" s="10">
        <v>4.2409999999999997</v>
      </c>
      <c r="N50" s="70">
        <v>4.1464999999999996</v>
      </c>
      <c r="O50" s="27"/>
      <c r="P50" s="2"/>
      <c r="Q50" s="2"/>
      <c r="R50" s="2"/>
      <c r="S50" s="2"/>
      <c r="T50" s="2"/>
    </row>
    <row r="51" spans="2:20" x14ac:dyDescent="0.2">
      <c r="B51" s="29">
        <v>37226</v>
      </c>
      <c r="C51" s="9">
        <v>27.08</v>
      </c>
      <c r="D51" s="9">
        <v>242.25</v>
      </c>
      <c r="E51" s="9">
        <v>5.3931903485254722</v>
      </c>
      <c r="F51" s="5" t="s">
        <v>8</v>
      </c>
      <c r="G51" s="64">
        <v>26.555</v>
      </c>
      <c r="H51" s="2"/>
      <c r="I51" s="45">
        <v>37226</v>
      </c>
      <c r="J51" s="10">
        <v>4.1159999999999997</v>
      </c>
      <c r="K51" s="10">
        <v>4.9140000000000015</v>
      </c>
      <c r="L51" s="10">
        <v>3.9836000000000014</v>
      </c>
      <c r="M51" s="10">
        <v>3.9710000000000036</v>
      </c>
      <c r="N51" s="70">
        <v>4.0025000000000004</v>
      </c>
      <c r="O51" s="27"/>
      <c r="P51" s="2"/>
      <c r="Q51" s="2"/>
      <c r="R51" s="2"/>
      <c r="S51" s="2"/>
      <c r="T51" s="2"/>
    </row>
    <row r="52" spans="2:20" x14ac:dyDescent="0.2">
      <c r="B52" s="29">
        <v>37257</v>
      </c>
      <c r="C52" s="9">
        <v>26.65</v>
      </c>
      <c r="D52" s="9">
        <v>240</v>
      </c>
      <c r="E52" s="9">
        <v>5.5215817694369989</v>
      </c>
      <c r="F52" s="5" t="s">
        <v>9</v>
      </c>
      <c r="G52" s="64">
        <v>26.26</v>
      </c>
      <c r="H52" s="2"/>
      <c r="I52" s="45">
        <v>37257</v>
      </c>
      <c r="J52" s="10">
        <v>4.6709999999999994</v>
      </c>
      <c r="K52" s="10">
        <v>5.07</v>
      </c>
      <c r="L52" s="10">
        <v>4.2852000000000032</v>
      </c>
      <c r="M52" s="10">
        <v>4.2319999999999993</v>
      </c>
      <c r="N52" s="70">
        <v>4.3650000000000002</v>
      </c>
      <c r="O52" s="27"/>
      <c r="P52" s="2"/>
      <c r="Q52" s="2"/>
      <c r="R52" s="2"/>
      <c r="S52" s="2"/>
      <c r="T52" s="2"/>
    </row>
    <row r="53" spans="2:20" x14ac:dyDescent="0.2">
      <c r="B53" s="29">
        <v>37288</v>
      </c>
      <c r="C53" s="9">
        <v>26.46</v>
      </c>
      <c r="D53" s="9">
        <v>239</v>
      </c>
      <c r="E53" s="9">
        <v>5.5775335120643419</v>
      </c>
      <c r="F53" s="5" t="s">
        <v>10</v>
      </c>
      <c r="G53" s="64">
        <v>25.93</v>
      </c>
      <c r="H53" s="2"/>
      <c r="I53" s="45">
        <v>37288</v>
      </c>
      <c r="J53" s="10">
        <v>5.3520000000000003</v>
      </c>
      <c r="K53" s="10">
        <v>4.3020000000000032</v>
      </c>
      <c r="L53" s="10">
        <v>4.680599999999993</v>
      </c>
      <c r="M53" s="10">
        <v>4.6540000000000008</v>
      </c>
      <c r="N53" s="70">
        <v>4.7205000000000013</v>
      </c>
      <c r="O53" s="27"/>
      <c r="P53" s="2"/>
      <c r="Q53" s="2"/>
      <c r="R53" s="2"/>
      <c r="S53" s="2"/>
      <c r="T53" s="2"/>
    </row>
    <row r="54" spans="2:20" x14ac:dyDescent="0.2">
      <c r="B54" s="29">
        <v>37316</v>
      </c>
      <c r="C54" s="9">
        <v>26.06</v>
      </c>
      <c r="D54" s="9">
        <v>0</v>
      </c>
      <c r="E54" s="9" t="s">
        <v>119</v>
      </c>
      <c r="F54" s="5" t="s">
        <v>11</v>
      </c>
      <c r="G54" s="64">
        <v>25.65</v>
      </c>
      <c r="H54" s="2"/>
      <c r="I54" s="45">
        <v>37316</v>
      </c>
      <c r="J54" s="10">
        <v>8.2926000000000073</v>
      </c>
      <c r="K54" s="10">
        <v>3.4878000000000036</v>
      </c>
      <c r="L54" s="10">
        <v>4.7819999999999991</v>
      </c>
      <c r="M54" s="10">
        <v>4.8519999999999994</v>
      </c>
      <c r="N54" s="70">
        <v>4.6769999999999996</v>
      </c>
      <c r="O54" s="27"/>
      <c r="P54" s="2"/>
      <c r="Q54" s="2"/>
      <c r="R54" s="2"/>
      <c r="S54" s="2"/>
      <c r="T54" s="2"/>
    </row>
    <row r="55" spans="2:20" x14ac:dyDescent="0.2">
      <c r="B55" s="29">
        <v>37347</v>
      </c>
      <c r="C55" s="9">
        <v>25.8</v>
      </c>
      <c r="D55" s="9">
        <v>228</v>
      </c>
      <c r="E55" s="9">
        <v>4.7630026809651476</v>
      </c>
      <c r="F55" s="5" t="s">
        <v>68</v>
      </c>
      <c r="G55" s="64">
        <v>25.324999999999999</v>
      </c>
      <c r="H55" s="2"/>
      <c r="I55" s="45">
        <v>37347</v>
      </c>
      <c r="J55" s="10">
        <v>8.5449333333333399</v>
      </c>
      <c r="K55" s="10">
        <v>2.8917333333333346</v>
      </c>
      <c r="L55" s="10">
        <v>6.2206800000000042</v>
      </c>
      <c r="M55" s="10">
        <v>6.5410000000000013</v>
      </c>
      <c r="N55" s="70">
        <v>5.7402000000000051</v>
      </c>
      <c r="O55" s="27"/>
      <c r="P55" s="2"/>
      <c r="Q55" s="2"/>
      <c r="R55" s="2"/>
      <c r="S55" s="2"/>
      <c r="T55" s="2"/>
    </row>
    <row r="56" spans="2:20" x14ac:dyDescent="0.2">
      <c r="B56" s="29">
        <v>37377</v>
      </c>
      <c r="C56" s="9">
        <v>25.5</v>
      </c>
      <c r="D56" s="9">
        <v>221.25</v>
      </c>
      <c r="E56" s="9">
        <v>4.1581769436997327</v>
      </c>
      <c r="F56" s="5"/>
      <c r="G56" s="64"/>
      <c r="H56" s="2"/>
      <c r="I56" s="45">
        <v>37377</v>
      </c>
      <c r="J56" s="10">
        <v>8.2269333333333421</v>
      </c>
      <c r="K56" s="10">
        <v>0.63333333333333997</v>
      </c>
      <c r="L56" s="10">
        <v>6.3103199999999955</v>
      </c>
      <c r="M56" s="10">
        <v>6.6871999999999998</v>
      </c>
      <c r="N56" s="70">
        <v>5.7450000000000001</v>
      </c>
      <c r="O56" s="27"/>
      <c r="P56" s="2"/>
      <c r="Q56" s="2"/>
      <c r="R56" s="2"/>
      <c r="S56" s="2"/>
      <c r="T56" s="2"/>
    </row>
    <row r="57" spans="2:20" x14ac:dyDescent="0.2">
      <c r="B57" s="29">
        <v>37408</v>
      </c>
      <c r="C57" s="9">
        <v>25.15</v>
      </c>
      <c r="D57" s="9">
        <v>217</v>
      </c>
      <c r="E57" s="9">
        <v>3.9384718498659517</v>
      </c>
      <c r="F57" s="5" t="s">
        <v>12</v>
      </c>
      <c r="G57" s="64"/>
      <c r="H57" s="2"/>
      <c r="I57" s="45">
        <v>37408</v>
      </c>
      <c r="J57" s="10">
        <v>7.9302666666666717</v>
      </c>
      <c r="K57" s="10">
        <v>2.7810666666666677</v>
      </c>
      <c r="L57" s="10">
        <v>5.0761600000000042</v>
      </c>
      <c r="M57" s="10">
        <v>5.5824000000000069</v>
      </c>
      <c r="N57" s="70">
        <v>4.3168000000000042</v>
      </c>
      <c r="O57" s="27"/>
      <c r="P57" s="2"/>
      <c r="Q57" s="2"/>
      <c r="R57" s="2"/>
      <c r="S57" s="2"/>
      <c r="T57" s="2"/>
    </row>
    <row r="58" spans="2:20" x14ac:dyDescent="0.2">
      <c r="B58" s="29">
        <v>37438</v>
      </c>
      <c r="C58" s="9">
        <v>0</v>
      </c>
      <c r="D58" s="9">
        <v>218</v>
      </c>
      <c r="E58" s="9">
        <v>29.222520107238605</v>
      </c>
      <c r="F58" s="5" t="s">
        <v>13</v>
      </c>
      <c r="G58" s="64">
        <v>25.946666666666669</v>
      </c>
      <c r="H58" s="2"/>
      <c r="I58" s="45">
        <v>37438</v>
      </c>
      <c r="J58" s="10">
        <v>7.3573999999999984</v>
      </c>
      <c r="K58" s="10">
        <v>3.1573999999999955</v>
      </c>
      <c r="L58" s="10">
        <v>5.7639200000000015</v>
      </c>
      <c r="M58" s="10">
        <v>6.1072000000000015</v>
      </c>
      <c r="N58" s="70">
        <v>5.2489999999999988</v>
      </c>
      <c r="O58" s="27"/>
      <c r="P58" s="2"/>
      <c r="Q58" s="2"/>
      <c r="R58" s="2"/>
      <c r="S58" s="2"/>
      <c r="T58" s="2"/>
    </row>
    <row r="59" spans="2:20" x14ac:dyDescent="0.2">
      <c r="B59" s="29">
        <v>37469</v>
      </c>
      <c r="C59" s="9">
        <v>24.6</v>
      </c>
      <c r="D59" s="9"/>
      <c r="E59" s="9"/>
      <c r="F59" s="5" t="s">
        <v>14</v>
      </c>
      <c r="G59" s="64">
        <v>16.733333333333334</v>
      </c>
      <c r="H59" s="2"/>
      <c r="I59" s="45">
        <v>37469</v>
      </c>
      <c r="J59" s="10">
        <v>6.6007333333333342</v>
      </c>
      <c r="K59" s="10">
        <v>3.6397333333333357</v>
      </c>
      <c r="L59" s="10">
        <v>5.5773999999999999</v>
      </c>
      <c r="M59" s="10">
        <v>5.8573999999999984</v>
      </c>
      <c r="N59" s="70">
        <v>5.1573999999999991</v>
      </c>
      <c r="O59" s="27"/>
      <c r="P59" s="2"/>
      <c r="Q59" s="2"/>
      <c r="R59" s="2"/>
      <c r="S59" s="2"/>
      <c r="T59" s="2"/>
    </row>
    <row r="60" spans="2:20" x14ac:dyDescent="0.2">
      <c r="B60" s="29">
        <v>37500</v>
      </c>
      <c r="C60" s="9">
        <v>24.3</v>
      </c>
      <c r="D60" s="9"/>
      <c r="E60" s="9"/>
      <c r="F60" s="5" t="s">
        <v>15</v>
      </c>
      <c r="G60" s="64"/>
      <c r="H60" s="2"/>
      <c r="I60" s="45">
        <v>37500</v>
      </c>
      <c r="J60" s="10"/>
      <c r="K60" s="10">
        <v>4.0987333333333353</v>
      </c>
      <c r="L60" s="10">
        <v>5.3229999999999986</v>
      </c>
      <c r="M60" s="10">
        <v>5.5203999999999951</v>
      </c>
      <c r="N60" s="70">
        <v>5.0268999999999977</v>
      </c>
      <c r="O60" s="27"/>
      <c r="P60" s="2"/>
      <c r="Q60" s="2"/>
      <c r="R60" s="2"/>
      <c r="S60" s="2"/>
      <c r="T60" s="2"/>
    </row>
    <row r="61" spans="2:20" x14ac:dyDescent="0.2">
      <c r="B61" s="29">
        <v>37530</v>
      </c>
      <c r="C61" s="9">
        <v>24.13</v>
      </c>
      <c r="D61" s="9"/>
      <c r="E61" s="9"/>
      <c r="F61" s="5" t="s">
        <v>16</v>
      </c>
      <c r="G61" s="64"/>
      <c r="H61" s="2"/>
      <c r="I61" s="45">
        <v>37530</v>
      </c>
      <c r="J61" s="10"/>
      <c r="K61" s="10">
        <v>4.491066666666665</v>
      </c>
      <c r="L61" s="10"/>
      <c r="M61" s="10"/>
      <c r="N61" s="70"/>
      <c r="O61" s="27"/>
      <c r="P61" s="2"/>
      <c r="Q61" s="2"/>
      <c r="R61" s="2"/>
      <c r="S61" s="2"/>
      <c r="T61" s="2"/>
    </row>
    <row r="62" spans="2:20" x14ac:dyDescent="0.2">
      <c r="B62" s="29">
        <v>37561</v>
      </c>
      <c r="C62" s="9"/>
      <c r="D62" s="9"/>
      <c r="E62" s="9"/>
      <c r="F62" s="5"/>
      <c r="G62" s="64"/>
      <c r="H62" s="18"/>
      <c r="I62" s="45">
        <v>37561</v>
      </c>
      <c r="J62" s="10"/>
      <c r="K62" s="10">
        <v>4.853399999999997</v>
      </c>
      <c r="L62" s="10"/>
      <c r="M62" s="10"/>
      <c r="N62" s="70"/>
      <c r="O62" s="27"/>
      <c r="P62" s="2"/>
      <c r="Q62" s="2"/>
      <c r="R62" s="2"/>
      <c r="S62" s="2"/>
      <c r="T62" s="2"/>
    </row>
    <row r="63" spans="2:20" x14ac:dyDescent="0.2">
      <c r="B63" s="76">
        <v>37591</v>
      </c>
      <c r="C63" s="65">
        <v>23.65</v>
      </c>
      <c r="D63" s="65"/>
      <c r="E63" s="65"/>
      <c r="F63" s="58" t="s">
        <v>17</v>
      </c>
      <c r="G63" s="66"/>
      <c r="H63" s="35"/>
      <c r="I63" s="45">
        <v>37591</v>
      </c>
      <c r="J63" s="10"/>
      <c r="K63" s="10">
        <v>5.2393999999999998</v>
      </c>
      <c r="L63" s="10"/>
      <c r="M63" s="10"/>
      <c r="N63" s="70"/>
      <c r="O63" s="27"/>
      <c r="P63" s="2"/>
      <c r="Q63" s="2"/>
      <c r="R63" s="2"/>
      <c r="S63" s="2"/>
      <c r="T63" s="2"/>
    </row>
    <row r="64" spans="2:20" x14ac:dyDescent="0.2">
      <c r="B64" s="26"/>
      <c r="C64" s="18"/>
      <c r="D64" s="2"/>
      <c r="E64" s="2"/>
      <c r="F64" s="2"/>
      <c r="G64" s="2"/>
      <c r="H64" s="2"/>
      <c r="I64" s="47">
        <v>37622</v>
      </c>
      <c r="J64" s="71"/>
      <c r="K64" s="10">
        <v>5.2060666666666648</v>
      </c>
      <c r="L64" s="71"/>
      <c r="M64" s="71"/>
      <c r="N64" s="72"/>
      <c r="O64" s="27"/>
      <c r="P64" s="2"/>
      <c r="Q64" s="2"/>
      <c r="R64" s="2"/>
      <c r="S64" s="2"/>
      <c r="T64" s="2"/>
    </row>
    <row r="65" spans="2:15" x14ac:dyDescent="0.2">
      <c r="B65" s="2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7"/>
    </row>
    <row r="66" spans="2:15" x14ac:dyDescent="0.2">
      <c r="B66" s="79"/>
      <c r="C66" s="62"/>
      <c r="D66" s="62"/>
      <c r="E66" s="62"/>
      <c r="F66" s="62"/>
      <c r="G66" s="63"/>
      <c r="H66" s="2"/>
      <c r="I66" s="2"/>
      <c r="J66" s="2"/>
      <c r="K66" s="2"/>
      <c r="L66" s="2"/>
      <c r="M66" s="2"/>
      <c r="N66" s="2"/>
      <c r="O66" s="27"/>
    </row>
    <row r="67" spans="2:15" x14ac:dyDescent="0.2">
      <c r="B67" s="26"/>
      <c r="C67" s="3" t="s">
        <v>97</v>
      </c>
      <c r="D67" s="3"/>
      <c r="E67" s="3" t="s">
        <v>103</v>
      </c>
      <c r="F67" s="3"/>
      <c r="G67" s="44" t="s">
        <v>104</v>
      </c>
      <c r="H67" s="2"/>
      <c r="I67" s="2"/>
      <c r="J67" s="2"/>
      <c r="K67" s="2"/>
      <c r="L67" s="2"/>
      <c r="M67" s="2"/>
      <c r="N67" s="2"/>
      <c r="O67" s="27"/>
    </row>
    <row r="68" spans="2:15" x14ac:dyDescent="0.2">
      <c r="B68" s="29" t="s">
        <v>6</v>
      </c>
      <c r="C68" s="31">
        <v>3.1210000000000022</v>
      </c>
      <c r="D68" s="5">
        <v>37165</v>
      </c>
      <c r="E68" s="32">
        <v>2.7809523809523853</v>
      </c>
      <c r="F68" s="5">
        <v>37165</v>
      </c>
      <c r="G68" s="73">
        <v>0.72199999999999775</v>
      </c>
      <c r="H68" s="2"/>
      <c r="I68" s="2"/>
      <c r="J68" s="2"/>
      <c r="K68" s="2"/>
      <c r="L68" s="2"/>
      <c r="M68" s="2"/>
      <c r="N68" s="2"/>
      <c r="O68" s="27"/>
    </row>
    <row r="69" spans="2:15" x14ac:dyDescent="0.2">
      <c r="B69" s="29" t="s">
        <v>7</v>
      </c>
      <c r="C69" s="31">
        <v>3.830333333333332</v>
      </c>
      <c r="D69" s="5">
        <v>37196</v>
      </c>
      <c r="E69" s="32">
        <v>3.8809523809523796</v>
      </c>
      <c r="F69" s="5">
        <v>37196</v>
      </c>
      <c r="G69" s="73">
        <v>0.37000000000000455</v>
      </c>
      <c r="H69" s="2"/>
      <c r="I69" s="2"/>
      <c r="J69" s="2"/>
      <c r="K69" s="2"/>
      <c r="L69" s="2"/>
      <c r="M69" s="2"/>
      <c r="N69" s="2"/>
      <c r="O69" s="27"/>
    </row>
    <row r="70" spans="2:15" x14ac:dyDescent="0.2">
      <c r="B70" s="29" t="s">
        <v>8</v>
      </c>
      <c r="C70" s="31">
        <v>4.5650000000000004</v>
      </c>
      <c r="D70" s="5">
        <v>37226</v>
      </c>
      <c r="E70" s="32">
        <v>5.0095238095237988</v>
      </c>
      <c r="F70" s="5">
        <v>37226</v>
      </c>
      <c r="G70" s="73">
        <v>0.34900000000000375</v>
      </c>
      <c r="H70" s="2"/>
      <c r="I70" s="2"/>
      <c r="J70" s="2"/>
      <c r="K70" s="2"/>
      <c r="L70" s="2"/>
      <c r="M70" s="2"/>
      <c r="N70" s="2"/>
      <c r="O70" s="27"/>
    </row>
    <row r="71" spans="2:15" x14ac:dyDescent="0.2">
      <c r="B71" s="29" t="s">
        <v>9</v>
      </c>
      <c r="C71" s="31">
        <v>5.2880000000000003</v>
      </c>
      <c r="D71" s="5">
        <v>37257</v>
      </c>
      <c r="E71" s="32">
        <v>3.6309523809523796</v>
      </c>
      <c r="F71" s="5">
        <v>37257</v>
      </c>
      <c r="G71" s="73">
        <v>-0.21799999999999642</v>
      </c>
      <c r="H71" s="2"/>
      <c r="I71" s="2"/>
      <c r="J71" s="2"/>
      <c r="K71" s="2"/>
      <c r="L71" s="2"/>
      <c r="M71" s="2"/>
      <c r="N71" s="2"/>
      <c r="O71" s="27"/>
    </row>
    <row r="72" spans="2:15" x14ac:dyDescent="0.2">
      <c r="B72" s="29" t="s">
        <v>10</v>
      </c>
      <c r="C72" s="31">
        <v>5.5280000000000022</v>
      </c>
      <c r="D72" s="5">
        <v>37288</v>
      </c>
      <c r="E72" s="32">
        <v>5.8309523809523824</v>
      </c>
      <c r="F72" s="5">
        <v>37288</v>
      </c>
      <c r="G72" s="73">
        <v>-1.2259999999999991</v>
      </c>
      <c r="H72" s="2"/>
      <c r="I72" s="2"/>
      <c r="J72" s="2"/>
      <c r="K72" s="2"/>
      <c r="L72" s="2"/>
      <c r="M72" s="2"/>
      <c r="N72" s="2"/>
      <c r="O72" s="27"/>
    </row>
    <row r="73" spans="2:15" x14ac:dyDescent="0.2">
      <c r="B73" s="29" t="s">
        <v>11</v>
      </c>
      <c r="C73" s="31">
        <v>4.76</v>
      </c>
      <c r="D73" s="5">
        <v>37316</v>
      </c>
      <c r="E73" s="32">
        <v>5.6309523809523796</v>
      </c>
      <c r="F73" s="5">
        <v>37316</v>
      </c>
      <c r="G73" s="73">
        <v>-1.272199999999998</v>
      </c>
      <c r="H73" s="2"/>
      <c r="I73" s="2"/>
      <c r="J73" s="2"/>
      <c r="K73" s="2"/>
      <c r="L73" s="2"/>
      <c r="M73" s="2"/>
      <c r="N73" s="2"/>
      <c r="O73" s="27"/>
    </row>
    <row r="74" spans="2:15" x14ac:dyDescent="0.2">
      <c r="B74" s="29"/>
      <c r="C74" s="33"/>
      <c r="D74" s="23"/>
      <c r="E74" s="33"/>
      <c r="F74" s="23"/>
      <c r="G74" s="74"/>
      <c r="H74" s="2"/>
      <c r="I74" s="2"/>
      <c r="J74" s="2"/>
      <c r="K74" s="2"/>
      <c r="L74" s="2"/>
      <c r="M74" s="2"/>
      <c r="N74" s="2"/>
      <c r="O74" s="27"/>
    </row>
    <row r="75" spans="2:15" x14ac:dyDescent="0.2">
      <c r="B75" s="29" t="s">
        <v>12</v>
      </c>
      <c r="C75" s="31">
        <v>3.8387777777777821</v>
      </c>
      <c r="D75" s="23" t="s">
        <v>98</v>
      </c>
      <c r="E75" s="32">
        <v>3.8904761904761784</v>
      </c>
      <c r="F75" s="23" t="s">
        <v>98</v>
      </c>
      <c r="G75" s="73">
        <v>7.1634920634931376E-2</v>
      </c>
      <c r="H75" s="2"/>
      <c r="I75" s="2"/>
      <c r="J75" s="2"/>
      <c r="K75" s="2"/>
      <c r="L75" s="2"/>
      <c r="M75" s="2"/>
      <c r="N75" s="2"/>
      <c r="O75" s="27"/>
    </row>
    <row r="76" spans="2:15" x14ac:dyDescent="0.2">
      <c r="B76" s="29" t="s">
        <v>13</v>
      </c>
      <c r="C76" s="31">
        <v>5.1920000000000037</v>
      </c>
      <c r="D76" s="23" t="s">
        <v>99</v>
      </c>
      <c r="E76" s="32">
        <v>5.0309523809523853</v>
      </c>
      <c r="F76" s="23" t="s">
        <v>99</v>
      </c>
      <c r="G76" s="73">
        <v>0.18104761904761446</v>
      </c>
      <c r="H76" s="2"/>
      <c r="I76" s="2"/>
      <c r="J76" s="2"/>
      <c r="K76" s="2"/>
      <c r="L76" s="2"/>
      <c r="M76" s="2"/>
      <c r="N76" s="2"/>
      <c r="O76" s="27"/>
    </row>
    <row r="77" spans="2:15" x14ac:dyDescent="0.2">
      <c r="B77" s="29" t="s">
        <v>14</v>
      </c>
      <c r="C77" s="31">
        <v>3.2314444444444455</v>
      </c>
      <c r="D77" s="23" t="s">
        <v>100</v>
      </c>
      <c r="E77" s="32">
        <v>1.950952380952387</v>
      </c>
      <c r="F77" s="23" t="s">
        <v>100</v>
      </c>
      <c r="G77" s="73">
        <v>0.60889206349205338</v>
      </c>
      <c r="H77" s="2"/>
      <c r="I77" s="2"/>
      <c r="J77" s="2"/>
      <c r="K77" s="2"/>
      <c r="L77" s="2"/>
      <c r="M77" s="2"/>
      <c r="N77" s="2"/>
      <c r="O77" s="27"/>
    </row>
    <row r="78" spans="2:15" x14ac:dyDescent="0.2">
      <c r="B78" s="29" t="s">
        <v>15</v>
      </c>
      <c r="C78" s="31">
        <v>3.4845555555555592</v>
      </c>
      <c r="D78" s="23" t="s">
        <v>101</v>
      </c>
      <c r="E78" s="32">
        <v>2.1009523809523785</v>
      </c>
      <c r="F78" s="23" t="s">
        <v>101</v>
      </c>
      <c r="G78" s="73">
        <v>1.3840031746031762</v>
      </c>
      <c r="H78" s="2"/>
      <c r="I78" s="2"/>
      <c r="J78" s="2"/>
      <c r="K78" s="2"/>
      <c r="L78" s="2"/>
      <c r="M78" s="2"/>
      <c r="N78" s="2"/>
      <c r="O78" s="27"/>
    </row>
    <row r="79" spans="2:15" x14ac:dyDescent="0.2">
      <c r="B79" s="29" t="s">
        <v>16</v>
      </c>
      <c r="C79" s="31">
        <v>4.6928888888888984</v>
      </c>
      <c r="D79" s="23" t="s">
        <v>102</v>
      </c>
      <c r="E79" s="32">
        <v>3.2509523809523699</v>
      </c>
      <c r="F79" s="23" t="s">
        <v>102</v>
      </c>
      <c r="G79" s="73">
        <v>1.4423365079365205</v>
      </c>
      <c r="H79" s="2"/>
      <c r="I79" s="2"/>
      <c r="J79" s="2"/>
      <c r="K79" s="2"/>
      <c r="L79" s="2"/>
      <c r="M79" s="2"/>
      <c r="N79" s="2"/>
      <c r="O79" s="27"/>
    </row>
    <row r="80" spans="2:15" x14ac:dyDescent="0.2">
      <c r="B80" s="29"/>
      <c r="C80" s="33"/>
      <c r="D80" s="23"/>
      <c r="E80" s="33"/>
      <c r="F80" s="23"/>
      <c r="G80" s="74"/>
      <c r="H80" s="2"/>
      <c r="I80" s="2"/>
      <c r="J80" s="2"/>
      <c r="K80" s="2"/>
      <c r="L80" s="2"/>
      <c r="M80" s="2"/>
      <c r="N80" s="2"/>
      <c r="O80" s="27"/>
    </row>
    <row r="81" spans="2:15" x14ac:dyDescent="0.2">
      <c r="B81" s="29" t="s">
        <v>17</v>
      </c>
      <c r="C81" s="31">
        <v>4.1502222222222258</v>
      </c>
      <c r="D81" s="24">
        <v>2002</v>
      </c>
      <c r="E81" s="34">
        <v>3.083452380952366</v>
      </c>
      <c r="F81" s="24">
        <v>2002</v>
      </c>
      <c r="G81" s="73">
        <v>-0.16270000000000451</v>
      </c>
      <c r="H81" s="2"/>
      <c r="I81" s="2"/>
      <c r="J81" s="2"/>
      <c r="K81" s="2"/>
      <c r="L81" s="2"/>
      <c r="M81" s="2"/>
      <c r="N81" s="2"/>
      <c r="O81" s="27"/>
    </row>
    <row r="82" spans="2:15" ht="13.5" thickBot="1" x14ac:dyDescent="0.25">
      <c r="B82" s="41"/>
      <c r="C82" s="42"/>
      <c r="D82" s="43"/>
      <c r="E82" s="42"/>
      <c r="F82" s="43"/>
      <c r="G82" s="80"/>
      <c r="H82" s="36"/>
      <c r="I82" s="36"/>
      <c r="J82" s="36"/>
      <c r="K82" s="36"/>
      <c r="L82" s="36"/>
      <c r="M82" s="36"/>
      <c r="N82" s="36"/>
      <c r="O82" s="37"/>
    </row>
  </sheetData>
  <mergeCells count="1">
    <mergeCell ref="B3:O3"/>
  </mergeCells>
  <phoneticPr fontId="0" type="noConversion"/>
  <printOptions horizontalCentered="1" verticalCentered="1"/>
  <pageMargins left="0.75" right="0.75" top="1" bottom="1" header="0.5" footer="0.5"/>
  <pageSetup scale="46" orientation="landscape" r:id="rId1"/>
  <headerFooter alignWithMargins="0"/>
  <rowBreaks count="1" manualBreakCount="1">
    <brk id="26" max="1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G81"/>
  <sheetViews>
    <sheetView zoomScale="75" zoomScaleNormal="70" workbookViewId="0">
      <selection activeCell="C33" sqref="C33"/>
    </sheetView>
  </sheetViews>
  <sheetFormatPr defaultRowHeight="12.75" x14ac:dyDescent="0.2"/>
  <cols>
    <col min="2" max="2" width="16.28515625" customWidth="1"/>
    <col min="3" max="3" width="15.28515625" customWidth="1"/>
    <col min="4" max="4" width="14.140625" customWidth="1"/>
    <col min="5" max="5" width="13.7109375" customWidth="1"/>
    <col min="6" max="6" width="17.28515625" customWidth="1"/>
    <col min="7" max="7" width="13" customWidth="1"/>
    <col min="8" max="8" width="19" bestFit="1" customWidth="1"/>
    <col min="9" max="9" width="15" customWidth="1"/>
    <col min="10" max="10" width="14.5703125" customWidth="1"/>
    <col min="11" max="11" width="15.28515625" customWidth="1"/>
    <col min="12" max="12" width="15.42578125" customWidth="1"/>
    <col min="13" max="13" width="14.7109375" customWidth="1"/>
    <col min="14" max="15" width="13.42578125" bestFit="1" customWidth="1"/>
    <col min="16" max="16" width="13.7109375" customWidth="1"/>
    <col min="17" max="17" width="12.5703125" customWidth="1"/>
    <col min="18" max="18" width="15.28515625" bestFit="1" customWidth="1"/>
    <col min="19" max="19" width="11.85546875" customWidth="1"/>
    <col min="20" max="20" width="12" customWidth="1"/>
    <col min="21" max="21" width="11.7109375" customWidth="1"/>
    <col min="22" max="22" width="11.5703125" customWidth="1"/>
    <col min="23" max="23" width="11.7109375" bestFit="1" customWidth="1"/>
    <col min="24" max="24" width="9.28515625" bestFit="1" customWidth="1"/>
    <col min="25" max="25" width="11.7109375" bestFit="1" customWidth="1"/>
    <col min="26" max="26" width="12.140625" bestFit="1" customWidth="1"/>
    <col min="27" max="27" width="11.7109375" bestFit="1" customWidth="1"/>
    <col min="28" max="28" width="12.140625" bestFit="1" customWidth="1"/>
    <col min="29" max="29" width="3" customWidth="1"/>
  </cols>
  <sheetData>
    <row r="1" spans="1:30" ht="18" x14ac:dyDescent="0.25">
      <c r="A1" s="2"/>
      <c r="B1" s="16" t="s">
        <v>1</v>
      </c>
      <c r="C1" s="2"/>
      <c r="D1" s="2"/>
      <c r="E1" s="12">
        <v>100</v>
      </c>
      <c r="F1" s="12">
        <v>100</v>
      </c>
      <c r="G1" s="12">
        <v>100</v>
      </c>
      <c r="H1" s="9">
        <v>100</v>
      </c>
      <c r="I1" s="2"/>
      <c r="J1" s="2"/>
      <c r="L1" s="20">
        <v>100</v>
      </c>
      <c r="M1" s="2"/>
      <c r="N1" s="2"/>
      <c r="P1" s="17"/>
      <c r="Q1" s="2"/>
      <c r="R1" s="2"/>
      <c r="T1" s="2"/>
      <c r="U1" s="2"/>
      <c r="V1" s="2"/>
      <c r="X1" s="2"/>
      <c r="Y1" s="2"/>
      <c r="Z1" s="2"/>
      <c r="AA1" s="2"/>
    </row>
    <row r="2" spans="1:30" ht="13.5" thickBot="1" x14ac:dyDescent="0.25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30" ht="26.25" x14ac:dyDescent="0.4">
      <c r="A3" s="2"/>
      <c r="B3" s="136" t="s">
        <v>105</v>
      </c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43"/>
      <c r="P3" s="25"/>
      <c r="Q3" s="25"/>
      <c r="R3" s="25"/>
      <c r="S3" s="25"/>
      <c r="T3" s="25"/>
      <c r="U3" s="2"/>
      <c r="V3" s="2"/>
      <c r="W3" s="2"/>
      <c r="X3" s="2"/>
      <c r="Y3" s="2"/>
      <c r="Z3" s="2"/>
      <c r="AA3" s="2"/>
      <c r="AB3" s="2"/>
    </row>
    <row r="4" spans="1:30" x14ac:dyDescent="0.2">
      <c r="A4" s="2"/>
      <c r="B4" s="26" t="s">
        <v>5</v>
      </c>
      <c r="C4" s="2"/>
      <c r="D4" s="38">
        <v>37151</v>
      </c>
      <c r="E4" s="2"/>
      <c r="F4" s="2"/>
      <c r="G4" s="2"/>
      <c r="H4" s="2"/>
      <c r="I4" s="2"/>
      <c r="J4" s="2"/>
      <c r="K4" s="2"/>
      <c r="L4" s="2"/>
      <c r="M4" s="2"/>
      <c r="N4" s="2"/>
      <c r="O4" s="27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30" x14ac:dyDescent="0.2">
      <c r="A5" s="2"/>
      <c r="B5" s="2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7"/>
      <c r="P5" s="2"/>
      <c r="Q5" s="2"/>
      <c r="R5" s="2"/>
      <c r="S5" s="18"/>
      <c r="T5" s="2"/>
      <c r="U5" s="2"/>
      <c r="V5" s="18"/>
      <c r="W5" s="2"/>
      <c r="X5" s="19"/>
      <c r="Y5" s="2"/>
      <c r="Z5" s="2"/>
      <c r="AA5" s="2"/>
      <c r="AB5" s="2"/>
    </row>
    <row r="6" spans="1:30" ht="15" x14ac:dyDescent="0.25">
      <c r="A6" s="2"/>
      <c r="B6" s="75"/>
      <c r="C6" s="140" t="s">
        <v>52</v>
      </c>
      <c r="D6" s="140"/>
      <c r="E6" s="140"/>
      <c r="F6" s="140"/>
      <c r="G6" s="140"/>
      <c r="H6" s="141"/>
      <c r="I6" s="2"/>
      <c r="J6" s="52"/>
      <c r="K6" s="138" t="s">
        <v>59</v>
      </c>
      <c r="L6" s="138"/>
      <c r="M6" s="138"/>
      <c r="N6" s="138"/>
      <c r="O6" s="144"/>
      <c r="P6" s="2"/>
      <c r="Q6" s="2"/>
      <c r="R6" s="2"/>
      <c r="S6" s="2"/>
      <c r="T6" s="2"/>
      <c r="W6" s="2"/>
      <c r="AA6" s="2"/>
      <c r="AB6" s="2"/>
    </row>
    <row r="7" spans="1:30" x14ac:dyDescent="0.2">
      <c r="A7" s="2"/>
      <c r="B7" s="28"/>
      <c r="C7" s="3" t="s">
        <v>51</v>
      </c>
      <c r="D7" s="3" t="s">
        <v>58</v>
      </c>
      <c r="E7" s="3" t="s">
        <v>0</v>
      </c>
      <c r="F7" s="3" t="s">
        <v>45</v>
      </c>
      <c r="G7" s="3" t="s">
        <v>50</v>
      </c>
      <c r="H7" s="44" t="s">
        <v>53</v>
      </c>
      <c r="I7" s="2"/>
      <c r="J7" s="53"/>
      <c r="K7" s="3" t="s">
        <v>43</v>
      </c>
      <c r="L7" s="3" t="s">
        <v>44</v>
      </c>
      <c r="M7" s="3" t="s">
        <v>42</v>
      </c>
      <c r="N7" s="3" t="s">
        <v>40</v>
      </c>
      <c r="O7" s="39" t="s">
        <v>41</v>
      </c>
      <c r="P7" s="2"/>
      <c r="Q7" s="2"/>
      <c r="R7" s="2"/>
      <c r="S7" s="2"/>
      <c r="T7" s="2"/>
      <c r="W7" s="2"/>
      <c r="AA7" s="2"/>
      <c r="AB7" s="7"/>
      <c r="AC7" s="1"/>
      <c r="AD7" s="1"/>
    </row>
    <row r="8" spans="1:30" x14ac:dyDescent="0.2">
      <c r="A8" s="2"/>
      <c r="B8" s="29">
        <v>37165</v>
      </c>
      <c r="C8" s="11">
        <v>28.81</v>
      </c>
      <c r="D8" s="11"/>
      <c r="E8" s="12">
        <v>83.17</v>
      </c>
      <c r="F8" s="12">
        <v>80.7</v>
      </c>
      <c r="G8" s="12">
        <v>44.75</v>
      </c>
      <c r="H8" s="46">
        <v>35.75</v>
      </c>
      <c r="I8" s="2"/>
      <c r="J8" s="45">
        <v>37165</v>
      </c>
      <c r="K8" s="20">
        <v>80.7</v>
      </c>
      <c r="L8" s="20">
        <v>79.45</v>
      </c>
      <c r="M8" s="20">
        <v>84.25</v>
      </c>
      <c r="N8" s="21">
        <v>21.8</v>
      </c>
      <c r="O8" s="40">
        <v>21.1</v>
      </c>
      <c r="P8" s="2"/>
      <c r="Q8" s="2"/>
      <c r="R8" s="2"/>
      <c r="S8" s="2"/>
      <c r="T8" s="2"/>
      <c r="W8" s="2"/>
      <c r="AA8" s="2"/>
      <c r="AB8" s="7"/>
      <c r="AC8" s="1"/>
      <c r="AD8" s="1"/>
    </row>
    <row r="9" spans="1:30" x14ac:dyDescent="0.2">
      <c r="A9" s="2"/>
      <c r="B9" s="29">
        <v>37196</v>
      </c>
      <c r="C9" s="11">
        <v>29.17</v>
      </c>
      <c r="D9" s="11">
        <v>28.62</v>
      </c>
      <c r="E9" s="12">
        <v>80.09</v>
      </c>
      <c r="F9" s="12">
        <v>82</v>
      </c>
      <c r="G9" s="12">
        <v>45.25</v>
      </c>
      <c r="H9" s="46">
        <v>35.75</v>
      </c>
      <c r="I9" s="2"/>
      <c r="J9" s="45">
        <v>37196</v>
      </c>
      <c r="K9" s="20">
        <v>82</v>
      </c>
      <c r="L9" s="20">
        <v>79.25</v>
      </c>
      <c r="M9" s="20">
        <v>84.45</v>
      </c>
      <c r="N9" s="21">
        <v>21.9</v>
      </c>
      <c r="O9" s="40">
        <v>20.8</v>
      </c>
      <c r="P9" s="2"/>
      <c r="Q9" s="2"/>
      <c r="R9" s="2"/>
      <c r="S9" s="2"/>
      <c r="T9" s="2"/>
      <c r="W9" s="2"/>
      <c r="AA9" s="2"/>
      <c r="AB9" s="7"/>
      <c r="AC9" s="1"/>
      <c r="AD9" s="1"/>
    </row>
    <row r="10" spans="1:30" x14ac:dyDescent="0.2">
      <c r="A10" s="2"/>
      <c r="B10" s="29">
        <v>37226</v>
      </c>
      <c r="C10" s="11">
        <v>29.13</v>
      </c>
      <c r="D10" s="11">
        <v>28.19</v>
      </c>
      <c r="E10" s="12">
        <v>78.489999999999995</v>
      </c>
      <c r="F10" s="12">
        <v>82.55</v>
      </c>
      <c r="G10" s="12">
        <v>46.75</v>
      </c>
      <c r="H10" s="46">
        <v>35.75</v>
      </c>
      <c r="I10" s="2"/>
      <c r="J10" s="45">
        <v>37226</v>
      </c>
      <c r="K10" s="20">
        <v>82.55</v>
      </c>
      <c r="L10" s="20">
        <v>78</v>
      </c>
      <c r="M10" s="20">
        <v>83.25</v>
      </c>
      <c r="N10" s="21">
        <v>22</v>
      </c>
      <c r="O10" s="40">
        <v>20.5</v>
      </c>
      <c r="P10" s="2"/>
      <c r="Q10" s="2"/>
      <c r="R10" s="2"/>
      <c r="S10" s="2"/>
      <c r="T10" s="2"/>
      <c r="W10" s="2"/>
      <c r="AA10" s="2"/>
      <c r="AB10" s="7"/>
      <c r="AC10" s="1"/>
      <c r="AD10" s="1"/>
    </row>
    <row r="11" spans="1:30" x14ac:dyDescent="0.2">
      <c r="A11" s="2"/>
      <c r="B11" s="29">
        <v>37257</v>
      </c>
      <c r="C11" s="11">
        <v>28.73</v>
      </c>
      <c r="D11" s="11">
        <v>27.61</v>
      </c>
      <c r="E11" s="12">
        <v>77.790000000000006</v>
      </c>
      <c r="F11" s="12">
        <v>82.8</v>
      </c>
      <c r="G11" s="12">
        <v>47.5</v>
      </c>
      <c r="H11" s="46">
        <v>36.75</v>
      </c>
      <c r="I11" s="2"/>
      <c r="J11" s="45">
        <v>37257</v>
      </c>
      <c r="K11" s="20">
        <v>82.8</v>
      </c>
      <c r="L11" s="20">
        <v>78.900000000000006</v>
      </c>
      <c r="M11" s="20">
        <v>84</v>
      </c>
      <c r="N11" s="21">
        <v>22.1</v>
      </c>
      <c r="O11" s="40">
        <v>20.25</v>
      </c>
      <c r="P11" s="2"/>
      <c r="Q11" s="2"/>
      <c r="R11" s="2"/>
      <c r="S11" s="2"/>
      <c r="T11" s="2"/>
      <c r="W11" s="2"/>
      <c r="AA11" s="2"/>
      <c r="AB11" s="7"/>
      <c r="AC11" s="1"/>
      <c r="AD11" s="1"/>
    </row>
    <row r="12" spans="1:30" x14ac:dyDescent="0.2">
      <c r="A12" s="2"/>
      <c r="B12" s="29">
        <v>37288</v>
      </c>
      <c r="C12" s="11">
        <v>28.29</v>
      </c>
      <c r="D12" s="11">
        <v>27.15</v>
      </c>
      <c r="E12" s="12">
        <v>77.989999999999995</v>
      </c>
      <c r="F12" s="12">
        <v>81.849999999999994</v>
      </c>
      <c r="G12" s="12">
        <v>46.75</v>
      </c>
      <c r="H12" s="46">
        <v>35.5</v>
      </c>
      <c r="I12" s="2"/>
      <c r="J12" s="45">
        <v>37288</v>
      </c>
      <c r="K12" s="20">
        <v>81.849999999999994</v>
      </c>
      <c r="L12" s="20">
        <v>75.5</v>
      </c>
      <c r="M12" s="20">
        <v>80.599999999999994</v>
      </c>
      <c r="N12" s="21">
        <v>22</v>
      </c>
      <c r="O12" s="40">
        <v>20.05</v>
      </c>
      <c r="P12" s="2"/>
      <c r="Q12" s="2"/>
      <c r="R12" s="2"/>
      <c r="S12" s="2"/>
      <c r="T12" s="2"/>
      <c r="W12" s="2"/>
      <c r="AA12" s="2"/>
      <c r="AB12" s="7"/>
      <c r="AC12" s="1"/>
      <c r="AD12" s="1"/>
    </row>
    <row r="13" spans="1:30" x14ac:dyDescent="0.2">
      <c r="A13" s="2"/>
      <c r="B13" s="29">
        <v>37316</v>
      </c>
      <c r="C13" s="11">
        <v>27.87</v>
      </c>
      <c r="D13" s="11">
        <v>26.69</v>
      </c>
      <c r="E13" s="12">
        <v>78.540000000000006</v>
      </c>
      <c r="F13" s="12">
        <v>78.45</v>
      </c>
      <c r="G13" s="12">
        <v>45.25</v>
      </c>
      <c r="H13" s="46">
        <v>35.25</v>
      </c>
      <c r="I13" s="2"/>
      <c r="J13" s="45">
        <v>37316</v>
      </c>
      <c r="K13" s="20">
        <v>78.45</v>
      </c>
      <c r="L13" s="20">
        <v>72.5</v>
      </c>
      <c r="M13" s="20">
        <v>77.599999999999994</v>
      </c>
      <c r="N13" s="21">
        <v>21.9</v>
      </c>
      <c r="O13" s="40">
        <v>19.75</v>
      </c>
      <c r="P13" s="2"/>
      <c r="Q13" s="2"/>
      <c r="R13" s="2"/>
      <c r="S13" s="2"/>
      <c r="T13" s="2"/>
      <c r="W13" s="2"/>
      <c r="AA13" s="2"/>
      <c r="AB13" s="7"/>
      <c r="AC13" s="1"/>
      <c r="AD13" s="1"/>
    </row>
    <row r="14" spans="1:30" x14ac:dyDescent="0.2">
      <c r="A14" s="2"/>
      <c r="B14" s="29">
        <v>37347</v>
      </c>
      <c r="C14" s="11">
        <v>27.46</v>
      </c>
      <c r="D14" s="11">
        <v>26.27</v>
      </c>
      <c r="E14" s="12">
        <v>84.09</v>
      </c>
      <c r="F14" s="12">
        <v>75.45</v>
      </c>
      <c r="G14" s="12">
        <v>44.35</v>
      </c>
      <c r="H14" s="46">
        <v>34.5</v>
      </c>
      <c r="I14" s="2"/>
      <c r="J14" s="45">
        <v>37347</v>
      </c>
      <c r="K14" s="20">
        <v>75.45</v>
      </c>
      <c r="L14" s="20">
        <v>70.349999999999994</v>
      </c>
      <c r="M14" s="20">
        <v>74.25</v>
      </c>
      <c r="N14" s="21">
        <v>21.7</v>
      </c>
      <c r="O14" s="40">
        <v>19.45</v>
      </c>
      <c r="P14" s="2"/>
      <c r="Q14" s="2"/>
      <c r="R14" s="2"/>
      <c r="S14" s="2"/>
      <c r="T14" s="2"/>
      <c r="W14" s="2"/>
      <c r="AA14" s="2"/>
      <c r="AB14" s="7"/>
      <c r="AC14" s="1"/>
      <c r="AD14" s="1"/>
    </row>
    <row r="15" spans="1:30" x14ac:dyDescent="0.2">
      <c r="A15" s="2"/>
      <c r="B15" s="29">
        <v>37377</v>
      </c>
      <c r="C15" s="11">
        <v>27.06</v>
      </c>
      <c r="D15" s="11">
        <v>25.87</v>
      </c>
      <c r="E15" s="12">
        <v>84.04</v>
      </c>
      <c r="F15" s="12">
        <v>72.7</v>
      </c>
      <c r="G15" s="12">
        <v>44.35</v>
      </c>
      <c r="H15" s="46">
        <v>34.5</v>
      </c>
      <c r="I15" s="2"/>
      <c r="J15" s="45">
        <v>37377</v>
      </c>
      <c r="K15" s="20">
        <v>72.7</v>
      </c>
      <c r="L15" s="20">
        <v>69.2</v>
      </c>
      <c r="M15" s="20">
        <v>73.099999999999994</v>
      </c>
      <c r="N15" s="21">
        <v>21.5</v>
      </c>
      <c r="O15" s="40">
        <v>19.2</v>
      </c>
      <c r="P15" s="2"/>
      <c r="Q15" s="2"/>
      <c r="R15" s="2"/>
      <c r="S15" s="2"/>
      <c r="T15" s="2"/>
      <c r="W15" s="2"/>
      <c r="AA15" s="2"/>
      <c r="AB15" s="7"/>
      <c r="AC15" s="1"/>
      <c r="AD15" s="1"/>
    </row>
    <row r="16" spans="1:30" x14ac:dyDescent="0.2">
      <c r="A16" s="2"/>
      <c r="B16" s="29">
        <v>37408</v>
      </c>
      <c r="C16" s="11">
        <v>26.66</v>
      </c>
      <c r="D16" s="11">
        <v>25.49</v>
      </c>
      <c r="E16" s="12">
        <v>83.14</v>
      </c>
      <c r="F16" s="12">
        <v>71.55</v>
      </c>
      <c r="G16" s="12">
        <v>44.35</v>
      </c>
      <c r="H16" s="46">
        <v>34.5</v>
      </c>
      <c r="I16" s="2"/>
      <c r="J16" s="45">
        <v>37408</v>
      </c>
      <c r="K16" s="20">
        <v>71.55</v>
      </c>
      <c r="L16" s="20">
        <v>69</v>
      </c>
      <c r="M16" s="20">
        <v>72.900000000000006</v>
      </c>
      <c r="N16" s="21">
        <v>21.4</v>
      </c>
      <c r="O16" s="40">
        <v>18.95</v>
      </c>
      <c r="P16" s="2"/>
      <c r="Q16" s="2"/>
      <c r="R16" s="2"/>
      <c r="S16" s="2"/>
      <c r="T16" s="2"/>
      <c r="W16" s="2"/>
      <c r="AA16" s="2"/>
      <c r="AB16" s="7"/>
      <c r="AC16" s="1"/>
      <c r="AD16" s="1"/>
    </row>
    <row r="17" spans="1:33" x14ac:dyDescent="0.2">
      <c r="A17" s="2"/>
      <c r="B17" s="29">
        <v>37438</v>
      </c>
      <c r="C17" s="11">
        <v>26.28</v>
      </c>
      <c r="D17" s="11">
        <v>25.15</v>
      </c>
      <c r="E17" s="12">
        <v>81.64</v>
      </c>
      <c r="F17" s="12">
        <v>71.349999999999994</v>
      </c>
      <c r="G17" s="12">
        <v>44.35</v>
      </c>
      <c r="H17" s="46">
        <v>34.75</v>
      </c>
      <c r="I17" s="2"/>
      <c r="J17" s="45">
        <v>37438</v>
      </c>
      <c r="K17" s="20">
        <v>71.349999999999994</v>
      </c>
      <c r="L17" s="20">
        <v>69</v>
      </c>
      <c r="M17" s="20">
        <v>73.7</v>
      </c>
      <c r="N17" s="21">
        <v>21.212</v>
      </c>
      <c r="O17" s="40">
        <v>18.662000000000003</v>
      </c>
      <c r="P17" s="2"/>
      <c r="Q17" s="2"/>
      <c r="R17" s="2"/>
      <c r="S17" s="2"/>
      <c r="T17" s="2"/>
      <c r="W17" s="2"/>
      <c r="AA17" s="2"/>
      <c r="AB17" s="7"/>
      <c r="AC17" s="1"/>
      <c r="AD17" s="1"/>
    </row>
    <row r="18" spans="1:33" x14ac:dyDescent="0.2">
      <c r="A18" s="2"/>
      <c r="B18" s="29">
        <v>37469</v>
      </c>
      <c r="C18" s="11">
        <v>25.92</v>
      </c>
      <c r="D18" s="11">
        <v>24.83</v>
      </c>
      <c r="E18" s="12">
        <v>79.53</v>
      </c>
      <c r="F18" s="12">
        <v>71.45</v>
      </c>
      <c r="G18" s="12"/>
      <c r="H18" s="46"/>
      <c r="I18" s="2"/>
      <c r="J18" s="45">
        <v>37469</v>
      </c>
      <c r="K18" s="20">
        <v>71.45</v>
      </c>
      <c r="L18" s="20">
        <v>69.400000000000006</v>
      </c>
      <c r="M18" s="20">
        <v>74.099999999999994</v>
      </c>
      <c r="N18" s="21">
        <v>20.864000000000001</v>
      </c>
      <c r="O18" s="40">
        <v>18.314</v>
      </c>
      <c r="P18" s="2"/>
      <c r="Q18" s="2"/>
      <c r="R18" s="2"/>
      <c r="S18" s="2"/>
      <c r="T18" s="2"/>
      <c r="W18" s="2"/>
      <c r="AA18" s="2"/>
      <c r="AB18" s="7"/>
      <c r="AC18" s="7"/>
      <c r="AD18" s="1"/>
      <c r="AE18" s="1"/>
    </row>
    <row r="19" spans="1:33" x14ac:dyDescent="0.2">
      <c r="A19" s="2"/>
      <c r="B19" s="29">
        <v>37500</v>
      </c>
      <c r="C19" s="11">
        <v>25.58</v>
      </c>
      <c r="D19" s="11">
        <v>24.53</v>
      </c>
      <c r="E19" s="12">
        <v>77.03</v>
      </c>
      <c r="F19" s="12">
        <v>71.849999999999994</v>
      </c>
      <c r="G19" s="12"/>
      <c r="H19" s="46"/>
      <c r="I19" s="2"/>
      <c r="J19" s="45">
        <v>37500</v>
      </c>
      <c r="K19" s="20">
        <v>71.849999999999994</v>
      </c>
      <c r="L19" s="20">
        <v>69.8</v>
      </c>
      <c r="M19" s="20">
        <v>74.5</v>
      </c>
      <c r="N19" s="21">
        <v>20.58</v>
      </c>
      <c r="O19" s="40">
        <v>18.03</v>
      </c>
      <c r="P19" s="2"/>
      <c r="Q19" s="2"/>
      <c r="R19" s="2"/>
      <c r="S19" s="2"/>
      <c r="T19" s="2"/>
      <c r="W19" s="2"/>
      <c r="AA19" s="2"/>
      <c r="AB19" s="7"/>
      <c r="AC19" s="7"/>
      <c r="AD19" s="1"/>
      <c r="AE19" s="1"/>
    </row>
    <row r="20" spans="1:33" x14ac:dyDescent="0.2">
      <c r="A20" s="2"/>
      <c r="B20" s="29">
        <v>37530</v>
      </c>
      <c r="C20" s="11">
        <v>25.26</v>
      </c>
      <c r="D20" s="11">
        <v>24.26</v>
      </c>
      <c r="E20" s="12"/>
      <c r="F20" s="12">
        <v>72.25</v>
      </c>
      <c r="G20" s="12"/>
      <c r="H20" s="46"/>
      <c r="I20" s="2"/>
      <c r="J20" s="45">
        <v>37530</v>
      </c>
      <c r="K20" s="20">
        <v>72.25</v>
      </c>
      <c r="L20" s="20">
        <v>69</v>
      </c>
      <c r="M20" s="20">
        <v>74.45</v>
      </c>
      <c r="N20" s="21">
        <v>20.307000000000002</v>
      </c>
      <c r="O20" s="40">
        <v>17.757000000000001</v>
      </c>
      <c r="P20" s="2"/>
      <c r="Q20" s="2"/>
      <c r="R20" s="2"/>
      <c r="S20" s="2"/>
      <c r="T20" s="2"/>
      <c r="W20" s="2"/>
      <c r="AA20" s="2"/>
      <c r="AB20" s="7"/>
      <c r="AC20" s="7"/>
      <c r="AD20" s="1"/>
      <c r="AE20" s="1"/>
    </row>
    <row r="21" spans="1:33" x14ac:dyDescent="0.2">
      <c r="A21" s="2"/>
      <c r="B21" s="29">
        <v>37561</v>
      </c>
      <c r="C21" s="11">
        <v>24.98</v>
      </c>
      <c r="D21" s="11">
        <v>24.01</v>
      </c>
      <c r="E21" s="12"/>
      <c r="F21" s="12">
        <v>72.650000000000006</v>
      </c>
      <c r="G21" s="12"/>
      <c r="H21" s="46"/>
      <c r="I21" s="2"/>
      <c r="J21" s="45">
        <v>37561</v>
      </c>
      <c r="K21" s="20">
        <v>72.650000000000006</v>
      </c>
      <c r="L21" s="20">
        <v>69.400000000000006</v>
      </c>
      <c r="M21" s="20">
        <v>74.849999999999994</v>
      </c>
      <c r="N21" s="21">
        <v>20.07</v>
      </c>
      <c r="O21" s="40">
        <v>17.52</v>
      </c>
      <c r="P21" s="2"/>
      <c r="Q21" s="2"/>
      <c r="R21" s="2"/>
      <c r="S21" s="2"/>
      <c r="T21" s="2"/>
      <c r="W21" s="2"/>
      <c r="AA21" s="2"/>
      <c r="AB21" s="7"/>
      <c r="AC21" s="7"/>
      <c r="AD21" s="1"/>
      <c r="AE21" s="1"/>
    </row>
    <row r="22" spans="1:33" x14ac:dyDescent="0.2">
      <c r="A22" s="2"/>
      <c r="B22" s="29">
        <v>37591</v>
      </c>
      <c r="C22" s="11">
        <v>24.74</v>
      </c>
      <c r="D22" s="11">
        <v>23.78</v>
      </c>
      <c r="E22" s="12"/>
      <c r="F22" s="12">
        <v>73.05</v>
      </c>
      <c r="G22" s="12"/>
      <c r="H22" s="46"/>
      <c r="I22" s="2"/>
      <c r="J22" s="45">
        <v>37591</v>
      </c>
      <c r="K22" s="20">
        <v>73.05</v>
      </c>
      <c r="L22" s="20">
        <v>69.7</v>
      </c>
      <c r="M22" s="20">
        <v>75.150000000000006</v>
      </c>
      <c r="N22" s="21">
        <v>19.876000000000001</v>
      </c>
      <c r="O22" s="40">
        <v>17.326000000000001</v>
      </c>
      <c r="P22" s="2"/>
      <c r="Q22" s="2"/>
      <c r="R22" s="2"/>
      <c r="S22" s="2"/>
      <c r="T22" s="2"/>
      <c r="W22" s="2"/>
      <c r="AA22" s="2"/>
      <c r="AB22" s="7"/>
      <c r="AC22" s="7"/>
      <c r="AD22" s="1"/>
      <c r="AE22" s="1"/>
    </row>
    <row r="23" spans="1:33" x14ac:dyDescent="0.2">
      <c r="A23" s="2"/>
      <c r="B23" s="29">
        <v>37622</v>
      </c>
      <c r="C23" s="11">
        <v>24.53</v>
      </c>
      <c r="D23" s="13"/>
      <c r="E23" s="12"/>
      <c r="F23" s="12">
        <v>73.349999999999994</v>
      </c>
      <c r="G23" s="12"/>
      <c r="H23" s="46"/>
      <c r="I23" s="2"/>
      <c r="J23" s="45">
        <v>37622</v>
      </c>
      <c r="K23" s="20">
        <v>73.349999999999994</v>
      </c>
      <c r="L23" s="20">
        <v>69.75</v>
      </c>
      <c r="M23" s="20">
        <v>75.849999999999994</v>
      </c>
      <c r="N23" s="21">
        <v>20.266000000000002</v>
      </c>
      <c r="O23" s="40">
        <v>17.216000000000001</v>
      </c>
      <c r="P23" s="2"/>
      <c r="Q23" s="2"/>
      <c r="R23" s="2"/>
      <c r="S23" s="2"/>
      <c r="T23" s="2"/>
      <c r="W23" s="2"/>
      <c r="AA23" s="2"/>
      <c r="AB23" s="7"/>
      <c r="AC23" s="7"/>
      <c r="AD23" s="1"/>
      <c r="AE23" s="1"/>
    </row>
    <row r="24" spans="1:33" x14ac:dyDescent="0.2">
      <c r="A24" s="2"/>
      <c r="B24" s="76">
        <v>37653</v>
      </c>
      <c r="C24" s="48">
        <v>24.34</v>
      </c>
      <c r="D24" s="49"/>
      <c r="E24" s="50"/>
      <c r="F24" s="50"/>
      <c r="G24" s="50"/>
      <c r="H24" s="51"/>
      <c r="I24" s="2"/>
      <c r="J24" s="47">
        <v>37653</v>
      </c>
      <c r="K24" s="20">
        <v>72.849999999999994</v>
      </c>
      <c r="L24" s="20">
        <v>68</v>
      </c>
      <c r="M24" s="20">
        <v>74.099999999999994</v>
      </c>
      <c r="N24" s="54">
        <v>20.112000000000002</v>
      </c>
      <c r="O24" s="77">
        <v>17.062000000000001</v>
      </c>
      <c r="P24" s="2"/>
      <c r="Q24" s="2"/>
      <c r="R24" s="2"/>
      <c r="S24" s="2"/>
      <c r="T24" s="2"/>
      <c r="W24" s="2"/>
      <c r="AA24" s="2"/>
      <c r="AB24" s="7"/>
      <c r="AC24" s="7"/>
      <c r="AD24" s="1"/>
      <c r="AE24" s="1"/>
    </row>
    <row r="25" spans="1:33" x14ac:dyDescent="0.2">
      <c r="A25" s="2"/>
      <c r="B25" s="30"/>
      <c r="C25" s="2" t="s">
        <v>54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7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C25" s="7"/>
      <c r="AD25" s="7"/>
      <c r="AE25" s="1"/>
    </row>
    <row r="26" spans="1:33" x14ac:dyDescent="0.2">
      <c r="A26" s="2"/>
      <c r="B26" s="30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33" x14ac:dyDescent="0.2">
      <c r="A27" s="2"/>
      <c r="B27" s="78"/>
      <c r="C27" s="134" t="s">
        <v>55</v>
      </c>
      <c r="D27" s="134"/>
      <c r="E27" s="134"/>
      <c r="F27" s="134"/>
      <c r="G27" s="134"/>
      <c r="H27" s="134"/>
      <c r="I27" s="134"/>
      <c r="J27" s="134"/>
      <c r="K27" s="134"/>
      <c r="L27" s="134"/>
      <c r="M27" s="135"/>
      <c r="N27" s="2"/>
      <c r="O27" s="27"/>
      <c r="U27" s="2"/>
      <c r="V27" s="2"/>
      <c r="Z27" s="2"/>
      <c r="AA27" s="2"/>
      <c r="AB27" s="2"/>
      <c r="AC27" s="2"/>
      <c r="AD27" s="2"/>
      <c r="AE27" s="2"/>
      <c r="AF27" s="2"/>
      <c r="AG27" s="2"/>
    </row>
    <row r="28" spans="1:33" x14ac:dyDescent="0.2">
      <c r="A28" s="2"/>
      <c r="B28" s="30"/>
      <c r="C28" s="8"/>
      <c r="D28" s="8"/>
      <c r="E28" s="8"/>
      <c r="F28" s="8"/>
      <c r="G28" s="8"/>
      <c r="H28" s="8"/>
      <c r="I28" s="8"/>
      <c r="J28" s="5"/>
      <c r="K28" s="5"/>
      <c r="L28" s="5"/>
      <c r="M28" s="55"/>
      <c r="N28" s="2"/>
      <c r="O28" s="27"/>
      <c r="U28" s="2"/>
      <c r="V28" s="2"/>
      <c r="Z28" s="2"/>
      <c r="AA28" s="2"/>
      <c r="AB28" s="2"/>
      <c r="AC28" s="2"/>
      <c r="AD28" s="2"/>
      <c r="AE28" s="2"/>
      <c r="AF28" s="2"/>
      <c r="AG28" s="2"/>
    </row>
    <row r="29" spans="1:33" x14ac:dyDescent="0.2">
      <c r="A29" s="2"/>
      <c r="B29" s="29" t="s">
        <v>6</v>
      </c>
      <c r="C29" s="14">
        <v>29.15</v>
      </c>
      <c r="D29" s="5" t="s">
        <v>18</v>
      </c>
      <c r="E29" s="14">
        <v>5.4249999999999998</v>
      </c>
      <c r="F29" s="5" t="s">
        <v>30</v>
      </c>
      <c r="G29" s="22">
        <v>-1.125</v>
      </c>
      <c r="H29" s="5" t="s">
        <v>61</v>
      </c>
      <c r="I29" s="22"/>
      <c r="J29" s="5" t="s">
        <v>77</v>
      </c>
      <c r="K29" s="22">
        <v>27.996666666666666</v>
      </c>
      <c r="L29" s="5" t="s">
        <v>89</v>
      </c>
      <c r="M29" s="56">
        <v>0.206666666666667</v>
      </c>
      <c r="N29" s="2"/>
      <c r="O29" s="27"/>
      <c r="U29" s="2"/>
      <c r="V29" s="2"/>
      <c r="Z29" s="2"/>
      <c r="AA29" s="2"/>
      <c r="AB29" s="2"/>
      <c r="AC29" s="2"/>
      <c r="AD29" s="2"/>
      <c r="AE29" s="2"/>
      <c r="AF29" s="2"/>
      <c r="AG29" s="2"/>
    </row>
    <row r="30" spans="1:33" x14ac:dyDescent="0.2">
      <c r="A30" s="2"/>
      <c r="B30" s="29" t="s">
        <v>7</v>
      </c>
      <c r="C30" s="14">
        <v>28.996666666666663</v>
      </c>
      <c r="D30" s="5" t="s">
        <v>20</v>
      </c>
      <c r="E30" s="14">
        <v>6.2973333333333272</v>
      </c>
      <c r="F30" s="5" t="s">
        <v>31</v>
      </c>
      <c r="G30" s="22">
        <v>-1.18</v>
      </c>
      <c r="H30" s="5" t="s">
        <v>62</v>
      </c>
      <c r="I30" s="22">
        <v>-0.7516666666666616</v>
      </c>
      <c r="J30" s="5" t="s">
        <v>78</v>
      </c>
      <c r="K30" s="22">
        <v>27.456666666666663</v>
      </c>
      <c r="L30" s="5" t="s">
        <v>90</v>
      </c>
      <c r="M30" s="56">
        <v>0.13666666666666316</v>
      </c>
      <c r="N30" s="2"/>
      <c r="O30" s="27"/>
      <c r="U30" s="2"/>
      <c r="V30" s="2"/>
      <c r="Z30" s="2"/>
      <c r="AA30" s="2"/>
      <c r="AB30" s="2"/>
      <c r="AC30" s="2"/>
      <c r="AD30" s="2"/>
      <c r="AE30" s="2"/>
      <c r="AF30" s="2"/>
      <c r="AG30" s="2"/>
    </row>
    <row r="31" spans="1:33" x14ac:dyDescent="0.2">
      <c r="A31" s="2"/>
      <c r="B31" s="29" t="s">
        <v>8</v>
      </c>
      <c r="C31" s="14">
        <v>28.583333333333332</v>
      </c>
      <c r="D31" s="5" t="s">
        <v>21</v>
      </c>
      <c r="E31" s="14">
        <v>4.218</v>
      </c>
      <c r="F31" s="5" t="s">
        <v>32</v>
      </c>
      <c r="G31" s="22">
        <v>-1.1816666666666684</v>
      </c>
      <c r="H31" s="5" t="s">
        <v>63</v>
      </c>
      <c r="I31" s="22">
        <v>-0.793333333333333</v>
      </c>
      <c r="J31" s="5" t="s">
        <v>79</v>
      </c>
      <c r="K31" s="22">
        <v>26.996666666666663</v>
      </c>
      <c r="L31" s="5" t="s">
        <v>91</v>
      </c>
      <c r="M31" s="56">
        <v>3.1666666666662735E-2</v>
      </c>
      <c r="N31" s="2"/>
      <c r="O31" s="27"/>
      <c r="U31" s="2"/>
      <c r="V31" s="2"/>
      <c r="Z31" s="2"/>
      <c r="AA31" s="2"/>
      <c r="AB31" s="2"/>
      <c r="AC31" s="2"/>
      <c r="AD31" s="2"/>
      <c r="AE31" s="2"/>
      <c r="AF31" s="2"/>
      <c r="AG31" s="2"/>
    </row>
    <row r="32" spans="1:33" x14ac:dyDescent="0.2">
      <c r="A32" s="2"/>
      <c r="B32" s="29" t="s">
        <v>9</v>
      </c>
      <c r="C32" s="14">
        <v>28.15</v>
      </c>
      <c r="D32" s="5" t="s">
        <v>22</v>
      </c>
      <c r="E32" s="14">
        <v>4.5687777777777754</v>
      </c>
      <c r="F32" s="5" t="s">
        <v>33</v>
      </c>
      <c r="G32" s="22">
        <v>1.0744444444444454</v>
      </c>
      <c r="H32" s="5" t="s">
        <v>64</v>
      </c>
      <c r="I32" s="22">
        <v>-0.82999999999999829</v>
      </c>
      <c r="J32" s="5" t="s">
        <v>80</v>
      </c>
      <c r="K32" s="22">
        <v>26.55</v>
      </c>
      <c r="L32" s="5" t="s">
        <v>92</v>
      </c>
      <c r="M32" s="56">
        <v>-2.5000000000005684E-2</v>
      </c>
      <c r="N32" s="2"/>
      <c r="O32" s="27"/>
      <c r="U32" s="2"/>
      <c r="V32" s="2"/>
      <c r="Z32" s="2"/>
      <c r="AA32" s="2"/>
      <c r="AB32" s="2"/>
      <c r="AC32" s="2"/>
      <c r="AD32" s="2"/>
      <c r="AE32" s="2"/>
      <c r="AF32" s="2"/>
      <c r="AG32" s="2"/>
    </row>
    <row r="33" spans="1:33" x14ac:dyDescent="0.2">
      <c r="A33" s="2"/>
      <c r="B33" s="29" t="s">
        <v>10</v>
      </c>
      <c r="C33" s="14">
        <v>27.733333333333331</v>
      </c>
      <c r="D33" s="5" t="s">
        <v>19</v>
      </c>
      <c r="E33" s="14">
        <v>5.8341111111111097</v>
      </c>
      <c r="F33" s="5" t="s">
        <v>34</v>
      </c>
      <c r="G33" s="22"/>
      <c r="H33" s="5" t="s">
        <v>65</v>
      </c>
      <c r="I33" s="22">
        <v>-0.76833333333333087</v>
      </c>
      <c r="J33" s="5" t="s">
        <v>81</v>
      </c>
      <c r="K33" s="22">
        <v>26.136666666666663</v>
      </c>
      <c r="L33" s="5" t="s">
        <v>93</v>
      </c>
      <c r="M33" s="56">
        <v>6.6666666666606034E-3</v>
      </c>
      <c r="N33" s="2"/>
      <c r="O33" s="27"/>
      <c r="U33" s="2"/>
      <c r="V33" s="2"/>
      <c r="Z33" s="2"/>
      <c r="AA33" s="2"/>
      <c r="AB33" s="2"/>
      <c r="AC33" s="2"/>
      <c r="AD33" s="2"/>
      <c r="AE33" s="2"/>
      <c r="AF33" s="2"/>
      <c r="AG33" s="2"/>
    </row>
    <row r="34" spans="1:33" x14ac:dyDescent="0.2">
      <c r="A34" s="2"/>
      <c r="B34" s="29" t="s">
        <v>11</v>
      </c>
      <c r="C34" s="14">
        <v>27.326666666666664</v>
      </c>
      <c r="D34" s="5"/>
      <c r="E34" s="14"/>
      <c r="F34" s="5"/>
      <c r="G34" s="15"/>
      <c r="H34" s="5" t="s">
        <v>66</v>
      </c>
      <c r="I34" s="22">
        <v>-0.7516666666666616</v>
      </c>
      <c r="J34" s="5" t="s">
        <v>82</v>
      </c>
      <c r="K34" s="22">
        <v>25.743333333333332</v>
      </c>
      <c r="L34" s="5" t="s">
        <v>94</v>
      </c>
      <c r="M34" s="56">
        <v>6.3333333333332575E-2</v>
      </c>
      <c r="N34" s="2"/>
      <c r="O34" s="27"/>
      <c r="U34" s="2"/>
      <c r="V34" s="2"/>
      <c r="Z34" s="2"/>
      <c r="AA34" s="2"/>
      <c r="AB34" s="2"/>
      <c r="AC34" s="2"/>
      <c r="AD34" s="2"/>
      <c r="AE34" s="2"/>
      <c r="AF34" s="2"/>
      <c r="AG34" s="2"/>
    </row>
    <row r="35" spans="1:33" x14ac:dyDescent="0.2">
      <c r="A35" s="2"/>
      <c r="B35" s="29" t="s">
        <v>68</v>
      </c>
      <c r="C35" s="14">
        <v>26.926666666666666</v>
      </c>
      <c r="D35" s="5" t="s">
        <v>23</v>
      </c>
      <c r="E35" s="14">
        <v>5.2295555555555531</v>
      </c>
      <c r="F35" s="5" t="s">
        <v>36</v>
      </c>
      <c r="G35" s="15"/>
      <c r="H35" s="5" t="s">
        <v>67</v>
      </c>
      <c r="I35" s="22">
        <v>-0.7966666666666633</v>
      </c>
      <c r="J35" s="5" t="s">
        <v>83</v>
      </c>
      <c r="K35" s="22">
        <v>25.376666666666665</v>
      </c>
      <c r="L35" s="5"/>
      <c r="M35" s="56"/>
      <c r="N35" s="2"/>
      <c r="O35" s="27"/>
      <c r="U35" s="2"/>
      <c r="V35" s="2"/>
      <c r="Z35" s="2"/>
      <c r="AA35" s="2"/>
      <c r="AB35" s="2"/>
      <c r="AC35" s="2"/>
      <c r="AD35" s="2"/>
      <c r="AE35" s="2"/>
      <c r="AF35" s="2"/>
      <c r="AG35" s="2"/>
    </row>
    <row r="36" spans="1:33" x14ac:dyDescent="0.2">
      <c r="A36" s="2"/>
      <c r="B36" s="29"/>
      <c r="C36" s="14"/>
      <c r="D36" s="5"/>
      <c r="E36" s="14"/>
      <c r="F36" s="5"/>
      <c r="G36" s="15"/>
      <c r="H36" s="5"/>
      <c r="I36" s="15"/>
      <c r="J36" s="5"/>
      <c r="K36" s="15"/>
      <c r="L36" s="5" t="s">
        <v>95</v>
      </c>
      <c r="M36" s="56">
        <v>4.4444444444380338E-3</v>
      </c>
      <c r="N36" s="2"/>
      <c r="O36" s="27"/>
      <c r="U36" s="2"/>
      <c r="V36" s="2"/>
      <c r="Z36" s="2"/>
      <c r="AA36" s="2"/>
      <c r="AB36" s="2"/>
      <c r="AC36" s="2"/>
      <c r="AD36" s="2"/>
      <c r="AE36" s="2"/>
      <c r="AF36" s="2"/>
      <c r="AG36" s="2"/>
    </row>
    <row r="37" spans="1:33" x14ac:dyDescent="0.2">
      <c r="A37" s="2"/>
      <c r="B37" s="29" t="s">
        <v>12</v>
      </c>
      <c r="C37" s="14">
        <v>28.91</v>
      </c>
      <c r="D37" s="5" t="s">
        <v>24</v>
      </c>
      <c r="E37" s="22">
        <v>4.9349999999999996</v>
      </c>
      <c r="F37" s="5" t="s">
        <v>35</v>
      </c>
      <c r="G37" s="15"/>
      <c r="H37" s="5" t="s">
        <v>69</v>
      </c>
      <c r="I37" s="22">
        <v>-0.53999999999999915</v>
      </c>
      <c r="J37" s="5" t="s">
        <v>84</v>
      </c>
      <c r="K37" s="22"/>
      <c r="L37" s="5" t="s">
        <v>96</v>
      </c>
      <c r="M37" s="56">
        <v>2.9444444444440165E-2</v>
      </c>
      <c r="N37" s="2"/>
      <c r="O37" s="27"/>
      <c r="U37" s="2"/>
      <c r="V37" s="2"/>
      <c r="Z37" s="2"/>
      <c r="AA37" s="2"/>
      <c r="AB37" s="2"/>
      <c r="AC37" s="2"/>
      <c r="AD37" s="2"/>
      <c r="AE37" s="2"/>
      <c r="AF37" s="2"/>
      <c r="AG37" s="2"/>
    </row>
    <row r="38" spans="1:33" x14ac:dyDescent="0.2">
      <c r="A38" s="2"/>
      <c r="B38" s="29" t="s">
        <v>13</v>
      </c>
      <c r="C38" s="14">
        <v>27.736666666666665</v>
      </c>
      <c r="D38" s="5" t="s">
        <v>25</v>
      </c>
      <c r="E38" s="22">
        <v>5.0681333333333356</v>
      </c>
      <c r="F38" s="5" t="s">
        <v>37</v>
      </c>
      <c r="G38" s="22">
        <v>-1.1755555555555581</v>
      </c>
      <c r="H38" s="5" t="s">
        <v>70</v>
      </c>
      <c r="I38" s="22">
        <v>-0.93999999999999773</v>
      </c>
      <c r="J38" s="5" t="s">
        <v>85</v>
      </c>
      <c r="K38" s="22">
        <v>26.561111111111106</v>
      </c>
      <c r="L38" s="5"/>
      <c r="M38" s="56"/>
      <c r="N38" s="2"/>
      <c r="O38" s="27"/>
      <c r="U38" s="2"/>
      <c r="V38" s="2"/>
      <c r="Z38" s="2"/>
      <c r="AA38" s="2"/>
      <c r="AB38" s="2"/>
      <c r="AC38" s="2"/>
      <c r="AD38" s="2"/>
      <c r="AE38" s="2"/>
      <c r="AF38" s="2"/>
      <c r="AG38" s="2"/>
    </row>
    <row r="39" spans="1:33" x14ac:dyDescent="0.2">
      <c r="A39" s="2"/>
      <c r="B39" s="29" t="s">
        <v>14</v>
      </c>
      <c r="C39" s="14">
        <v>26.54</v>
      </c>
      <c r="D39" s="5" t="s">
        <v>26</v>
      </c>
      <c r="E39" s="22">
        <v>8.637799999999995</v>
      </c>
      <c r="F39" s="5" t="s">
        <v>38</v>
      </c>
      <c r="G39" s="22">
        <v>-1.1522222222222283</v>
      </c>
      <c r="H39" s="5" t="s">
        <v>71</v>
      </c>
      <c r="I39" s="22">
        <v>-1.1200000000000001</v>
      </c>
      <c r="J39" s="5" t="s">
        <v>86</v>
      </c>
      <c r="K39" s="22">
        <v>25.387777777777774</v>
      </c>
      <c r="L39" s="5"/>
      <c r="M39" s="56"/>
      <c r="N39" s="2"/>
      <c r="O39" s="27"/>
      <c r="U39" s="2"/>
      <c r="V39" s="2"/>
      <c r="Z39" s="2"/>
      <c r="AA39" s="2"/>
      <c r="AB39" s="2"/>
      <c r="AC39" s="2"/>
      <c r="AD39" s="2"/>
      <c r="AE39" s="2"/>
      <c r="AF39" s="2"/>
      <c r="AG39" s="2"/>
    </row>
    <row r="40" spans="1:33" x14ac:dyDescent="0.2">
      <c r="A40" s="2"/>
      <c r="B40" s="29" t="s">
        <v>15</v>
      </c>
      <c r="C40" s="14">
        <v>25.482222222222223</v>
      </c>
      <c r="D40" s="5" t="s">
        <v>27</v>
      </c>
      <c r="E40" s="22">
        <v>7.865777777777776</v>
      </c>
      <c r="F40" s="5" t="s">
        <v>39</v>
      </c>
      <c r="G40" s="22">
        <v>-1.033333333333335</v>
      </c>
      <c r="H40" s="5" t="s">
        <v>72</v>
      </c>
      <c r="I40" s="22">
        <v>-1.1399999999999999</v>
      </c>
      <c r="J40" s="5" t="s">
        <v>87</v>
      </c>
      <c r="K40" s="22">
        <v>24.448888888888888</v>
      </c>
      <c r="L40" s="5"/>
      <c r="M40" s="56"/>
      <c r="N40" s="2"/>
      <c r="O40" s="27"/>
      <c r="U40" s="2"/>
      <c r="V40" s="2"/>
      <c r="Z40" s="2"/>
      <c r="AA40" s="2"/>
      <c r="AB40" s="2"/>
      <c r="AC40" s="2"/>
      <c r="AD40" s="2"/>
      <c r="AE40" s="2"/>
      <c r="AF40" s="2"/>
      <c r="AG40" s="2"/>
    </row>
    <row r="41" spans="1:33" x14ac:dyDescent="0.2">
      <c r="A41" s="2"/>
      <c r="B41" s="29" t="s">
        <v>16</v>
      </c>
      <c r="C41" s="14">
        <v>24.678888888888888</v>
      </c>
      <c r="D41" s="5" t="s">
        <v>28</v>
      </c>
      <c r="E41" s="22"/>
      <c r="F41" s="5" t="s">
        <v>56</v>
      </c>
      <c r="G41" s="15"/>
      <c r="H41" s="5" t="s">
        <v>73</v>
      </c>
      <c r="I41" s="22">
        <v>-1.18</v>
      </c>
      <c r="J41" s="5" t="s">
        <v>88</v>
      </c>
      <c r="K41" s="22"/>
      <c r="L41" s="5"/>
      <c r="M41" s="56"/>
      <c r="N41" s="2"/>
      <c r="O41" s="27"/>
      <c r="U41" s="2"/>
      <c r="V41" s="2"/>
      <c r="Z41" s="2"/>
      <c r="AA41" s="2"/>
      <c r="AB41" s="2"/>
      <c r="AC41" s="2"/>
      <c r="AD41" s="2"/>
      <c r="AE41" s="2"/>
      <c r="AF41" s="2"/>
      <c r="AG41" s="2"/>
    </row>
    <row r="42" spans="1:33" x14ac:dyDescent="0.2">
      <c r="B42" s="29"/>
      <c r="C42" s="14"/>
      <c r="D42" s="5"/>
      <c r="E42" s="15"/>
      <c r="F42" s="5"/>
      <c r="G42" s="15"/>
      <c r="H42" s="5" t="s">
        <v>74</v>
      </c>
      <c r="I42" s="22">
        <v>-1.19</v>
      </c>
      <c r="J42" s="5"/>
      <c r="K42" s="22"/>
      <c r="L42" s="5"/>
      <c r="M42" s="56"/>
      <c r="N42" s="2"/>
      <c r="O42" s="27"/>
    </row>
    <row r="43" spans="1:33" x14ac:dyDescent="0.2">
      <c r="B43" s="76" t="s">
        <v>17</v>
      </c>
      <c r="C43" s="57">
        <v>26.109444444444438</v>
      </c>
      <c r="D43" s="58" t="s">
        <v>29</v>
      </c>
      <c r="E43" s="59"/>
      <c r="F43" s="58" t="s">
        <v>57</v>
      </c>
      <c r="G43" s="59"/>
      <c r="H43" s="58" t="s">
        <v>75</v>
      </c>
      <c r="I43" s="60">
        <v>-1.19</v>
      </c>
      <c r="J43" s="58"/>
      <c r="K43" s="60"/>
      <c r="L43" s="58"/>
      <c r="M43" s="61"/>
      <c r="N43" s="2"/>
      <c r="O43" s="27"/>
    </row>
    <row r="44" spans="1:33" x14ac:dyDescent="0.2">
      <c r="B44" s="2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7"/>
    </row>
    <row r="45" spans="1:33" x14ac:dyDescent="0.2">
      <c r="B45" s="2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7"/>
      <c r="P45" s="2"/>
      <c r="Q45" s="2"/>
      <c r="R45" s="2"/>
      <c r="S45" s="2"/>
      <c r="T45" s="2"/>
    </row>
    <row r="46" spans="1:33" x14ac:dyDescent="0.2">
      <c r="B46" s="79"/>
      <c r="C46" s="132" t="s">
        <v>47</v>
      </c>
      <c r="D46" s="132"/>
      <c r="E46" s="132"/>
      <c r="F46" s="132"/>
      <c r="G46" s="133"/>
      <c r="H46" s="2"/>
      <c r="I46" s="67"/>
      <c r="J46" s="140" t="s">
        <v>46</v>
      </c>
      <c r="K46" s="140"/>
      <c r="L46" s="140"/>
      <c r="M46" s="140"/>
      <c r="N46" s="141"/>
      <c r="O46" s="27"/>
      <c r="P46" s="2"/>
      <c r="Q46" s="2"/>
      <c r="R46" s="2"/>
      <c r="S46" s="2"/>
      <c r="T46" s="2"/>
    </row>
    <row r="47" spans="1:33" x14ac:dyDescent="0.2">
      <c r="B47" s="26"/>
      <c r="C47" s="3" t="s">
        <v>48</v>
      </c>
      <c r="D47" s="3" t="s">
        <v>49</v>
      </c>
      <c r="E47" s="3" t="s">
        <v>60</v>
      </c>
      <c r="F47" s="3" t="s">
        <v>76</v>
      </c>
      <c r="G47" s="44"/>
      <c r="H47" s="2"/>
      <c r="I47" s="68"/>
      <c r="J47" s="3" t="s">
        <v>0</v>
      </c>
      <c r="K47" s="3" t="s">
        <v>45</v>
      </c>
      <c r="L47" s="4" t="s">
        <v>3</v>
      </c>
      <c r="M47" s="4" t="s">
        <v>4</v>
      </c>
      <c r="N47" s="69" t="s">
        <v>2</v>
      </c>
      <c r="O47" s="27"/>
      <c r="P47" s="2"/>
      <c r="Q47" s="2"/>
      <c r="R47" s="2"/>
      <c r="S47" s="2"/>
      <c r="T47" s="2"/>
    </row>
    <row r="48" spans="1:33" x14ac:dyDescent="0.2">
      <c r="B48" s="29">
        <v>37165</v>
      </c>
      <c r="C48" s="9"/>
      <c r="D48" s="9">
        <v>254.75</v>
      </c>
      <c r="E48" s="9"/>
      <c r="F48" s="5" t="s">
        <v>6</v>
      </c>
      <c r="G48" s="64"/>
      <c r="H48" s="2"/>
      <c r="I48" s="45">
        <v>37165</v>
      </c>
      <c r="J48" s="10">
        <v>5.7026666666666657</v>
      </c>
      <c r="K48" s="10">
        <v>4.8499999999999996</v>
      </c>
      <c r="L48" s="10">
        <v>5.5555999999999983</v>
      </c>
      <c r="M48" s="10">
        <v>5.6339999999999959</v>
      </c>
      <c r="N48" s="70">
        <v>5.4380000000000024</v>
      </c>
      <c r="O48" s="27"/>
      <c r="P48" s="2"/>
      <c r="Q48" s="2"/>
      <c r="R48" s="2"/>
      <c r="S48" s="2"/>
      <c r="T48" s="2"/>
    </row>
    <row r="49" spans="2:20" x14ac:dyDescent="0.2">
      <c r="B49" s="29">
        <v>37196</v>
      </c>
      <c r="C49" s="9">
        <v>28.36</v>
      </c>
      <c r="D49" s="9">
        <v>252</v>
      </c>
      <c r="E49" s="9">
        <v>5.4201608579088472</v>
      </c>
      <c r="F49" s="5" t="s">
        <v>7</v>
      </c>
      <c r="G49" s="64">
        <v>27.75</v>
      </c>
      <c r="H49" s="2"/>
      <c r="I49" s="45">
        <v>37196</v>
      </c>
      <c r="J49" s="10">
        <v>4.5616666666666674</v>
      </c>
      <c r="K49" s="10">
        <v>5.12</v>
      </c>
      <c r="L49" s="10">
        <v>4.6789999999999967</v>
      </c>
      <c r="M49" s="10">
        <v>4.63</v>
      </c>
      <c r="N49" s="70">
        <v>4.7525000000000004</v>
      </c>
      <c r="O49" s="27"/>
      <c r="P49" s="2"/>
      <c r="Q49" s="2"/>
      <c r="R49" s="2"/>
      <c r="S49" s="2"/>
      <c r="T49" s="2"/>
    </row>
    <row r="50" spans="2:20" x14ac:dyDescent="0.2">
      <c r="B50" s="29">
        <v>37226</v>
      </c>
      <c r="C50" s="9">
        <v>28.05</v>
      </c>
      <c r="D50" s="9">
        <v>250.5</v>
      </c>
      <c r="E50" s="9">
        <v>5.5290884718498639</v>
      </c>
      <c r="F50" s="5" t="s">
        <v>8</v>
      </c>
      <c r="G50" s="64">
        <v>27.2</v>
      </c>
      <c r="H50" s="2"/>
      <c r="I50" s="45">
        <v>37226</v>
      </c>
      <c r="J50" s="10">
        <v>4.1940000000000026</v>
      </c>
      <c r="K50" s="10">
        <v>5.5449999999999999</v>
      </c>
      <c r="L50" s="10">
        <v>4.5244000000000026</v>
      </c>
      <c r="M50" s="10">
        <v>4.4110000000000014</v>
      </c>
      <c r="N50" s="70">
        <v>4.694500000000005</v>
      </c>
      <c r="O50" s="27"/>
      <c r="P50" s="2"/>
      <c r="Q50" s="2"/>
      <c r="R50" s="2"/>
      <c r="S50" s="2"/>
      <c r="T50" s="2"/>
    </row>
    <row r="51" spans="2:20" x14ac:dyDescent="0.2">
      <c r="B51" s="29">
        <v>37257</v>
      </c>
      <c r="C51" s="9">
        <v>27.45</v>
      </c>
      <c r="D51" s="9">
        <v>246.5</v>
      </c>
      <c r="E51" s="9">
        <v>5.5928954423592536</v>
      </c>
      <c r="F51" s="5" t="s">
        <v>9</v>
      </c>
      <c r="G51" s="64">
        <v>26.875</v>
      </c>
      <c r="H51" s="2"/>
      <c r="I51" s="45">
        <v>37257</v>
      </c>
      <c r="J51" s="10">
        <v>4.5633333333333326</v>
      </c>
      <c r="K51" s="10">
        <v>5.7450000000000001</v>
      </c>
      <c r="L51" s="10">
        <v>4.6740000000000013</v>
      </c>
      <c r="M51" s="10">
        <v>4.5549999999999997</v>
      </c>
      <c r="N51" s="70">
        <v>4.8525</v>
      </c>
      <c r="O51" s="27"/>
      <c r="P51" s="2"/>
      <c r="Q51" s="2"/>
      <c r="R51" s="2"/>
      <c r="S51" s="2"/>
      <c r="T51" s="2"/>
    </row>
    <row r="52" spans="2:20" x14ac:dyDescent="0.2">
      <c r="B52" s="29">
        <v>37288</v>
      </c>
      <c r="C52" s="9">
        <v>26.95</v>
      </c>
      <c r="D52" s="9">
        <v>242</v>
      </c>
      <c r="E52" s="9">
        <v>5.4896782841823075</v>
      </c>
      <c r="F52" s="5" t="s">
        <v>10</v>
      </c>
      <c r="G52" s="64">
        <v>26.574999999999999</v>
      </c>
      <c r="H52" s="2"/>
      <c r="I52" s="45">
        <v>37288</v>
      </c>
      <c r="J52" s="10">
        <v>5.550066666666666</v>
      </c>
      <c r="K52" s="10">
        <v>6.1950000000000003</v>
      </c>
      <c r="L52" s="10">
        <v>5.4440400000000011</v>
      </c>
      <c r="M52" s="10">
        <v>5.3605999999999954</v>
      </c>
      <c r="N52" s="70">
        <v>5.5692000000000021</v>
      </c>
      <c r="O52" s="27"/>
      <c r="P52" s="2"/>
      <c r="Q52" s="2"/>
      <c r="R52" s="2"/>
      <c r="S52" s="2"/>
      <c r="T52" s="2"/>
    </row>
    <row r="53" spans="2:20" x14ac:dyDescent="0.2">
      <c r="B53" s="29">
        <v>37316</v>
      </c>
      <c r="C53" s="9">
        <v>26.8</v>
      </c>
      <c r="D53" s="9">
        <v>235.5</v>
      </c>
      <c r="E53" s="9">
        <v>4.7683646112600542</v>
      </c>
      <c r="F53" s="5" t="s">
        <v>11</v>
      </c>
      <c r="G53" s="64">
        <v>26.13</v>
      </c>
      <c r="H53" s="2"/>
      <c r="I53" s="45">
        <v>37316</v>
      </c>
      <c r="J53" s="10">
        <v>6.056666666666672</v>
      </c>
      <c r="K53" s="10">
        <v>5.08</v>
      </c>
      <c r="L53" s="10">
        <v>5.3320000000000052</v>
      </c>
      <c r="M53" s="10">
        <v>5.36</v>
      </c>
      <c r="N53" s="70">
        <v>5.29</v>
      </c>
      <c r="O53" s="27"/>
      <c r="P53" s="2"/>
      <c r="Q53" s="2"/>
      <c r="R53" s="2"/>
      <c r="S53" s="2"/>
      <c r="T53" s="2"/>
    </row>
    <row r="54" spans="2:20" x14ac:dyDescent="0.2">
      <c r="B54" s="29">
        <v>37347</v>
      </c>
      <c r="C54" s="9">
        <v>26.35</v>
      </c>
      <c r="D54" s="9">
        <v>230</v>
      </c>
      <c r="E54" s="9">
        <v>4.4810991957104562</v>
      </c>
      <c r="F54" s="5" t="s">
        <v>68</v>
      </c>
      <c r="G54" s="64">
        <v>25.68</v>
      </c>
      <c r="H54" s="2"/>
      <c r="I54" s="45">
        <v>37347</v>
      </c>
      <c r="J54" s="10">
        <v>9.0183999999999997</v>
      </c>
      <c r="K54" s="10">
        <v>4.3019999999999996</v>
      </c>
      <c r="L54" s="10">
        <v>6.8018399999999986</v>
      </c>
      <c r="M54" s="10">
        <v>7.0795999999999992</v>
      </c>
      <c r="N54" s="70">
        <v>6.3852000000000011</v>
      </c>
      <c r="O54" s="27"/>
      <c r="P54" s="2"/>
      <c r="Q54" s="2"/>
      <c r="R54" s="2"/>
      <c r="S54" s="2"/>
      <c r="T54" s="2"/>
    </row>
    <row r="55" spans="2:20" x14ac:dyDescent="0.2">
      <c r="B55" s="29">
        <v>37377</v>
      </c>
      <c r="C55" s="9">
        <v>25.91</v>
      </c>
      <c r="D55" s="9">
        <v>0</v>
      </c>
      <c r="E55" s="9" t="s">
        <v>119</v>
      </c>
      <c r="F55" s="5"/>
      <c r="G55" s="64"/>
      <c r="H55" s="2"/>
      <c r="I55" s="45">
        <v>37377</v>
      </c>
      <c r="J55" s="10">
        <v>9.1933333333333387</v>
      </c>
      <c r="K55" s="10">
        <v>3.6313999999999957</v>
      </c>
      <c r="L55" s="10">
        <v>6.6125599999999967</v>
      </c>
      <c r="M55" s="10">
        <v>6.943799999999996</v>
      </c>
      <c r="N55" s="70">
        <v>6.1156999999999968</v>
      </c>
      <c r="O55" s="27"/>
      <c r="P55" s="2"/>
      <c r="Q55" s="2"/>
      <c r="R55" s="2"/>
      <c r="S55" s="2"/>
      <c r="T55" s="2"/>
    </row>
    <row r="56" spans="2:20" x14ac:dyDescent="0.2">
      <c r="B56" s="29">
        <v>37408</v>
      </c>
      <c r="C56" s="9">
        <v>25.45</v>
      </c>
      <c r="D56" s="9">
        <v>223</v>
      </c>
      <c r="E56" s="9">
        <v>4.4427613941018791</v>
      </c>
      <c r="F56" s="5" t="s">
        <v>12</v>
      </c>
      <c r="G56" s="64"/>
      <c r="H56" s="2"/>
      <c r="I56" s="45">
        <v>37408</v>
      </c>
      <c r="J56" s="10">
        <v>9.0966666666666711</v>
      </c>
      <c r="K56" s="10">
        <v>3.622399999999999</v>
      </c>
      <c r="L56" s="10">
        <v>6.8429599999999997</v>
      </c>
      <c r="M56" s="10">
        <v>7.200800000000001</v>
      </c>
      <c r="N56" s="70">
        <v>6.306200000000004</v>
      </c>
      <c r="O56" s="27"/>
      <c r="P56" s="2"/>
      <c r="Q56" s="2"/>
      <c r="R56" s="2"/>
      <c r="S56" s="2"/>
      <c r="T56" s="2"/>
    </row>
    <row r="57" spans="2:20" x14ac:dyDescent="0.2">
      <c r="B57" s="29">
        <v>37438</v>
      </c>
      <c r="C57" s="9">
        <v>25.22</v>
      </c>
      <c r="D57" s="9">
        <v>0</v>
      </c>
      <c r="E57" s="9" t="s">
        <v>119</v>
      </c>
      <c r="F57" s="5" t="s">
        <v>13</v>
      </c>
      <c r="G57" s="64">
        <v>26.526666666666667</v>
      </c>
      <c r="H57" s="2"/>
      <c r="I57" s="45">
        <v>37438</v>
      </c>
      <c r="J57" s="10">
        <v>9.0164000000000009</v>
      </c>
      <c r="K57" s="10">
        <v>3.4049999999999998</v>
      </c>
      <c r="L57" s="10">
        <v>6.4718400000000029</v>
      </c>
      <c r="M57" s="10">
        <v>6.8125999999999989</v>
      </c>
      <c r="N57" s="70">
        <v>5.9606999999999992</v>
      </c>
      <c r="O57" s="27"/>
      <c r="P57" s="2"/>
      <c r="Q57" s="2"/>
      <c r="R57" s="2"/>
      <c r="S57" s="2"/>
      <c r="T57" s="2"/>
    </row>
    <row r="58" spans="2:20" x14ac:dyDescent="0.2">
      <c r="B58" s="29">
        <v>37469</v>
      </c>
      <c r="C58" s="9">
        <v>24.9</v>
      </c>
      <c r="D58" s="9"/>
      <c r="E58" s="9"/>
      <c r="F58" s="5" t="s">
        <v>14</v>
      </c>
      <c r="G58" s="64">
        <v>25.358333333333334</v>
      </c>
      <c r="H58" s="2"/>
      <c r="I58" s="45">
        <v>37469</v>
      </c>
      <c r="J58" s="10">
        <v>8.5516000000000005</v>
      </c>
      <c r="K58" s="10">
        <v>3.8480000000000025</v>
      </c>
      <c r="L58" s="10">
        <v>6.3881600000000045</v>
      </c>
      <c r="M58" s="10">
        <v>6.6704000000000008</v>
      </c>
      <c r="N58" s="70">
        <v>5.9648000000000039</v>
      </c>
      <c r="O58" s="27"/>
      <c r="P58" s="2"/>
      <c r="Q58" s="2"/>
      <c r="R58" s="2"/>
      <c r="S58" s="2"/>
      <c r="T58" s="2"/>
    </row>
    <row r="59" spans="2:20" x14ac:dyDescent="0.2">
      <c r="B59" s="29">
        <v>37500</v>
      </c>
      <c r="C59" s="9"/>
      <c r="D59" s="9"/>
      <c r="E59" s="9"/>
      <c r="F59" s="5" t="s">
        <v>15</v>
      </c>
      <c r="G59" s="64"/>
      <c r="H59" s="2"/>
      <c r="I59" s="45">
        <v>37500</v>
      </c>
      <c r="J59" s="10">
        <v>7.8182666666666734</v>
      </c>
      <c r="K59" s="10">
        <v>4.6153999999999975</v>
      </c>
      <c r="L59" s="10">
        <v>6.2811199999999987</v>
      </c>
      <c r="M59" s="10">
        <v>6.4662000000000006</v>
      </c>
      <c r="N59" s="70">
        <v>6.0035000000000025</v>
      </c>
      <c r="O59" s="27"/>
      <c r="P59" s="2"/>
      <c r="Q59" s="2"/>
      <c r="R59" s="2"/>
      <c r="S59" s="2"/>
      <c r="T59" s="2"/>
    </row>
    <row r="60" spans="2:20" x14ac:dyDescent="0.2">
      <c r="B60" s="29">
        <v>37530</v>
      </c>
      <c r="C60" s="9"/>
      <c r="D60" s="9"/>
      <c r="E60" s="9"/>
      <c r="F60" s="5" t="s">
        <v>16</v>
      </c>
      <c r="G60" s="64"/>
      <c r="H60" s="2"/>
      <c r="I60" s="45">
        <v>37530</v>
      </c>
      <c r="J60" s="10"/>
      <c r="K60" s="10">
        <v>5.1554000000000002</v>
      </c>
      <c r="L60" s="10"/>
      <c r="M60" s="10"/>
      <c r="N60" s="70"/>
      <c r="O60" s="27"/>
      <c r="P60" s="2"/>
      <c r="Q60" s="2"/>
      <c r="R60" s="2"/>
      <c r="S60" s="2"/>
      <c r="T60" s="2"/>
    </row>
    <row r="61" spans="2:20" x14ac:dyDescent="0.2">
      <c r="B61" s="29">
        <v>37561</v>
      </c>
      <c r="C61" s="9"/>
      <c r="D61" s="9"/>
      <c r="E61" s="9"/>
      <c r="F61" s="5"/>
      <c r="G61" s="64"/>
      <c r="H61" s="18"/>
      <c r="I61" s="45">
        <v>37561</v>
      </c>
      <c r="J61" s="10"/>
      <c r="K61" s="10">
        <v>5.6554000000000002</v>
      </c>
      <c r="L61" s="10"/>
      <c r="M61" s="10"/>
      <c r="N61" s="70"/>
      <c r="O61" s="27"/>
      <c r="P61" s="2"/>
      <c r="Q61" s="2"/>
      <c r="R61" s="2"/>
      <c r="S61" s="2"/>
      <c r="T61" s="2"/>
    </row>
    <row r="62" spans="2:20" x14ac:dyDescent="0.2">
      <c r="B62" s="76">
        <v>37591</v>
      </c>
      <c r="C62" s="65">
        <v>23.85</v>
      </c>
      <c r="D62" s="65"/>
      <c r="E62" s="65"/>
      <c r="F62" s="58" t="s">
        <v>17</v>
      </c>
      <c r="G62" s="66"/>
      <c r="H62" s="35"/>
      <c r="I62" s="45">
        <v>37591</v>
      </c>
      <c r="J62" s="10"/>
      <c r="K62" s="10">
        <v>6.2754000000000012</v>
      </c>
      <c r="L62" s="10"/>
      <c r="M62" s="10"/>
      <c r="N62" s="70"/>
      <c r="O62" s="27"/>
      <c r="P62" s="2"/>
      <c r="Q62" s="2"/>
      <c r="R62" s="2"/>
      <c r="S62" s="2"/>
      <c r="T62" s="2"/>
    </row>
    <row r="63" spans="2:20" x14ac:dyDescent="0.2">
      <c r="B63" s="26"/>
      <c r="C63" s="18"/>
      <c r="D63" s="2"/>
      <c r="E63" s="2"/>
      <c r="F63" s="2"/>
      <c r="G63" s="2"/>
      <c r="H63" s="2"/>
      <c r="I63" s="47">
        <v>37622</v>
      </c>
      <c r="J63" s="71"/>
      <c r="K63" s="71">
        <v>6.4723999999999968</v>
      </c>
      <c r="L63" s="71"/>
      <c r="M63" s="71"/>
      <c r="N63" s="72"/>
      <c r="O63" s="27"/>
      <c r="P63" s="2"/>
      <c r="Q63" s="2"/>
      <c r="R63" s="2"/>
      <c r="S63" s="2"/>
      <c r="T63" s="2"/>
    </row>
    <row r="64" spans="2:20" x14ac:dyDescent="0.2">
      <c r="B64" s="2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7"/>
    </row>
    <row r="65" spans="2:15" x14ac:dyDescent="0.2">
      <c r="B65" s="79"/>
      <c r="C65" s="62"/>
      <c r="D65" s="62"/>
      <c r="E65" s="62"/>
      <c r="F65" s="62"/>
      <c r="G65" s="63"/>
      <c r="H65" s="2"/>
      <c r="I65" s="2"/>
      <c r="J65" s="2"/>
      <c r="K65" s="2"/>
      <c r="L65" s="2"/>
      <c r="M65" s="2"/>
      <c r="N65" s="2"/>
      <c r="O65" s="27"/>
    </row>
    <row r="66" spans="2:15" x14ac:dyDescent="0.2">
      <c r="B66" s="26"/>
      <c r="C66" s="3" t="s">
        <v>97</v>
      </c>
      <c r="D66" s="3"/>
      <c r="E66" s="3" t="s">
        <v>103</v>
      </c>
      <c r="F66" s="3"/>
      <c r="G66" s="44" t="s">
        <v>104</v>
      </c>
      <c r="H66" s="2"/>
      <c r="I66" s="2"/>
      <c r="J66" s="2"/>
      <c r="K66" s="2"/>
      <c r="L66" s="2"/>
      <c r="M66" s="2"/>
      <c r="N66" s="2"/>
      <c r="O66" s="27"/>
    </row>
    <row r="67" spans="2:15" x14ac:dyDescent="0.2">
      <c r="B67" s="29" t="s">
        <v>6</v>
      </c>
      <c r="C67" s="31">
        <v>4.7439999999999998</v>
      </c>
      <c r="D67" s="5">
        <v>37165</v>
      </c>
      <c r="E67" s="32">
        <v>1.25</v>
      </c>
      <c r="F67" s="5">
        <v>37165</v>
      </c>
      <c r="G67" s="73">
        <v>-1.6000000000001791E-2</v>
      </c>
      <c r="H67" s="2"/>
      <c r="I67" s="2"/>
      <c r="J67" s="2"/>
      <c r="K67" s="2"/>
      <c r="L67" s="2"/>
      <c r="M67" s="2"/>
      <c r="N67" s="2"/>
      <c r="O67" s="27"/>
    </row>
    <row r="68" spans="2:15" x14ac:dyDescent="0.2">
      <c r="B68" s="29" t="s">
        <v>7</v>
      </c>
      <c r="C68" s="31">
        <v>5.4433333333333351</v>
      </c>
      <c r="D68" s="5">
        <v>37196</v>
      </c>
      <c r="E68" s="32">
        <v>2.75</v>
      </c>
      <c r="F68" s="5">
        <v>37196</v>
      </c>
      <c r="G68" s="73">
        <v>-0.52779999999999916</v>
      </c>
      <c r="H68" s="2"/>
      <c r="I68" s="2"/>
      <c r="J68" s="2"/>
      <c r="K68" s="2"/>
      <c r="L68" s="2"/>
      <c r="M68" s="2"/>
      <c r="N68" s="2"/>
      <c r="O68" s="27"/>
    </row>
    <row r="69" spans="2:15" x14ac:dyDescent="0.2">
      <c r="B69" s="29" t="s">
        <v>8</v>
      </c>
      <c r="C69" s="31">
        <v>6.0876666666666672</v>
      </c>
      <c r="D69" s="5">
        <v>37226</v>
      </c>
      <c r="E69" s="32">
        <v>4.55</v>
      </c>
      <c r="F69" s="5">
        <v>37226</v>
      </c>
      <c r="G69" s="73">
        <v>-0.84713333333333907</v>
      </c>
      <c r="H69" s="2"/>
      <c r="I69" s="2"/>
      <c r="J69" s="2"/>
      <c r="K69" s="2"/>
      <c r="L69" s="2"/>
      <c r="M69" s="2"/>
      <c r="N69" s="2"/>
      <c r="O69" s="27"/>
    </row>
    <row r="70" spans="2:15" x14ac:dyDescent="0.2">
      <c r="B70" s="29" t="s">
        <v>9</v>
      </c>
      <c r="C70" s="31">
        <v>6.6259999999999977</v>
      </c>
      <c r="D70" s="5">
        <v>37257</v>
      </c>
      <c r="E70" s="32">
        <v>3.8999999999999915</v>
      </c>
      <c r="F70" s="5">
        <v>37257</v>
      </c>
      <c r="G70" s="73">
        <v>-1.0771333333333324</v>
      </c>
      <c r="H70" s="2"/>
      <c r="I70" s="2"/>
      <c r="J70" s="2"/>
      <c r="K70" s="2"/>
      <c r="L70" s="2"/>
      <c r="M70" s="2"/>
      <c r="N70" s="2"/>
      <c r="O70" s="27"/>
    </row>
    <row r="71" spans="2:15" x14ac:dyDescent="0.2">
      <c r="B71" s="29" t="s">
        <v>10</v>
      </c>
      <c r="C71" s="31">
        <v>6.6436666666666646</v>
      </c>
      <c r="D71" s="5">
        <v>37288</v>
      </c>
      <c r="E71" s="32">
        <v>6.3499999999999943</v>
      </c>
      <c r="F71" s="5">
        <v>37288</v>
      </c>
      <c r="G71" s="73">
        <v>-1.2114666666666665</v>
      </c>
      <c r="H71" s="2"/>
      <c r="I71" s="2"/>
      <c r="J71" s="2"/>
      <c r="K71" s="2"/>
      <c r="L71" s="2"/>
      <c r="M71" s="2"/>
      <c r="N71" s="2"/>
      <c r="O71" s="27"/>
    </row>
    <row r="72" spans="2:15" x14ac:dyDescent="0.2">
      <c r="B72" s="29" t="s">
        <v>11</v>
      </c>
      <c r="C72" s="31">
        <v>5.6223333333333336</v>
      </c>
      <c r="D72" s="5">
        <v>37316</v>
      </c>
      <c r="E72" s="32">
        <v>5.95</v>
      </c>
      <c r="F72" s="5">
        <v>37316</v>
      </c>
      <c r="G72" s="73">
        <v>-0.67713333333333026</v>
      </c>
      <c r="H72" s="2"/>
      <c r="I72" s="2"/>
      <c r="J72" s="2"/>
      <c r="K72" s="2"/>
      <c r="L72" s="2"/>
      <c r="M72" s="2"/>
      <c r="N72" s="2"/>
      <c r="O72" s="27"/>
    </row>
    <row r="73" spans="2:15" x14ac:dyDescent="0.2">
      <c r="B73" s="29"/>
      <c r="C73" s="33"/>
      <c r="D73" s="23"/>
      <c r="E73" s="33"/>
      <c r="F73" s="23"/>
      <c r="G73" s="74"/>
      <c r="H73" s="2"/>
      <c r="I73" s="2"/>
      <c r="J73" s="2"/>
      <c r="K73" s="2"/>
      <c r="L73" s="2"/>
      <c r="M73" s="2"/>
      <c r="N73" s="2"/>
      <c r="O73" s="27"/>
    </row>
    <row r="74" spans="2:15" x14ac:dyDescent="0.2">
      <c r="B74" s="29" t="s">
        <v>12</v>
      </c>
      <c r="C74" s="31">
        <v>5.4249999999999998</v>
      </c>
      <c r="D74" s="23" t="s">
        <v>98</v>
      </c>
      <c r="E74" s="32">
        <v>2.8500000000000085</v>
      </c>
      <c r="F74" s="23" t="s">
        <v>98</v>
      </c>
      <c r="G74" s="73">
        <v>3.220244444444436</v>
      </c>
      <c r="H74" s="2"/>
      <c r="I74" s="2"/>
      <c r="J74" s="2"/>
      <c r="K74" s="2"/>
      <c r="L74" s="2"/>
      <c r="M74" s="2"/>
      <c r="N74" s="2"/>
      <c r="O74" s="27"/>
    </row>
    <row r="75" spans="2:15" x14ac:dyDescent="0.2">
      <c r="B75" s="29" t="s">
        <v>13</v>
      </c>
      <c r="C75" s="31">
        <v>6.2973333333333343</v>
      </c>
      <c r="D75" s="23" t="s">
        <v>99</v>
      </c>
      <c r="E75" s="32">
        <v>5.3999999999999773</v>
      </c>
      <c r="F75" s="23" t="s">
        <v>99</v>
      </c>
      <c r="G75" s="73">
        <v>1.6243111111111226</v>
      </c>
      <c r="H75" s="2"/>
      <c r="I75" s="2"/>
      <c r="J75" s="2"/>
      <c r="K75" s="2"/>
      <c r="L75" s="2"/>
      <c r="M75" s="2"/>
      <c r="N75" s="2"/>
      <c r="O75" s="27"/>
    </row>
    <row r="76" spans="2:15" x14ac:dyDescent="0.2">
      <c r="B76" s="29" t="s">
        <v>14</v>
      </c>
      <c r="C76" s="31">
        <v>4.218</v>
      </c>
      <c r="D76" s="23" t="s">
        <v>100</v>
      </c>
      <c r="E76" s="32">
        <v>3.7166666666666686</v>
      </c>
      <c r="F76" s="23" t="s">
        <v>100</v>
      </c>
      <c r="G76" s="73">
        <v>2.3264000000000031</v>
      </c>
      <c r="H76" s="2"/>
      <c r="I76" s="2"/>
      <c r="J76" s="2"/>
      <c r="K76" s="2"/>
      <c r="L76" s="2"/>
      <c r="M76" s="2"/>
      <c r="N76" s="2"/>
      <c r="O76" s="27"/>
    </row>
    <row r="77" spans="2:15" x14ac:dyDescent="0.2">
      <c r="B77" s="29" t="s">
        <v>15</v>
      </c>
      <c r="C77" s="31">
        <v>4.5687777777777789</v>
      </c>
      <c r="D77" s="23" t="s">
        <v>101</v>
      </c>
      <c r="E77" s="32">
        <v>2.1500000000000057</v>
      </c>
      <c r="F77" s="23" t="s">
        <v>101</v>
      </c>
      <c r="G77" s="73">
        <v>2.4187777777777697</v>
      </c>
      <c r="H77" s="2"/>
      <c r="I77" s="2"/>
      <c r="J77" s="2"/>
      <c r="K77" s="2"/>
      <c r="L77" s="2"/>
      <c r="M77" s="2"/>
      <c r="N77" s="2"/>
      <c r="O77" s="27"/>
    </row>
    <row r="78" spans="2:15" x14ac:dyDescent="0.2">
      <c r="B78" s="29" t="s">
        <v>16</v>
      </c>
      <c r="C78" s="31">
        <v>5.8341111111111132</v>
      </c>
      <c r="D78" s="23" t="s">
        <v>102</v>
      </c>
      <c r="E78" s="32">
        <v>3.2833333333333172</v>
      </c>
      <c r="F78" s="23" t="s">
        <v>102</v>
      </c>
      <c r="G78" s="73">
        <v>2.5507777777777925</v>
      </c>
      <c r="H78" s="2"/>
      <c r="I78" s="2"/>
      <c r="J78" s="2"/>
      <c r="K78" s="2"/>
      <c r="L78" s="2"/>
      <c r="M78" s="2"/>
      <c r="N78" s="2"/>
      <c r="O78" s="27"/>
    </row>
    <row r="79" spans="2:15" x14ac:dyDescent="0.2">
      <c r="B79" s="29"/>
      <c r="C79" s="33"/>
      <c r="D79" s="23"/>
      <c r="E79" s="33"/>
      <c r="F79" s="23"/>
      <c r="G79" s="74"/>
      <c r="H79" s="2"/>
      <c r="I79" s="2"/>
      <c r="J79" s="2"/>
      <c r="K79" s="2"/>
      <c r="L79" s="2"/>
      <c r="M79" s="2"/>
      <c r="N79" s="2"/>
      <c r="O79" s="27"/>
    </row>
    <row r="80" spans="2:15" x14ac:dyDescent="0.2">
      <c r="B80" s="29" t="s">
        <v>17</v>
      </c>
      <c r="C80" s="31">
        <v>5.2295555555555602</v>
      </c>
      <c r="D80" s="24">
        <v>2002</v>
      </c>
      <c r="E80" s="34">
        <v>3.6374999999999886</v>
      </c>
      <c r="F80" s="24">
        <v>2002</v>
      </c>
      <c r="G80" s="73">
        <v>-0.44310000000000205</v>
      </c>
      <c r="H80" s="2"/>
      <c r="I80" s="2"/>
      <c r="J80" s="2"/>
      <c r="K80" s="2"/>
      <c r="L80" s="2"/>
      <c r="M80" s="2"/>
      <c r="N80" s="2"/>
      <c r="O80" s="27"/>
    </row>
    <row r="81" spans="2:15" ht="13.5" thickBot="1" x14ac:dyDescent="0.25">
      <c r="B81" s="41"/>
      <c r="C81" s="42"/>
      <c r="D81" s="43"/>
      <c r="E81" s="42"/>
      <c r="F81" s="43"/>
      <c r="G81" s="80"/>
      <c r="H81" s="36"/>
      <c r="I81" s="36"/>
      <c r="J81" s="36"/>
      <c r="K81" s="36"/>
      <c r="L81" s="36"/>
      <c r="M81" s="36"/>
      <c r="N81" s="36"/>
      <c r="O81" s="37"/>
    </row>
  </sheetData>
  <mergeCells count="6">
    <mergeCell ref="C46:G46"/>
    <mergeCell ref="C27:M27"/>
    <mergeCell ref="B3:O3"/>
    <mergeCell ref="J46:N46"/>
    <mergeCell ref="K6:O6"/>
    <mergeCell ref="C6:H6"/>
  </mergeCells>
  <phoneticPr fontId="0" type="noConversion"/>
  <printOptions horizontalCentered="1" verticalCentered="1"/>
  <pageMargins left="0.75" right="0.75" top="1" bottom="1" header="0.5" footer="0.5"/>
  <pageSetup scale="47" orientation="landscape" r:id="rId1"/>
  <headerFooter alignWithMargins="0"/>
  <rowBreaks count="1" manualBreakCount="1">
    <brk id="25" max="14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AG81"/>
  <sheetViews>
    <sheetView zoomScale="60" zoomScaleNormal="70" workbookViewId="0">
      <selection activeCell="C31" sqref="C31"/>
    </sheetView>
  </sheetViews>
  <sheetFormatPr defaultRowHeight="12.75" x14ac:dyDescent="0.2"/>
  <cols>
    <col min="2" max="2" width="16.28515625" customWidth="1"/>
    <col min="3" max="3" width="15.28515625" customWidth="1"/>
    <col min="4" max="4" width="14.140625" customWidth="1"/>
    <col min="5" max="5" width="13.7109375" customWidth="1"/>
    <col min="6" max="6" width="17.28515625" customWidth="1"/>
    <col min="7" max="7" width="13" customWidth="1"/>
    <col min="8" max="8" width="19" bestFit="1" customWidth="1"/>
    <col min="9" max="9" width="15" customWidth="1"/>
    <col min="10" max="10" width="14.5703125" customWidth="1"/>
    <col min="11" max="11" width="15.28515625" customWidth="1"/>
    <col min="12" max="12" width="15.42578125" customWidth="1"/>
    <col min="13" max="13" width="14.7109375" customWidth="1"/>
    <col min="14" max="15" width="13.42578125" bestFit="1" customWidth="1"/>
    <col min="16" max="16" width="13.7109375" customWidth="1"/>
    <col min="17" max="17" width="12.5703125" customWidth="1"/>
    <col min="18" max="18" width="15.28515625" bestFit="1" customWidth="1"/>
    <col min="19" max="19" width="11.85546875" customWidth="1"/>
    <col min="20" max="20" width="12" customWidth="1"/>
    <col min="21" max="21" width="11.7109375" customWidth="1"/>
    <col min="22" max="22" width="11.5703125" customWidth="1"/>
    <col min="23" max="23" width="11.7109375" bestFit="1" customWidth="1"/>
    <col min="24" max="24" width="9.28515625" bestFit="1" customWidth="1"/>
    <col min="25" max="25" width="11.7109375" bestFit="1" customWidth="1"/>
    <col min="26" max="26" width="12.140625" bestFit="1" customWidth="1"/>
    <col min="27" max="27" width="11.7109375" bestFit="1" customWidth="1"/>
    <col min="28" max="28" width="12.140625" bestFit="1" customWidth="1"/>
    <col min="29" max="29" width="3" customWidth="1"/>
  </cols>
  <sheetData>
    <row r="1" spans="1:30" ht="18" x14ac:dyDescent="0.25">
      <c r="A1" s="2"/>
      <c r="B1" s="16" t="s">
        <v>1</v>
      </c>
      <c r="C1" s="2"/>
      <c r="D1" s="2"/>
      <c r="E1" s="12">
        <v>100</v>
      </c>
      <c r="F1" s="12">
        <v>100</v>
      </c>
      <c r="G1" s="12">
        <v>100</v>
      </c>
      <c r="H1" s="9">
        <v>100</v>
      </c>
      <c r="I1" s="2"/>
      <c r="J1" s="2"/>
      <c r="L1" s="20">
        <v>100</v>
      </c>
      <c r="M1" s="2"/>
      <c r="N1" s="2"/>
      <c r="P1" s="17"/>
      <c r="Q1" s="2"/>
      <c r="R1" s="2"/>
      <c r="T1" s="2"/>
      <c r="U1" s="2"/>
      <c r="V1" s="2"/>
      <c r="X1" s="2"/>
      <c r="Y1" s="2"/>
      <c r="Z1" s="2"/>
      <c r="AA1" s="2"/>
    </row>
    <row r="2" spans="1:30" ht="13.5" thickBot="1" x14ac:dyDescent="0.25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30" ht="26.25" x14ac:dyDescent="0.4">
      <c r="A3" s="2"/>
      <c r="B3" s="136" t="s">
        <v>105</v>
      </c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43"/>
      <c r="P3" s="25"/>
      <c r="Q3" s="25"/>
      <c r="R3" s="25"/>
      <c r="S3" s="25"/>
      <c r="T3" s="25"/>
      <c r="U3" s="2"/>
      <c r="V3" s="2"/>
      <c r="W3" s="2"/>
      <c r="X3" s="2"/>
      <c r="Y3" s="2"/>
      <c r="Z3" s="2"/>
      <c r="AA3" s="2"/>
      <c r="AB3" s="2"/>
    </row>
    <row r="4" spans="1:30" x14ac:dyDescent="0.2">
      <c r="A4" s="2"/>
      <c r="B4" s="26" t="s">
        <v>5</v>
      </c>
      <c r="C4" s="2"/>
      <c r="D4" s="38">
        <v>37148</v>
      </c>
      <c r="E4" s="2"/>
      <c r="F4" s="2"/>
      <c r="G4" s="2"/>
      <c r="H4" s="2"/>
      <c r="I4" s="2"/>
      <c r="J4" s="2"/>
      <c r="K4" s="2"/>
      <c r="L4" s="2"/>
      <c r="M4" s="2"/>
      <c r="N4" s="2"/>
      <c r="O4" s="27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30" x14ac:dyDescent="0.2">
      <c r="A5" s="2"/>
      <c r="B5" s="2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7"/>
      <c r="P5" s="2"/>
      <c r="Q5" s="2"/>
      <c r="R5" s="2"/>
      <c r="S5" s="18"/>
      <c r="T5" s="2"/>
      <c r="U5" s="2"/>
      <c r="V5" s="18"/>
      <c r="W5" s="2"/>
      <c r="X5" s="19"/>
      <c r="Y5" s="2"/>
      <c r="Z5" s="2"/>
      <c r="AA5" s="2"/>
      <c r="AB5" s="2"/>
    </row>
    <row r="6" spans="1:30" ht="15" x14ac:dyDescent="0.25">
      <c r="A6" s="2"/>
      <c r="B6" s="75"/>
      <c r="C6" s="140" t="s">
        <v>52</v>
      </c>
      <c r="D6" s="140"/>
      <c r="E6" s="140"/>
      <c r="F6" s="140"/>
      <c r="G6" s="140"/>
      <c r="H6" s="141"/>
      <c r="I6" s="2"/>
      <c r="J6" s="52"/>
      <c r="K6" s="138" t="s">
        <v>59</v>
      </c>
      <c r="L6" s="138"/>
      <c r="M6" s="138"/>
      <c r="N6" s="138"/>
      <c r="O6" s="144"/>
      <c r="P6" s="2"/>
      <c r="Q6" s="2"/>
      <c r="R6" s="2"/>
      <c r="S6" s="2"/>
      <c r="T6" s="2"/>
      <c r="W6" s="2"/>
      <c r="AA6" s="2"/>
      <c r="AB6" s="2"/>
    </row>
    <row r="7" spans="1:30" x14ac:dyDescent="0.2">
      <c r="A7" s="2"/>
      <c r="B7" s="28"/>
      <c r="C7" s="3" t="s">
        <v>51</v>
      </c>
      <c r="D7" s="3" t="s">
        <v>58</v>
      </c>
      <c r="E7" s="3" t="s">
        <v>0</v>
      </c>
      <c r="F7" s="3" t="s">
        <v>45</v>
      </c>
      <c r="G7" s="3" t="s">
        <v>50</v>
      </c>
      <c r="H7" s="44" t="s">
        <v>53</v>
      </c>
      <c r="I7" s="2"/>
      <c r="J7" s="53"/>
      <c r="K7" s="3" t="s">
        <v>43</v>
      </c>
      <c r="L7" s="3" t="s">
        <v>44</v>
      </c>
      <c r="M7" s="3" t="s">
        <v>42</v>
      </c>
      <c r="N7" s="3" t="s">
        <v>40</v>
      </c>
      <c r="O7" s="39" t="s">
        <v>41</v>
      </c>
      <c r="P7" s="2"/>
      <c r="Q7" s="2"/>
      <c r="R7" s="2"/>
      <c r="S7" s="2"/>
      <c r="T7" s="2"/>
      <c r="W7" s="2"/>
      <c r="AA7" s="2"/>
      <c r="AB7" s="7"/>
      <c r="AC7" s="1"/>
      <c r="AD7" s="1"/>
    </row>
    <row r="8" spans="1:30" x14ac:dyDescent="0.2">
      <c r="A8" s="2"/>
      <c r="B8" s="29">
        <v>37165</v>
      </c>
      <c r="C8" s="11">
        <v>29.51</v>
      </c>
      <c r="D8" s="11"/>
      <c r="E8" s="12">
        <v>85.9</v>
      </c>
      <c r="F8" s="12">
        <v>83.35</v>
      </c>
      <c r="G8" s="12">
        <v>46.75</v>
      </c>
      <c r="H8" s="46">
        <v>36.25</v>
      </c>
      <c r="I8" s="2"/>
      <c r="J8" s="45">
        <v>37165</v>
      </c>
      <c r="K8" s="20">
        <v>85.109523809523807</v>
      </c>
      <c r="L8" s="20">
        <v>82.44047619047619</v>
      </c>
      <c r="M8" s="20">
        <v>87.240476190476187</v>
      </c>
      <c r="N8" s="21">
        <v>22.6</v>
      </c>
      <c r="O8" s="40">
        <v>21.55</v>
      </c>
      <c r="P8" s="2"/>
      <c r="Q8" s="2"/>
      <c r="R8" s="2"/>
      <c r="S8" s="2"/>
      <c r="T8" s="2"/>
      <c r="W8" s="2"/>
      <c r="AA8" s="2"/>
      <c r="AB8" s="7"/>
      <c r="AC8" s="1"/>
      <c r="AD8" s="1"/>
    </row>
    <row r="9" spans="1:30" x14ac:dyDescent="0.2">
      <c r="A9" s="2"/>
      <c r="B9" s="29">
        <v>37196</v>
      </c>
      <c r="C9" s="11">
        <v>29.69</v>
      </c>
      <c r="D9" s="11">
        <v>29.15</v>
      </c>
      <c r="E9" s="12">
        <v>81.900000000000006</v>
      </c>
      <c r="F9" s="12">
        <v>83.95</v>
      </c>
      <c r="G9" s="12">
        <v>47</v>
      </c>
      <c r="H9" s="46">
        <v>36</v>
      </c>
      <c r="I9" s="2"/>
      <c r="J9" s="45">
        <v>37196</v>
      </c>
      <c r="K9" s="20">
        <v>84.990476190476201</v>
      </c>
      <c r="L9" s="20">
        <v>81.890476190476193</v>
      </c>
      <c r="M9" s="20">
        <v>87.090476190476195</v>
      </c>
      <c r="N9" s="21">
        <v>22.7</v>
      </c>
      <c r="O9" s="40">
        <v>21.3</v>
      </c>
      <c r="P9" s="2"/>
      <c r="Q9" s="2"/>
      <c r="R9" s="2"/>
      <c r="S9" s="2"/>
      <c r="T9" s="2"/>
      <c r="W9" s="2"/>
      <c r="AA9" s="2"/>
      <c r="AB9" s="7"/>
      <c r="AC9" s="1"/>
      <c r="AD9" s="1"/>
    </row>
    <row r="10" spans="1:30" x14ac:dyDescent="0.2">
      <c r="A10" s="2"/>
      <c r="B10" s="29">
        <v>37226</v>
      </c>
      <c r="C10" s="11">
        <v>29.61</v>
      </c>
      <c r="D10" s="11">
        <v>28.56</v>
      </c>
      <c r="E10" s="12">
        <v>79.5</v>
      </c>
      <c r="F10" s="12">
        <v>84.15</v>
      </c>
      <c r="G10" s="12">
        <v>47.25</v>
      </c>
      <c r="H10" s="46">
        <v>35.75</v>
      </c>
      <c r="I10" s="2"/>
      <c r="J10" s="45">
        <v>37226</v>
      </c>
      <c r="K10" s="20">
        <v>85.19047619047619</v>
      </c>
      <c r="L10" s="20">
        <v>79.990476190476201</v>
      </c>
      <c r="M10" s="20">
        <v>85.240476190476201</v>
      </c>
      <c r="N10" s="21">
        <v>22.85</v>
      </c>
      <c r="O10" s="40">
        <v>21.05</v>
      </c>
      <c r="P10" s="2"/>
      <c r="Q10" s="2"/>
      <c r="R10" s="2"/>
      <c r="S10" s="2"/>
      <c r="T10" s="2"/>
      <c r="W10" s="2"/>
      <c r="AA10" s="2"/>
      <c r="AB10" s="7"/>
      <c r="AC10" s="1"/>
      <c r="AD10" s="1"/>
    </row>
    <row r="11" spans="1:30" x14ac:dyDescent="0.2">
      <c r="A11" s="2"/>
      <c r="B11" s="29">
        <v>37257</v>
      </c>
      <c r="C11" s="11">
        <v>29.11</v>
      </c>
      <c r="D11" s="11">
        <v>28.23</v>
      </c>
      <c r="E11" s="12">
        <v>78.599999999999994</v>
      </c>
      <c r="F11" s="12">
        <v>84</v>
      </c>
      <c r="G11" s="12">
        <v>43</v>
      </c>
      <c r="H11" s="46">
        <v>35.75</v>
      </c>
      <c r="I11" s="2"/>
      <c r="J11" s="45">
        <v>37257</v>
      </c>
      <c r="K11" s="20">
        <v>84.790476190476198</v>
      </c>
      <c r="L11" s="20">
        <v>80.290476190476184</v>
      </c>
      <c r="M11" s="20">
        <v>85.390476190476207</v>
      </c>
      <c r="N11" s="21">
        <v>22.9</v>
      </c>
      <c r="O11" s="40">
        <v>20.8</v>
      </c>
      <c r="P11" s="2"/>
      <c r="Q11" s="2"/>
      <c r="R11" s="2"/>
      <c r="S11" s="2"/>
      <c r="T11" s="2"/>
      <c r="W11" s="2"/>
      <c r="AA11" s="2"/>
      <c r="AB11" s="7"/>
      <c r="AC11" s="1"/>
      <c r="AD11" s="1"/>
    </row>
    <row r="12" spans="1:30" x14ac:dyDescent="0.2">
      <c r="A12" s="2"/>
      <c r="B12" s="29">
        <v>37288</v>
      </c>
      <c r="C12" s="11">
        <v>28.56</v>
      </c>
      <c r="D12" s="11">
        <v>26.18</v>
      </c>
      <c r="E12" s="12">
        <v>78.900000000000006</v>
      </c>
      <c r="F12" s="12">
        <v>82</v>
      </c>
      <c r="G12" s="12">
        <v>43.25</v>
      </c>
      <c r="H12" s="46">
        <v>35.5</v>
      </c>
      <c r="I12" s="2"/>
      <c r="J12" s="45">
        <v>37288</v>
      </c>
      <c r="K12" s="20">
        <v>83.240476190476187</v>
      </c>
      <c r="L12" s="20">
        <v>76.640476190476193</v>
      </c>
      <c r="M12" s="20">
        <v>81.740476190476201</v>
      </c>
      <c r="N12" s="21">
        <v>22.75</v>
      </c>
      <c r="O12" s="40">
        <v>20.6</v>
      </c>
      <c r="P12" s="2"/>
      <c r="Q12" s="2"/>
      <c r="R12" s="2"/>
      <c r="S12" s="2"/>
      <c r="T12" s="2"/>
      <c r="W12" s="2"/>
      <c r="AA12" s="2"/>
      <c r="AB12" s="7"/>
      <c r="AC12" s="1"/>
      <c r="AD12" s="1"/>
    </row>
    <row r="13" spans="1:30" x14ac:dyDescent="0.2">
      <c r="A13" s="2"/>
      <c r="B13" s="29">
        <v>37316</v>
      </c>
      <c r="C13" s="11">
        <v>28</v>
      </c>
      <c r="D13" s="11">
        <v>25.84</v>
      </c>
      <c r="E13" s="12">
        <v>79.349999999999994</v>
      </c>
      <c r="F13" s="12">
        <v>78.23</v>
      </c>
      <c r="G13" s="12">
        <v>41.75</v>
      </c>
      <c r="H13" s="46">
        <v>35.25</v>
      </c>
      <c r="I13" s="2"/>
      <c r="J13" s="45">
        <v>37316</v>
      </c>
      <c r="K13" s="20">
        <v>79.590476190476195</v>
      </c>
      <c r="L13" s="20">
        <v>73.240476190476201</v>
      </c>
      <c r="M13" s="20">
        <v>78.340476190476181</v>
      </c>
      <c r="N13" s="21">
        <v>22.6</v>
      </c>
      <c r="O13" s="40">
        <v>20.3</v>
      </c>
      <c r="P13" s="2"/>
      <c r="Q13" s="2"/>
      <c r="R13" s="2"/>
      <c r="S13" s="2"/>
      <c r="T13" s="2"/>
      <c r="W13" s="2"/>
      <c r="AA13" s="2"/>
      <c r="AB13" s="7"/>
      <c r="AC13" s="1"/>
      <c r="AD13" s="1"/>
    </row>
    <row r="14" spans="1:30" x14ac:dyDescent="0.2">
      <c r="A14" s="2"/>
      <c r="B14" s="29">
        <v>37347</v>
      </c>
      <c r="C14" s="11">
        <v>27.49</v>
      </c>
      <c r="D14" s="11">
        <v>25.51</v>
      </c>
      <c r="E14" s="12">
        <v>82.04</v>
      </c>
      <c r="F14" s="12">
        <v>74.98</v>
      </c>
      <c r="G14" s="12">
        <v>40.85</v>
      </c>
      <c r="H14" s="46">
        <v>34.5</v>
      </c>
      <c r="I14" s="2"/>
      <c r="J14" s="45">
        <v>37347</v>
      </c>
      <c r="K14" s="20">
        <v>76.19047619047619</v>
      </c>
      <c r="L14" s="20">
        <v>70.490476190476187</v>
      </c>
      <c r="M14" s="20">
        <v>74.390476190476178</v>
      </c>
      <c r="N14" s="21">
        <v>22.4</v>
      </c>
      <c r="O14" s="40">
        <v>20</v>
      </c>
      <c r="P14" s="2"/>
      <c r="Q14" s="2"/>
      <c r="R14" s="2"/>
      <c r="S14" s="2"/>
      <c r="T14" s="2"/>
      <c r="W14" s="2"/>
      <c r="AA14" s="2"/>
      <c r="AB14" s="7"/>
      <c r="AC14" s="1"/>
      <c r="AD14" s="1"/>
    </row>
    <row r="15" spans="1:30" x14ac:dyDescent="0.2">
      <c r="A15" s="2"/>
      <c r="B15" s="29">
        <v>37377</v>
      </c>
      <c r="C15" s="11">
        <v>26.98</v>
      </c>
      <c r="D15" s="11">
        <v>25.19</v>
      </c>
      <c r="E15" s="12">
        <v>82.04</v>
      </c>
      <c r="F15" s="12">
        <v>70.540000000000006</v>
      </c>
      <c r="G15" s="12">
        <v>40.85</v>
      </c>
      <c r="H15" s="46">
        <v>34.5</v>
      </c>
      <c r="I15" s="2"/>
      <c r="J15" s="45">
        <v>37377</v>
      </c>
      <c r="K15" s="20">
        <v>72.840476190476195</v>
      </c>
      <c r="L15" s="20">
        <v>68.840476190476195</v>
      </c>
      <c r="M15" s="20">
        <v>72.740476190476201</v>
      </c>
      <c r="N15" s="21">
        <v>22.2</v>
      </c>
      <c r="O15" s="40">
        <v>19.75</v>
      </c>
      <c r="P15" s="2"/>
      <c r="Q15" s="2"/>
      <c r="R15" s="2"/>
      <c r="S15" s="2"/>
      <c r="T15" s="2"/>
      <c r="W15" s="2"/>
      <c r="AA15" s="2"/>
      <c r="AB15" s="7"/>
      <c r="AC15" s="1"/>
      <c r="AD15" s="1"/>
    </row>
    <row r="16" spans="1:30" x14ac:dyDescent="0.2">
      <c r="A16" s="2"/>
      <c r="B16" s="29">
        <v>37408</v>
      </c>
      <c r="C16" s="11">
        <v>26.47</v>
      </c>
      <c r="D16" s="11">
        <v>24.88</v>
      </c>
      <c r="E16" s="12">
        <v>81.290000000000006</v>
      </c>
      <c r="F16" s="12">
        <v>63.5</v>
      </c>
      <c r="G16" s="12">
        <v>40.85</v>
      </c>
      <c r="H16" s="46">
        <v>34.5</v>
      </c>
      <c r="I16" s="2"/>
      <c r="J16" s="45">
        <v>37408</v>
      </c>
      <c r="K16" s="20">
        <v>71.190476190476176</v>
      </c>
      <c r="L16" s="20">
        <v>68.44047619047619</v>
      </c>
      <c r="M16" s="20">
        <v>72.340476190476195</v>
      </c>
      <c r="N16" s="21">
        <v>22.1</v>
      </c>
      <c r="O16" s="40">
        <v>19.5</v>
      </c>
      <c r="P16" s="2"/>
      <c r="Q16" s="2"/>
      <c r="R16" s="2"/>
      <c r="S16" s="2"/>
      <c r="T16" s="2"/>
      <c r="W16" s="2"/>
      <c r="AA16" s="2"/>
      <c r="AB16" s="7"/>
      <c r="AC16" s="1"/>
      <c r="AD16" s="1"/>
    </row>
    <row r="17" spans="1:33" x14ac:dyDescent="0.2">
      <c r="A17" s="2"/>
      <c r="B17" s="29">
        <v>37438</v>
      </c>
      <c r="C17" s="11">
        <v>25.96</v>
      </c>
      <c r="D17" s="11">
        <v>24.61</v>
      </c>
      <c r="E17" s="12">
        <v>79.94</v>
      </c>
      <c r="F17" s="12">
        <v>69.09</v>
      </c>
      <c r="G17" s="12">
        <v>40.85</v>
      </c>
      <c r="H17" s="46">
        <v>34.75</v>
      </c>
      <c r="I17" s="2"/>
      <c r="J17" s="45">
        <v>37438</v>
      </c>
      <c r="K17" s="20">
        <v>70.790476190476198</v>
      </c>
      <c r="L17" s="20">
        <v>68.090476190476195</v>
      </c>
      <c r="M17" s="20">
        <v>72.790476190476198</v>
      </c>
      <c r="N17" s="21">
        <v>20.996000000000002</v>
      </c>
      <c r="O17" s="40">
        <v>18.596</v>
      </c>
      <c r="P17" s="2"/>
      <c r="Q17" s="2"/>
      <c r="R17" s="2"/>
      <c r="S17" s="2"/>
      <c r="T17" s="2"/>
      <c r="W17" s="2"/>
      <c r="AA17" s="2"/>
      <c r="AB17" s="7"/>
      <c r="AC17" s="1"/>
      <c r="AD17" s="1"/>
    </row>
    <row r="18" spans="1:33" x14ac:dyDescent="0.2">
      <c r="A18" s="2"/>
      <c r="B18" s="29">
        <v>37469</v>
      </c>
      <c r="C18" s="11">
        <v>25.3</v>
      </c>
      <c r="D18" s="11">
        <v>24.35</v>
      </c>
      <c r="E18" s="12">
        <v>78</v>
      </c>
      <c r="F18" s="12">
        <v>69.239999999999995</v>
      </c>
      <c r="G18" s="12"/>
      <c r="H18" s="46"/>
      <c r="I18" s="2"/>
      <c r="J18" s="45">
        <v>37469</v>
      </c>
      <c r="K18" s="20">
        <v>70.540476190476198</v>
      </c>
      <c r="L18" s="20">
        <v>68.340476190476195</v>
      </c>
      <c r="M18" s="20">
        <v>73.040476190476198</v>
      </c>
      <c r="N18" s="21">
        <v>20.627000000000002</v>
      </c>
      <c r="O18" s="40">
        <v>18.227</v>
      </c>
      <c r="P18" s="2"/>
      <c r="Q18" s="2"/>
      <c r="R18" s="2"/>
      <c r="S18" s="2"/>
      <c r="T18" s="2"/>
      <c r="W18" s="2"/>
      <c r="AA18" s="2"/>
      <c r="AB18" s="7"/>
      <c r="AC18" s="7"/>
      <c r="AD18" s="1"/>
      <c r="AE18" s="1"/>
    </row>
    <row r="19" spans="1:33" x14ac:dyDescent="0.2">
      <c r="A19" s="2"/>
      <c r="B19" s="29">
        <v>37500</v>
      </c>
      <c r="C19" s="11">
        <v>25.04</v>
      </c>
      <c r="D19" s="11">
        <v>24.09</v>
      </c>
      <c r="E19" s="12">
        <v>75.5</v>
      </c>
      <c r="F19" s="12">
        <v>69.69</v>
      </c>
      <c r="G19" s="12"/>
      <c r="H19" s="46"/>
      <c r="I19" s="2"/>
      <c r="J19" s="45">
        <v>37500</v>
      </c>
      <c r="K19" s="20">
        <v>70.790476190476198</v>
      </c>
      <c r="L19" s="20">
        <v>68.590476190476195</v>
      </c>
      <c r="M19" s="20">
        <v>73.290476190476198</v>
      </c>
      <c r="N19" s="21">
        <v>20.309999999999999</v>
      </c>
      <c r="O19" s="40">
        <v>17.91</v>
      </c>
      <c r="P19" s="2"/>
      <c r="Q19" s="2"/>
      <c r="R19" s="2"/>
      <c r="S19" s="2"/>
      <c r="T19" s="2"/>
      <c r="W19" s="2"/>
      <c r="AA19" s="2"/>
      <c r="AB19" s="7"/>
      <c r="AC19" s="7"/>
      <c r="AD19" s="1"/>
      <c r="AE19" s="1"/>
    </row>
    <row r="20" spans="1:33" x14ac:dyDescent="0.2">
      <c r="A20" s="2"/>
      <c r="B20" s="29">
        <v>37530</v>
      </c>
      <c r="C20" s="11">
        <v>24.78</v>
      </c>
      <c r="D20" s="11">
        <v>23.87</v>
      </c>
      <c r="E20" s="12"/>
      <c r="F20" s="12">
        <v>70.14</v>
      </c>
      <c r="G20" s="12"/>
      <c r="H20" s="46"/>
      <c r="I20" s="2"/>
      <c r="J20" s="45">
        <v>37530</v>
      </c>
      <c r="K20" s="20">
        <v>71.040476190476184</v>
      </c>
      <c r="L20" s="20">
        <v>67.640476190476193</v>
      </c>
      <c r="M20" s="20">
        <v>73.090476190476195</v>
      </c>
      <c r="N20" s="21">
        <v>20.009</v>
      </c>
      <c r="O20" s="40">
        <v>17.609000000000002</v>
      </c>
      <c r="P20" s="2"/>
      <c r="Q20" s="2"/>
      <c r="R20" s="2"/>
      <c r="S20" s="2"/>
      <c r="T20" s="2"/>
      <c r="W20" s="2"/>
      <c r="AA20" s="2"/>
      <c r="AB20" s="7"/>
      <c r="AC20" s="7"/>
      <c r="AD20" s="1"/>
      <c r="AE20" s="1"/>
    </row>
    <row r="21" spans="1:33" x14ac:dyDescent="0.2">
      <c r="A21" s="2"/>
      <c r="B21" s="29">
        <v>37561</v>
      </c>
      <c r="C21" s="11">
        <v>24.55</v>
      </c>
      <c r="D21" s="11">
        <v>23.65</v>
      </c>
      <c r="E21" s="12"/>
      <c r="F21" s="12">
        <v>70.59</v>
      </c>
      <c r="G21" s="12"/>
      <c r="H21" s="46"/>
      <c r="I21" s="2"/>
      <c r="J21" s="45">
        <v>37561</v>
      </c>
      <c r="K21" s="20">
        <v>71.290476190476198</v>
      </c>
      <c r="L21" s="20">
        <v>67.990476190476187</v>
      </c>
      <c r="M21" s="20">
        <v>73.44047619047619</v>
      </c>
      <c r="N21" s="21">
        <v>19.774000000000001</v>
      </c>
      <c r="O21" s="40">
        <v>17.374000000000002</v>
      </c>
      <c r="P21" s="2"/>
      <c r="Q21" s="2"/>
      <c r="R21" s="2"/>
      <c r="S21" s="2"/>
      <c r="T21" s="2"/>
      <c r="W21" s="2"/>
      <c r="AA21" s="2"/>
      <c r="AB21" s="7"/>
      <c r="AC21" s="7"/>
      <c r="AD21" s="1"/>
      <c r="AE21" s="1"/>
    </row>
    <row r="22" spans="1:33" x14ac:dyDescent="0.2">
      <c r="A22" s="2"/>
      <c r="B22" s="29">
        <v>37591</v>
      </c>
      <c r="C22" s="11">
        <v>24.29</v>
      </c>
      <c r="D22" s="11">
        <v>23.43</v>
      </c>
      <c r="E22" s="12"/>
      <c r="F22" s="12">
        <v>71.040000000000006</v>
      </c>
      <c r="G22" s="12"/>
      <c r="H22" s="46"/>
      <c r="I22" s="2"/>
      <c r="J22" s="45">
        <v>37591</v>
      </c>
      <c r="K22" s="20">
        <v>71.640476190476193</v>
      </c>
      <c r="L22" s="20">
        <v>68.19047619047619</v>
      </c>
      <c r="M22" s="20">
        <v>73.640476190476207</v>
      </c>
      <c r="N22" s="21">
        <v>19.563000000000002</v>
      </c>
      <c r="O22" s="40">
        <v>17.163</v>
      </c>
      <c r="P22" s="2"/>
      <c r="Q22" s="2"/>
      <c r="R22" s="2"/>
      <c r="S22" s="2"/>
      <c r="T22" s="2"/>
      <c r="W22" s="2"/>
      <c r="AA22" s="2"/>
      <c r="AB22" s="7"/>
      <c r="AC22" s="7"/>
      <c r="AD22" s="1"/>
      <c r="AE22" s="1"/>
    </row>
    <row r="23" spans="1:33" x14ac:dyDescent="0.2">
      <c r="A23" s="2"/>
      <c r="B23" s="29">
        <v>37622</v>
      </c>
      <c r="C23" s="11">
        <v>24.18</v>
      </c>
      <c r="D23" s="13"/>
      <c r="E23" s="12"/>
      <c r="F23" s="12">
        <v>71.34</v>
      </c>
      <c r="G23" s="12"/>
      <c r="H23" s="46"/>
      <c r="I23" s="2"/>
      <c r="J23" s="45">
        <v>37622</v>
      </c>
      <c r="K23" s="20">
        <v>71.840476190476195</v>
      </c>
      <c r="L23" s="20">
        <v>68.140476190476178</v>
      </c>
      <c r="M23" s="20">
        <v>74.240476190476187</v>
      </c>
      <c r="N23" s="21">
        <v>20.074000000000002</v>
      </c>
      <c r="O23" s="40">
        <v>17.024000000000001</v>
      </c>
      <c r="P23" s="2"/>
      <c r="Q23" s="2"/>
      <c r="R23" s="2"/>
      <c r="S23" s="2"/>
      <c r="T23" s="2"/>
      <c r="W23" s="2"/>
      <c r="AA23" s="2"/>
      <c r="AB23" s="7"/>
      <c r="AC23" s="7"/>
      <c r="AD23" s="1"/>
      <c r="AE23" s="1"/>
    </row>
    <row r="24" spans="1:33" x14ac:dyDescent="0.2">
      <c r="A24" s="2"/>
      <c r="B24" s="76">
        <v>37653</v>
      </c>
      <c r="C24" s="48">
        <v>24</v>
      </c>
      <c r="D24" s="49"/>
      <c r="E24" s="50"/>
      <c r="F24" s="50"/>
      <c r="G24" s="50"/>
      <c r="H24" s="51"/>
      <c r="I24" s="2"/>
      <c r="J24" s="47">
        <v>37653</v>
      </c>
      <c r="K24" s="20">
        <v>71.240476190476201</v>
      </c>
      <c r="L24" s="20">
        <v>66.290476190476198</v>
      </c>
      <c r="M24" s="20">
        <v>72.390476190476193</v>
      </c>
      <c r="N24" s="54">
        <v>19.903000000000002</v>
      </c>
      <c r="O24" s="77">
        <v>16.853000000000002</v>
      </c>
      <c r="P24" s="2"/>
      <c r="Q24" s="2"/>
      <c r="R24" s="2"/>
      <c r="S24" s="2"/>
      <c r="T24" s="2"/>
      <c r="W24" s="2"/>
      <c r="AA24" s="2"/>
      <c r="AB24" s="7"/>
      <c r="AC24" s="7"/>
      <c r="AD24" s="1"/>
      <c r="AE24" s="1"/>
    </row>
    <row r="25" spans="1:33" x14ac:dyDescent="0.2">
      <c r="A25" s="2"/>
      <c r="B25" s="30"/>
      <c r="C25" s="2" t="s">
        <v>54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7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C25" s="7"/>
      <c r="AD25" s="7"/>
      <c r="AE25" s="1"/>
    </row>
    <row r="26" spans="1:33" x14ac:dyDescent="0.2">
      <c r="A26" s="2"/>
      <c r="B26" s="30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33" x14ac:dyDescent="0.2">
      <c r="A27" s="2"/>
      <c r="B27" s="78"/>
      <c r="C27" s="134" t="s">
        <v>55</v>
      </c>
      <c r="D27" s="134"/>
      <c r="E27" s="134"/>
      <c r="F27" s="134"/>
      <c r="G27" s="134"/>
      <c r="H27" s="134"/>
      <c r="I27" s="134"/>
      <c r="J27" s="134"/>
      <c r="K27" s="134"/>
      <c r="L27" s="134"/>
      <c r="M27" s="135"/>
      <c r="N27" s="2"/>
      <c r="O27" s="27"/>
      <c r="U27" s="2"/>
      <c r="V27" s="2"/>
      <c r="Z27" s="2"/>
      <c r="AA27" s="2"/>
      <c r="AB27" s="2"/>
      <c r="AC27" s="2"/>
      <c r="AD27" s="2"/>
      <c r="AE27" s="2"/>
      <c r="AF27" s="2"/>
      <c r="AG27" s="2"/>
    </row>
    <row r="28" spans="1:33" x14ac:dyDescent="0.2">
      <c r="A28" s="2"/>
      <c r="B28" s="30"/>
      <c r="C28" s="8"/>
      <c r="D28" s="8"/>
      <c r="E28" s="8"/>
      <c r="F28" s="8"/>
      <c r="G28" s="8"/>
      <c r="H28" s="8"/>
      <c r="I28" s="8"/>
      <c r="J28" s="5"/>
      <c r="K28" s="5"/>
      <c r="L28" s="5"/>
      <c r="M28" s="55"/>
      <c r="N28" s="2"/>
      <c r="O28" s="27"/>
      <c r="U28" s="2"/>
      <c r="V28" s="2"/>
      <c r="Z28" s="2"/>
      <c r="AA28" s="2"/>
      <c r="AB28" s="2"/>
      <c r="AC28" s="2"/>
      <c r="AD28" s="2"/>
      <c r="AE28" s="2"/>
      <c r="AF28" s="2"/>
      <c r="AG28" s="2"/>
    </row>
    <row r="29" spans="1:33" x14ac:dyDescent="0.2">
      <c r="A29" s="2"/>
      <c r="B29" s="29" t="s">
        <v>6</v>
      </c>
      <c r="C29" s="14">
        <v>29.663333333333334</v>
      </c>
      <c r="D29" s="5" t="s">
        <v>18</v>
      </c>
      <c r="E29" s="14">
        <v>5.858555555555558</v>
      </c>
      <c r="F29" s="5" t="s">
        <v>30</v>
      </c>
      <c r="G29" s="22">
        <v>-0.88611111111111285</v>
      </c>
      <c r="H29" s="5" t="s">
        <v>61</v>
      </c>
      <c r="I29" s="22"/>
      <c r="J29" s="5" t="s">
        <v>77</v>
      </c>
      <c r="K29" s="22">
        <v>28.45</v>
      </c>
      <c r="L29" s="5" t="s">
        <v>89</v>
      </c>
      <c r="M29" s="56">
        <v>-2.5000000000002132E-2</v>
      </c>
      <c r="N29" s="2"/>
      <c r="O29" s="27"/>
      <c r="U29" s="2"/>
      <c r="V29" s="2"/>
      <c r="Z29" s="2"/>
      <c r="AA29" s="2"/>
      <c r="AB29" s="2"/>
      <c r="AC29" s="2"/>
      <c r="AD29" s="2"/>
      <c r="AE29" s="2"/>
      <c r="AF29" s="2"/>
      <c r="AG29" s="2"/>
    </row>
    <row r="30" spans="1:33" x14ac:dyDescent="0.2">
      <c r="A30" s="2"/>
      <c r="B30" s="29" t="s">
        <v>7</v>
      </c>
      <c r="C30" s="14">
        <v>29.443333333333332</v>
      </c>
      <c r="D30" s="5" t="s">
        <v>20</v>
      </c>
      <c r="E30" s="14">
        <v>6.351088888888885</v>
      </c>
      <c r="F30" s="5" t="s">
        <v>31</v>
      </c>
      <c r="G30" s="22">
        <v>-1.0544444444444494</v>
      </c>
      <c r="H30" s="5" t="s">
        <v>62</v>
      </c>
      <c r="I30" s="22">
        <v>-0.34333333333333016</v>
      </c>
      <c r="J30" s="5" t="s">
        <v>78</v>
      </c>
      <c r="K30" s="22">
        <v>27.546666666666667</v>
      </c>
      <c r="L30" s="5" t="s">
        <v>90</v>
      </c>
      <c r="M30" s="56">
        <v>-0.25333333333333385</v>
      </c>
      <c r="N30" s="2"/>
      <c r="O30" s="27"/>
      <c r="U30" s="2"/>
      <c r="V30" s="2"/>
      <c r="Z30" s="2"/>
      <c r="AA30" s="2"/>
      <c r="AB30" s="2"/>
      <c r="AC30" s="2"/>
      <c r="AD30" s="2"/>
      <c r="AE30" s="2"/>
      <c r="AF30" s="2"/>
      <c r="AG30" s="2"/>
    </row>
    <row r="31" spans="1:33" x14ac:dyDescent="0.2">
      <c r="A31" s="2"/>
      <c r="B31" s="29" t="s">
        <v>8</v>
      </c>
      <c r="C31" s="14">
        <v>28.926666666666666</v>
      </c>
      <c r="D31" s="5" t="s">
        <v>21</v>
      </c>
      <c r="E31" s="14">
        <v>2.9794666666666672</v>
      </c>
      <c r="F31" s="5" t="s">
        <v>32</v>
      </c>
      <c r="G31" s="22">
        <v>-0.84999999999999787</v>
      </c>
      <c r="H31" s="5" t="s">
        <v>63</v>
      </c>
      <c r="I31" s="22">
        <v>-0.45166666666666444</v>
      </c>
      <c r="J31" s="5" t="s">
        <v>79</v>
      </c>
      <c r="K31" s="22">
        <v>26.066666666666666</v>
      </c>
      <c r="L31" s="5" t="s">
        <v>91</v>
      </c>
      <c r="M31" s="56">
        <v>-1.1833333333333336</v>
      </c>
      <c r="N31" s="2"/>
      <c r="O31" s="27"/>
      <c r="U31" s="2"/>
      <c r="V31" s="2"/>
      <c r="Z31" s="2"/>
      <c r="AA31" s="2"/>
      <c r="AB31" s="2"/>
      <c r="AC31" s="2"/>
      <c r="AD31" s="2"/>
      <c r="AE31" s="2"/>
      <c r="AF31" s="2"/>
      <c r="AG31" s="2"/>
    </row>
    <row r="32" spans="1:33" x14ac:dyDescent="0.2">
      <c r="A32" s="2"/>
      <c r="B32" s="29" t="s">
        <v>9</v>
      </c>
      <c r="C32" s="14">
        <v>28.373333333333331</v>
      </c>
      <c r="D32" s="5" t="s">
        <v>22</v>
      </c>
      <c r="E32" s="14">
        <v>4.166133333333331</v>
      </c>
      <c r="F32" s="5" t="s">
        <v>33</v>
      </c>
      <c r="G32" s="22">
        <v>1.83</v>
      </c>
      <c r="H32" s="5" t="s">
        <v>64</v>
      </c>
      <c r="I32" s="22">
        <v>-0.57333333333333059</v>
      </c>
      <c r="J32" s="5" t="s">
        <v>80</v>
      </c>
      <c r="K32" s="22">
        <v>25.73</v>
      </c>
      <c r="L32" s="5" t="s">
        <v>92</v>
      </c>
      <c r="M32" s="56">
        <v>-1.05</v>
      </c>
      <c r="N32" s="2"/>
      <c r="O32" s="27"/>
      <c r="U32" s="2"/>
      <c r="V32" s="2"/>
      <c r="Z32" s="2"/>
      <c r="AA32" s="2"/>
      <c r="AB32" s="2"/>
      <c r="AC32" s="2"/>
      <c r="AD32" s="2"/>
      <c r="AE32" s="2"/>
      <c r="AF32" s="2"/>
      <c r="AG32" s="2"/>
    </row>
    <row r="33" spans="1:33" x14ac:dyDescent="0.2">
      <c r="A33" s="2"/>
      <c r="B33" s="29" t="s">
        <v>10</v>
      </c>
      <c r="C33" s="14">
        <v>27.83</v>
      </c>
      <c r="D33" s="5" t="s">
        <v>19</v>
      </c>
      <c r="E33" s="14">
        <v>5.3689111111111174</v>
      </c>
      <c r="F33" s="5" t="s">
        <v>34</v>
      </c>
      <c r="G33" s="22"/>
      <c r="H33" s="5" t="s">
        <v>65</v>
      </c>
      <c r="I33" s="22">
        <v>-0.57999999999999829</v>
      </c>
      <c r="J33" s="5" t="s">
        <v>81</v>
      </c>
      <c r="K33" s="22">
        <v>25.403333333333336</v>
      </c>
      <c r="L33" s="5" t="s">
        <v>93</v>
      </c>
      <c r="M33" s="56">
        <v>-0.92666666666666231</v>
      </c>
      <c r="N33" s="2"/>
      <c r="O33" s="27"/>
      <c r="U33" s="2"/>
      <c r="V33" s="2"/>
      <c r="Z33" s="2"/>
      <c r="AA33" s="2"/>
      <c r="AB33" s="2"/>
      <c r="AC33" s="2"/>
      <c r="AD33" s="2"/>
      <c r="AE33" s="2"/>
      <c r="AF33" s="2"/>
      <c r="AG33" s="2"/>
    </row>
    <row r="34" spans="1:33" x14ac:dyDescent="0.2">
      <c r="A34" s="2"/>
      <c r="B34" s="29" t="s">
        <v>11</v>
      </c>
      <c r="C34" s="14">
        <v>27.32</v>
      </c>
      <c r="D34" s="5"/>
      <c r="E34" s="14"/>
      <c r="F34" s="5"/>
      <c r="G34" s="15"/>
      <c r="H34" s="5" t="s">
        <v>66</v>
      </c>
      <c r="I34" s="22">
        <v>-0.53999999999999559</v>
      </c>
      <c r="J34" s="5" t="s">
        <v>82</v>
      </c>
      <c r="K34" s="22">
        <v>25.086666666666666</v>
      </c>
      <c r="L34" s="5" t="s">
        <v>94</v>
      </c>
      <c r="M34" s="56">
        <v>-0.81333333333333258</v>
      </c>
      <c r="N34" s="2"/>
      <c r="O34" s="27"/>
      <c r="U34" s="2"/>
      <c r="V34" s="2"/>
      <c r="Z34" s="2"/>
      <c r="AA34" s="2"/>
      <c r="AB34" s="2"/>
      <c r="AC34" s="2"/>
      <c r="AD34" s="2"/>
      <c r="AE34" s="2"/>
      <c r="AF34" s="2"/>
      <c r="AG34" s="2"/>
    </row>
    <row r="35" spans="1:33" x14ac:dyDescent="0.2">
      <c r="A35" s="2"/>
      <c r="B35" s="29" t="s">
        <v>68</v>
      </c>
      <c r="C35" s="14">
        <v>26.81</v>
      </c>
      <c r="D35" s="5" t="s">
        <v>23</v>
      </c>
      <c r="E35" s="14">
        <v>4.7164000000000001</v>
      </c>
      <c r="F35" s="5" t="s">
        <v>36</v>
      </c>
      <c r="G35" s="15"/>
      <c r="H35" s="5" t="s">
        <v>67</v>
      </c>
      <c r="I35" s="22">
        <v>-0.47999999999999687</v>
      </c>
      <c r="J35" s="5" t="s">
        <v>83</v>
      </c>
      <c r="K35" s="22">
        <v>24.79</v>
      </c>
      <c r="L35" s="5"/>
      <c r="M35" s="56"/>
      <c r="N35" s="2"/>
      <c r="O35" s="27"/>
      <c r="U35" s="2"/>
      <c r="V35" s="2"/>
      <c r="Z35" s="2"/>
      <c r="AA35" s="2"/>
      <c r="AB35" s="2"/>
      <c r="AC35" s="2"/>
      <c r="AD35" s="2"/>
      <c r="AE35" s="2"/>
      <c r="AF35" s="2"/>
      <c r="AG35" s="2"/>
    </row>
    <row r="36" spans="1:33" x14ac:dyDescent="0.2">
      <c r="A36" s="2"/>
      <c r="B36" s="29"/>
      <c r="C36" s="14"/>
      <c r="D36" s="5"/>
      <c r="E36" s="14"/>
      <c r="F36" s="5"/>
      <c r="G36" s="15"/>
      <c r="H36" s="5"/>
      <c r="I36" s="15"/>
      <c r="J36" s="5"/>
      <c r="K36" s="15"/>
      <c r="L36" s="5" t="s">
        <v>95</v>
      </c>
      <c r="M36" s="56">
        <v>-1.053333333333331</v>
      </c>
      <c r="N36" s="2"/>
      <c r="O36" s="27"/>
      <c r="U36" s="2"/>
      <c r="V36" s="2"/>
      <c r="Z36" s="2"/>
      <c r="AA36" s="2"/>
      <c r="AB36" s="2"/>
      <c r="AC36" s="2"/>
      <c r="AD36" s="2"/>
      <c r="AE36" s="2"/>
      <c r="AF36" s="2"/>
      <c r="AG36" s="2"/>
    </row>
    <row r="37" spans="1:33" x14ac:dyDescent="0.2">
      <c r="A37" s="2"/>
      <c r="B37" s="29" t="s">
        <v>12</v>
      </c>
      <c r="C37" s="14">
        <v>29.344444444444445</v>
      </c>
      <c r="D37" s="5" t="s">
        <v>24</v>
      </c>
      <c r="E37" s="22">
        <v>5.2775555555555549</v>
      </c>
      <c r="F37" s="5" t="s">
        <v>35</v>
      </c>
      <c r="G37" s="15"/>
      <c r="H37" s="5" t="s">
        <v>69</v>
      </c>
      <c r="I37" s="22">
        <v>-0.5400000000000027</v>
      </c>
      <c r="J37" s="5" t="s">
        <v>84</v>
      </c>
      <c r="K37" s="22"/>
      <c r="L37" s="5" t="s">
        <v>96</v>
      </c>
      <c r="M37" s="56">
        <v>-0.63333333333333286</v>
      </c>
      <c r="N37" s="2"/>
      <c r="O37" s="27"/>
      <c r="U37" s="2"/>
      <c r="V37" s="2"/>
      <c r="Z37" s="2"/>
      <c r="AA37" s="2"/>
      <c r="AB37" s="2"/>
      <c r="AC37" s="2"/>
      <c r="AD37" s="2"/>
      <c r="AE37" s="2"/>
      <c r="AF37" s="2"/>
      <c r="AG37" s="2"/>
    </row>
    <row r="38" spans="1:33" x14ac:dyDescent="0.2">
      <c r="A38" s="2"/>
      <c r="B38" s="29" t="s">
        <v>13</v>
      </c>
      <c r="C38" s="14">
        <v>27.841111111111115</v>
      </c>
      <c r="D38" s="5" t="s">
        <v>25</v>
      </c>
      <c r="E38" s="22">
        <v>5.3178888888888842</v>
      </c>
      <c r="F38" s="5" t="s">
        <v>37</v>
      </c>
      <c r="G38" s="22">
        <v>-2.1077777777777804</v>
      </c>
      <c r="H38" s="5" t="s">
        <v>70</v>
      </c>
      <c r="I38" s="22">
        <v>-1.05</v>
      </c>
      <c r="J38" s="5" t="s">
        <v>85</v>
      </c>
      <c r="K38" s="22">
        <v>25.733333333333334</v>
      </c>
      <c r="L38" s="5"/>
      <c r="M38" s="56"/>
      <c r="N38" s="2"/>
      <c r="O38" s="27"/>
      <c r="U38" s="2"/>
      <c r="V38" s="2"/>
      <c r="Z38" s="2"/>
      <c r="AA38" s="2"/>
      <c r="AB38" s="2"/>
      <c r="AC38" s="2"/>
      <c r="AD38" s="2"/>
      <c r="AE38" s="2"/>
      <c r="AF38" s="2"/>
      <c r="AG38" s="2"/>
    </row>
    <row r="39" spans="1:33" x14ac:dyDescent="0.2">
      <c r="A39" s="2"/>
      <c r="B39" s="29" t="s">
        <v>14</v>
      </c>
      <c r="C39" s="14">
        <v>26.283333333333331</v>
      </c>
      <c r="D39" s="5" t="s">
        <v>26</v>
      </c>
      <c r="E39" s="22">
        <v>8.0684666666666729</v>
      </c>
      <c r="F39" s="5" t="s">
        <v>38</v>
      </c>
      <c r="G39" s="22">
        <v>-1.4833333333333307</v>
      </c>
      <c r="H39" s="5" t="s">
        <v>71</v>
      </c>
      <c r="I39" s="22">
        <v>-0.87999999999999901</v>
      </c>
      <c r="J39" s="5" t="s">
        <v>86</v>
      </c>
      <c r="K39" s="22">
        <v>24.8</v>
      </c>
      <c r="L39" s="5"/>
      <c r="M39" s="56"/>
      <c r="N39" s="2"/>
      <c r="O39" s="27"/>
      <c r="U39" s="2"/>
      <c r="V39" s="2"/>
      <c r="Z39" s="2"/>
      <c r="AA39" s="2"/>
      <c r="AB39" s="2"/>
      <c r="AC39" s="2"/>
      <c r="AD39" s="2"/>
      <c r="AE39" s="2"/>
      <c r="AF39" s="2"/>
      <c r="AG39" s="2"/>
    </row>
    <row r="40" spans="1:33" x14ac:dyDescent="0.2">
      <c r="A40" s="2"/>
      <c r="B40" s="29" t="s">
        <v>15</v>
      </c>
      <c r="C40" s="14">
        <v>24.956666666666667</v>
      </c>
      <c r="D40" s="5" t="s">
        <v>27</v>
      </c>
      <c r="E40" s="22">
        <v>7.724933333333329</v>
      </c>
      <c r="F40" s="5" t="s">
        <v>39</v>
      </c>
      <c r="G40" s="22">
        <v>-0.93111111111110745</v>
      </c>
      <c r="H40" s="5" t="s">
        <v>72</v>
      </c>
      <c r="I40" s="22">
        <v>-2.38</v>
      </c>
      <c r="J40" s="5" t="s">
        <v>87</v>
      </c>
      <c r="K40" s="22">
        <v>24.02555555555556</v>
      </c>
      <c r="L40" s="5"/>
      <c r="M40" s="56"/>
      <c r="N40" s="2"/>
      <c r="O40" s="27"/>
      <c r="U40" s="2"/>
      <c r="V40" s="2"/>
      <c r="Z40" s="2"/>
      <c r="AA40" s="2"/>
      <c r="AB40" s="2"/>
      <c r="AC40" s="2"/>
      <c r="AD40" s="2"/>
      <c r="AE40" s="2"/>
      <c r="AF40" s="2"/>
      <c r="AG40" s="2"/>
    </row>
    <row r="41" spans="1:33" x14ac:dyDescent="0.2">
      <c r="A41" s="2"/>
      <c r="B41" s="29" t="s">
        <v>16</v>
      </c>
      <c r="C41" s="14">
        <v>24.27888888888889</v>
      </c>
      <c r="D41" s="5" t="s">
        <v>28</v>
      </c>
      <c r="E41" s="22"/>
      <c r="F41" s="5" t="s">
        <v>56</v>
      </c>
      <c r="G41" s="15"/>
      <c r="H41" s="5" t="s">
        <v>73</v>
      </c>
      <c r="I41" s="22">
        <v>-2.16</v>
      </c>
      <c r="J41" s="5" t="s">
        <v>88</v>
      </c>
      <c r="K41" s="22"/>
      <c r="L41" s="5"/>
      <c r="M41" s="56"/>
      <c r="N41" s="2"/>
      <c r="O41" s="27"/>
      <c r="U41" s="2"/>
      <c r="V41" s="2"/>
      <c r="Z41" s="2"/>
      <c r="AA41" s="2"/>
      <c r="AB41" s="2"/>
      <c r="AC41" s="2"/>
      <c r="AD41" s="2"/>
      <c r="AE41" s="2"/>
      <c r="AF41" s="2"/>
      <c r="AG41" s="2"/>
    </row>
    <row r="42" spans="1:33" x14ac:dyDescent="0.2">
      <c r="B42" s="29"/>
      <c r="C42" s="14"/>
      <c r="D42" s="5"/>
      <c r="E42" s="15"/>
      <c r="F42" s="5"/>
      <c r="G42" s="15"/>
      <c r="H42" s="5" t="s">
        <v>74</v>
      </c>
      <c r="I42" s="22">
        <v>-1.98</v>
      </c>
      <c r="J42" s="5"/>
      <c r="K42" s="22"/>
      <c r="L42" s="5"/>
      <c r="M42" s="56"/>
      <c r="N42" s="2"/>
      <c r="O42" s="27"/>
    </row>
    <row r="43" spans="1:33" x14ac:dyDescent="0.2">
      <c r="B43" s="76" t="s">
        <v>17</v>
      </c>
      <c r="C43" s="57">
        <v>25.84</v>
      </c>
      <c r="D43" s="58" t="s">
        <v>29</v>
      </c>
      <c r="E43" s="59"/>
      <c r="F43" s="58" t="s">
        <v>57</v>
      </c>
      <c r="G43" s="59"/>
      <c r="H43" s="58" t="s">
        <v>75</v>
      </c>
      <c r="I43" s="60">
        <v>-1.79</v>
      </c>
      <c r="J43" s="58"/>
      <c r="K43" s="60"/>
      <c r="L43" s="58"/>
      <c r="M43" s="61"/>
      <c r="N43" s="2"/>
      <c r="O43" s="27"/>
    </row>
    <row r="44" spans="1:33" x14ac:dyDescent="0.2">
      <c r="B44" s="2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7"/>
    </row>
    <row r="45" spans="1:33" x14ac:dyDescent="0.2">
      <c r="B45" s="2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7"/>
      <c r="P45" s="2"/>
      <c r="Q45" s="2"/>
      <c r="R45" s="2"/>
      <c r="S45" s="2"/>
      <c r="T45" s="2"/>
    </row>
    <row r="46" spans="1:33" x14ac:dyDescent="0.2">
      <c r="B46" s="79"/>
      <c r="C46" s="132" t="s">
        <v>47</v>
      </c>
      <c r="D46" s="132"/>
      <c r="E46" s="132"/>
      <c r="F46" s="132"/>
      <c r="G46" s="133"/>
      <c r="H46" s="2"/>
      <c r="I46" s="67"/>
      <c r="J46" s="140" t="s">
        <v>46</v>
      </c>
      <c r="K46" s="140"/>
      <c r="L46" s="140"/>
      <c r="M46" s="140"/>
      <c r="N46" s="141"/>
      <c r="O46" s="27"/>
      <c r="P46" s="2"/>
      <c r="Q46" s="2"/>
      <c r="R46" s="2"/>
      <c r="S46" s="2"/>
      <c r="T46" s="2"/>
    </row>
    <row r="47" spans="1:33" x14ac:dyDescent="0.2">
      <c r="B47" s="26"/>
      <c r="C47" s="3" t="s">
        <v>48</v>
      </c>
      <c r="D47" s="3" t="s">
        <v>49</v>
      </c>
      <c r="E47" s="3" t="s">
        <v>60</v>
      </c>
      <c r="F47" s="3" t="s">
        <v>76</v>
      </c>
      <c r="G47" s="44"/>
      <c r="H47" s="2"/>
      <c r="I47" s="68"/>
      <c r="J47" s="3" t="s">
        <v>0</v>
      </c>
      <c r="K47" s="3" t="s">
        <v>45</v>
      </c>
      <c r="L47" s="4" t="s">
        <v>3</v>
      </c>
      <c r="M47" s="4" t="s">
        <v>4</v>
      </c>
      <c r="N47" s="69" t="s">
        <v>2</v>
      </c>
      <c r="O47" s="27"/>
      <c r="P47" s="2"/>
      <c r="Q47" s="2"/>
      <c r="R47" s="2"/>
      <c r="S47" s="2"/>
      <c r="T47" s="2"/>
    </row>
    <row r="48" spans="1:33" x14ac:dyDescent="0.2">
      <c r="B48" s="29">
        <v>37165</v>
      </c>
      <c r="C48" s="9"/>
      <c r="D48" s="9">
        <v>265.5</v>
      </c>
      <c r="E48" s="9"/>
      <c r="F48" s="5" t="s">
        <v>6</v>
      </c>
      <c r="G48" s="64"/>
      <c r="H48" s="2"/>
      <c r="I48" s="45">
        <v>37165</v>
      </c>
      <c r="J48" s="10">
        <v>6.414666666666669</v>
      </c>
      <c r="K48" s="10">
        <v>5.4969999999999963</v>
      </c>
      <c r="L48" s="10">
        <v>6.1395999999999962</v>
      </c>
      <c r="M48" s="10">
        <v>6.211000000000003</v>
      </c>
      <c r="N48" s="70">
        <v>6.0324999999999998</v>
      </c>
      <c r="O48" s="27"/>
      <c r="P48" s="2"/>
      <c r="Q48" s="2"/>
      <c r="R48" s="2"/>
      <c r="S48" s="2"/>
      <c r="T48" s="2"/>
    </row>
    <row r="49" spans="2:20" x14ac:dyDescent="0.2">
      <c r="B49" s="29">
        <v>37196</v>
      </c>
      <c r="C49" s="9">
        <v>29.35</v>
      </c>
      <c r="D49" s="9">
        <v>263.5</v>
      </c>
      <c r="E49" s="9">
        <v>5.971715817694367</v>
      </c>
      <c r="F49" s="5" t="s">
        <v>7</v>
      </c>
      <c r="G49" s="64">
        <v>28.475000000000001</v>
      </c>
      <c r="H49" s="2"/>
      <c r="I49" s="45">
        <v>37196</v>
      </c>
      <c r="J49" s="10">
        <v>4.9546666666666717</v>
      </c>
      <c r="K49" s="10">
        <v>5.5689999999999991</v>
      </c>
      <c r="L49" s="10">
        <v>5.0524000000000004</v>
      </c>
      <c r="M49" s="10">
        <v>4.9950000000000001</v>
      </c>
      <c r="N49" s="70">
        <v>5.1385000000000041</v>
      </c>
      <c r="O49" s="27"/>
      <c r="P49" s="2"/>
      <c r="Q49" s="2"/>
      <c r="R49" s="2"/>
      <c r="S49" s="2"/>
      <c r="T49" s="2"/>
    </row>
    <row r="50" spans="2:20" x14ac:dyDescent="0.2">
      <c r="B50" s="29">
        <v>37226</v>
      </c>
      <c r="C50" s="9">
        <v>28.85</v>
      </c>
      <c r="D50" s="9">
        <v>260</v>
      </c>
      <c r="E50" s="9">
        <v>6.0025469168900827</v>
      </c>
      <c r="F50" s="5" t="s">
        <v>8</v>
      </c>
      <c r="G50" s="64">
        <v>27.8</v>
      </c>
      <c r="H50" s="2"/>
      <c r="I50" s="45">
        <v>37226</v>
      </c>
      <c r="J50" s="10">
        <v>4.4633333333333347</v>
      </c>
      <c r="K50" s="10">
        <v>5.7330000000000041</v>
      </c>
      <c r="L50" s="10">
        <v>4.5611999999999968</v>
      </c>
      <c r="M50" s="10">
        <v>4.4310000000000018</v>
      </c>
      <c r="N50" s="70">
        <v>4.7565000000000026</v>
      </c>
      <c r="O50" s="27"/>
      <c r="P50" s="2"/>
      <c r="Q50" s="2"/>
      <c r="R50" s="2"/>
      <c r="S50" s="2"/>
      <c r="T50" s="2"/>
    </row>
    <row r="51" spans="2:20" x14ac:dyDescent="0.2">
      <c r="B51" s="29">
        <v>37257</v>
      </c>
      <c r="C51" s="9">
        <v>28.1</v>
      </c>
      <c r="D51" s="9">
        <v>255</v>
      </c>
      <c r="E51" s="9">
        <v>6.0823056300268092</v>
      </c>
      <c r="F51" s="5" t="s">
        <v>9</v>
      </c>
      <c r="G51" s="64">
        <v>27.25</v>
      </c>
      <c r="H51" s="2"/>
      <c r="I51" s="45">
        <v>37257</v>
      </c>
      <c r="J51" s="10">
        <v>4.6386666666666692</v>
      </c>
      <c r="K51" s="10">
        <v>6.17</v>
      </c>
      <c r="L51" s="10">
        <v>4.8091999999999988</v>
      </c>
      <c r="M51" s="10">
        <v>4.6580000000000013</v>
      </c>
      <c r="N51" s="70">
        <v>5.0360000000000014</v>
      </c>
      <c r="O51" s="27"/>
      <c r="P51" s="2"/>
      <c r="Q51" s="2"/>
      <c r="R51" s="2"/>
      <c r="S51" s="2"/>
      <c r="T51" s="2"/>
    </row>
    <row r="52" spans="2:20" x14ac:dyDescent="0.2">
      <c r="B52" s="29">
        <v>37288</v>
      </c>
      <c r="C52" s="9">
        <v>27.5</v>
      </c>
      <c r="D52" s="9">
        <v>246.75</v>
      </c>
      <c r="E52" s="9">
        <v>5.5764075067024095</v>
      </c>
      <c r="F52" s="5" t="s">
        <v>10</v>
      </c>
      <c r="G52" s="64">
        <v>26.78</v>
      </c>
      <c r="H52" s="2"/>
      <c r="I52" s="45">
        <v>37288</v>
      </c>
      <c r="J52" s="10">
        <v>5.3080000000000069</v>
      </c>
      <c r="K52" s="10">
        <v>5.88</v>
      </c>
      <c r="L52" s="10">
        <v>5.098800000000006</v>
      </c>
      <c r="M52" s="10">
        <v>5.0120000000000049</v>
      </c>
      <c r="N52" s="70">
        <v>5.2290000000000028</v>
      </c>
      <c r="O52" s="27"/>
      <c r="P52" s="2"/>
      <c r="Q52" s="2"/>
      <c r="R52" s="2"/>
      <c r="S52" s="2"/>
      <c r="T52" s="2"/>
    </row>
    <row r="53" spans="2:20" x14ac:dyDescent="0.2">
      <c r="B53" s="29">
        <v>37316</v>
      </c>
      <c r="C53" s="9">
        <v>27</v>
      </c>
      <c r="D53" s="9">
        <v>240.5</v>
      </c>
      <c r="E53" s="9">
        <v>5.2386058981233248</v>
      </c>
      <c r="F53" s="5" t="s">
        <v>11</v>
      </c>
      <c r="G53" s="64">
        <v>26.33</v>
      </c>
      <c r="H53" s="2"/>
      <c r="I53" s="45">
        <v>37316</v>
      </c>
      <c r="J53" s="10">
        <v>6.0070000000000014</v>
      </c>
      <c r="K53" s="10">
        <v>4.8566000000000003</v>
      </c>
      <c r="L53" s="10">
        <v>5.138839999999993</v>
      </c>
      <c r="M53" s="10">
        <v>5.1701999999999986</v>
      </c>
      <c r="N53" s="70">
        <v>5.0917999999999992</v>
      </c>
      <c r="O53" s="27"/>
      <c r="P53" s="2"/>
      <c r="Q53" s="2"/>
      <c r="R53" s="2"/>
      <c r="S53" s="2"/>
      <c r="T53" s="2"/>
    </row>
    <row r="54" spans="2:20" x14ac:dyDescent="0.2">
      <c r="B54" s="29">
        <v>37347</v>
      </c>
      <c r="C54" s="9">
        <v>26.56</v>
      </c>
      <c r="D54" s="9">
        <v>233.25</v>
      </c>
      <c r="E54" s="9">
        <v>4.7067560321715831</v>
      </c>
      <c r="F54" s="5" t="s">
        <v>68</v>
      </c>
      <c r="G54" s="64">
        <v>25.9</v>
      </c>
      <c r="H54" s="2"/>
      <c r="I54" s="45">
        <v>37347</v>
      </c>
      <c r="J54" s="10">
        <v>7.646800000000006</v>
      </c>
      <c r="K54" s="10">
        <v>4.0016000000000034</v>
      </c>
      <c r="L54" s="10">
        <v>5.7807200000000023</v>
      </c>
      <c r="M54" s="10">
        <v>5.9784000000000033</v>
      </c>
      <c r="N54" s="70">
        <v>5.4842000000000048</v>
      </c>
      <c r="O54" s="27"/>
      <c r="P54" s="2"/>
      <c r="Q54" s="2"/>
      <c r="R54" s="2"/>
      <c r="S54" s="2"/>
      <c r="T54" s="2"/>
    </row>
    <row r="55" spans="2:20" x14ac:dyDescent="0.2">
      <c r="B55" s="29">
        <v>37377</v>
      </c>
      <c r="C55" s="9">
        <v>26.1</v>
      </c>
      <c r="D55" s="9">
        <v>225.5</v>
      </c>
      <c r="E55" s="9">
        <v>4.1278820375335101</v>
      </c>
      <c r="F55" s="5"/>
      <c r="G55" s="64"/>
      <c r="H55" s="2"/>
      <c r="I55" s="45">
        <v>37377</v>
      </c>
      <c r="J55" s="10">
        <v>8.156800000000004</v>
      </c>
      <c r="K55" s="10">
        <v>2.6468000000000025</v>
      </c>
      <c r="L55" s="10">
        <v>5.5448000000000039</v>
      </c>
      <c r="M55" s="10">
        <v>5.8668000000000022</v>
      </c>
      <c r="N55" s="70">
        <v>5.0618000000000016</v>
      </c>
      <c r="O55" s="27"/>
      <c r="P55" s="2"/>
      <c r="Q55" s="2"/>
      <c r="R55" s="2"/>
      <c r="S55" s="2"/>
      <c r="T55" s="2"/>
    </row>
    <row r="56" spans="2:20" x14ac:dyDescent="0.2">
      <c r="B56" s="29">
        <v>37408</v>
      </c>
      <c r="C56" s="9">
        <v>25.7</v>
      </c>
      <c r="D56" s="9">
        <v>220</v>
      </c>
      <c r="E56" s="9">
        <v>3.790616621983915</v>
      </c>
      <c r="F56" s="5" t="s">
        <v>12</v>
      </c>
      <c r="G56" s="64"/>
      <c r="H56" s="2"/>
      <c r="I56" s="45">
        <v>37408</v>
      </c>
      <c r="J56" s="10">
        <v>8.401800000000005</v>
      </c>
      <c r="K56" s="10">
        <v>0.20000000000000284</v>
      </c>
      <c r="L56" s="10">
        <v>4.6830800000000012</v>
      </c>
      <c r="M56" s="10">
        <v>5.181200000000004</v>
      </c>
      <c r="N56" s="70">
        <v>3.9359000000000037</v>
      </c>
      <c r="O56" s="27"/>
      <c r="P56" s="2"/>
      <c r="Q56" s="2"/>
      <c r="R56" s="2"/>
      <c r="S56" s="2"/>
      <c r="T56" s="2"/>
    </row>
    <row r="57" spans="2:20" x14ac:dyDescent="0.2">
      <c r="B57" s="29">
        <v>37438</v>
      </c>
      <c r="C57" s="9">
        <v>25.1</v>
      </c>
      <c r="D57" s="9">
        <v>220</v>
      </c>
      <c r="E57" s="9">
        <v>4.3906166219839129</v>
      </c>
      <c r="F57" s="5" t="s">
        <v>13</v>
      </c>
      <c r="G57" s="64">
        <v>26.786666666666665</v>
      </c>
      <c r="H57" s="2"/>
      <c r="I57" s="45">
        <v>37438</v>
      </c>
      <c r="J57" s="10">
        <v>8.3614666666666722</v>
      </c>
      <c r="K57" s="10">
        <v>3.0578000000000003</v>
      </c>
      <c r="L57" s="10">
        <v>5.7919999999999963</v>
      </c>
      <c r="M57" s="10">
        <v>6.0958000000000068</v>
      </c>
      <c r="N57" s="70">
        <v>5.3363000000000014</v>
      </c>
      <c r="O57" s="27"/>
      <c r="P57" s="2"/>
      <c r="Q57" s="2"/>
      <c r="R57" s="2"/>
      <c r="S57" s="2"/>
      <c r="T57" s="2"/>
    </row>
    <row r="58" spans="2:20" x14ac:dyDescent="0.2">
      <c r="B58" s="29">
        <v>37469</v>
      </c>
      <c r="C58" s="9">
        <v>24.9</v>
      </c>
      <c r="D58" s="9"/>
      <c r="E58" s="9"/>
      <c r="F58" s="5" t="s">
        <v>14</v>
      </c>
      <c r="G58" s="64">
        <v>25.433333333333334</v>
      </c>
      <c r="H58" s="2"/>
      <c r="I58" s="45">
        <v>37469</v>
      </c>
      <c r="J58" s="10">
        <v>7.8066666666666649</v>
      </c>
      <c r="K58" s="10">
        <v>3.7807999999999993</v>
      </c>
      <c r="L58" s="10">
        <v>5.988319999999999</v>
      </c>
      <c r="M58" s="10">
        <v>6.2335999999999956</v>
      </c>
      <c r="N58" s="70">
        <v>5.6204000000000001</v>
      </c>
      <c r="O58" s="27"/>
      <c r="P58" s="2"/>
      <c r="Q58" s="2"/>
      <c r="R58" s="2"/>
      <c r="S58" s="2"/>
      <c r="T58" s="2"/>
    </row>
    <row r="59" spans="2:20" x14ac:dyDescent="0.2">
      <c r="B59" s="29">
        <v>37500</v>
      </c>
      <c r="C59" s="9"/>
      <c r="D59" s="9"/>
      <c r="E59" s="9"/>
      <c r="F59" s="5" t="s">
        <v>15</v>
      </c>
      <c r="G59" s="64"/>
      <c r="H59" s="2"/>
      <c r="I59" s="45">
        <v>37500</v>
      </c>
      <c r="J59" s="10">
        <v>7.0066666666666677</v>
      </c>
      <c r="K59" s="10">
        <v>4.2298000000000009</v>
      </c>
      <c r="L59" s="10">
        <v>5.693920000000003</v>
      </c>
      <c r="M59" s="10">
        <v>5.8566000000000003</v>
      </c>
      <c r="N59" s="70">
        <v>5.4498999999999995</v>
      </c>
      <c r="O59" s="27"/>
      <c r="P59" s="2"/>
      <c r="Q59" s="2"/>
      <c r="R59" s="2"/>
      <c r="S59" s="2"/>
      <c r="T59" s="2"/>
    </row>
    <row r="60" spans="2:20" x14ac:dyDescent="0.2">
      <c r="B60" s="29">
        <v>37530</v>
      </c>
      <c r="C60" s="9"/>
      <c r="D60" s="9"/>
      <c r="E60" s="9"/>
      <c r="F60" s="5" t="s">
        <v>16</v>
      </c>
      <c r="G60" s="64"/>
      <c r="H60" s="2"/>
      <c r="I60" s="45">
        <v>37530</v>
      </c>
      <c r="J60" s="10"/>
      <c r="K60" s="10">
        <v>4.678799999999999</v>
      </c>
      <c r="L60" s="10"/>
      <c r="M60" s="10"/>
      <c r="N60" s="70"/>
      <c r="O60" s="27"/>
      <c r="P60" s="2"/>
      <c r="Q60" s="2"/>
      <c r="R60" s="2"/>
      <c r="S60" s="2"/>
      <c r="T60" s="2"/>
    </row>
    <row r="61" spans="2:20" x14ac:dyDescent="0.2">
      <c r="B61" s="29">
        <v>37561</v>
      </c>
      <c r="C61" s="9"/>
      <c r="D61" s="9"/>
      <c r="E61" s="9"/>
      <c r="F61" s="5"/>
      <c r="G61" s="64"/>
      <c r="H61" s="18"/>
      <c r="I61" s="45">
        <v>37561</v>
      </c>
      <c r="J61" s="10"/>
      <c r="K61" s="10">
        <v>5.097800000000003</v>
      </c>
      <c r="L61" s="10"/>
      <c r="M61" s="10"/>
      <c r="N61" s="70"/>
      <c r="O61" s="27"/>
      <c r="P61" s="2"/>
      <c r="Q61" s="2"/>
      <c r="R61" s="2"/>
      <c r="S61" s="2"/>
      <c r="T61" s="2"/>
    </row>
    <row r="62" spans="2:20" x14ac:dyDescent="0.2">
      <c r="B62" s="76">
        <v>37591</v>
      </c>
      <c r="C62" s="65">
        <v>23.6</v>
      </c>
      <c r="D62" s="65"/>
      <c r="E62" s="65"/>
      <c r="F62" s="58" t="s">
        <v>17</v>
      </c>
      <c r="G62" s="66"/>
      <c r="H62" s="35"/>
      <c r="I62" s="45">
        <v>37591</v>
      </c>
      <c r="J62" s="10"/>
      <c r="K62" s="10">
        <v>5.5468000000000046</v>
      </c>
      <c r="L62" s="10"/>
      <c r="M62" s="10"/>
      <c r="N62" s="70"/>
      <c r="O62" s="27"/>
      <c r="P62" s="2"/>
      <c r="Q62" s="2"/>
      <c r="R62" s="2"/>
      <c r="S62" s="2"/>
      <c r="T62" s="2"/>
    </row>
    <row r="63" spans="2:20" x14ac:dyDescent="0.2">
      <c r="B63" s="26"/>
      <c r="C63" s="18"/>
      <c r="D63" s="2"/>
      <c r="E63" s="2"/>
      <c r="F63" s="2"/>
      <c r="G63" s="2"/>
      <c r="H63" s="2"/>
      <c r="I63" s="47">
        <v>37622</v>
      </c>
      <c r="J63" s="71"/>
      <c r="K63" s="71">
        <v>5.7828000000000017</v>
      </c>
      <c r="L63" s="71"/>
      <c r="M63" s="71"/>
      <c r="N63" s="72"/>
      <c r="O63" s="27"/>
      <c r="P63" s="2"/>
      <c r="Q63" s="2"/>
      <c r="R63" s="2"/>
      <c r="S63" s="2"/>
      <c r="T63" s="2"/>
    </row>
    <row r="64" spans="2:20" x14ac:dyDescent="0.2">
      <c r="B64" s="2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7"/>
    </row>
    <row r="65" spans="2:15" x14ac:dyDescent="0.2">
      <c r="B65" s="79"/>
      <c r="C65" s="62"/>
      <c r="D65" s="62"/>
      <c r="E65" s="62"/>
      <c r="F65" s="62"/>
      <c r="G65" s="63"/>
      <c r="H65" s="2"/>
      <c r="I65" s="2"/>
      <c r="J65" s="2"/>
      <c r="K65" s="2"/>
      <c r="L65" s="2"/>
      <c r="M65" s="2"/>
      <c r="N65" s="2"/>
      <c r="O65" s="27"/>
    </row>
    <row r="66" spans="2:15" x14ac:dyDescent="0.2">
      <c r="B66" s="26"/>
      <c r="C66" s="3" t="s">
        <v>97</v>
      </c>
      <c r="D66" s="3"/>
      <c r="E66" s="3" t="s">
        <v>103</v>
      </c>
      <c r="F66" s="3"/>
      <c r="G66" s="44" t="s">
        <v>104</v>
      </c>
      <c r="H66" s="2"/>
      <c r="I66" s="2"/>
      <c r="J66" s="2"/>
      <c r="K66" s="2"/>
      <c r="L66" s="2"/>
      <c r="M66" s="2"/>
      <c r="N66" s="2"/>
      <c r="O66" s="27"/>
    </row>
    <row r="67" spans="2:15" x14ac:dyDescent="0.2">
      <c r="B67" s="29" t="s">
        <v>6</v>
      </c>
      <c r="C67" s="31">
        <v>6.0826666666666682</v>
      </c>
      <c r="D67" s="5">
        <v>37165</v>
      </c>
      <c r="E67" s="32">
        <v>0.90952380952380452</v>
      </c>
      <c r="F67" s="5">
        <v>37165</v>
      </c>
      <c r="G67" s="73">
        <v>-0.58566666666667189</v>
      </c>
      <c r="H67" s="2"/>
      <c r="I67" s="2"/>
      <c r="J67" s="2"/>
      <c r="K67" s="2"/>
      <c r="L67" s="2"/>
      <c r="M67" s="2"/>
      <c r="N67" s="2"/>
      <c r="O67" s="27"/>
    </row>
    <row r="68" spans="2:15" x14ac:dyDescent="0.2">
      <c r="B68" s="29" t="s">
        <v>7</v>
      </c>
      <c r="C68" s="31">
        <v>6.2526666666666735</v>
      </c>
      <c r="D68" s="5">
        <v>37196</v>
      </c>
      <c r="E68" s="32">
        <v>2.0595238095238102</v>
      </c>
      <c r="F68" s="5">
        <v>37196</v>
      </c>
      <c r="G68" s="73">
        <v>-0.68366666666667442</v>
      </c>
      <c r="H68" s="2"/>
      <c r="I68" s="2"/>
      <c r="J68" s="2"/>
      <c r="K68" s="2"/>
      <c r="L68" s="2"/>
      <c r="M68" s="2"/>
      <c r="N68" s="2"/>
      <c r="O68" s="27"/>
    </row>
    <row r="69" spans="2:15" x14ac:dyDescent="0.2">
      <c r="B69" s="29" t="s">
        <v>8</v>
      </c>
      <c r="C69" s="31">
        <v>6.8533333333333353</v>
      </c>
      <c r="D69" s="5">
        <v>37226</v>
      </c>
      <c r="E69" s="32">
        <v>4.1595238095238045</v>
      </c>
      <c r="F69" s="5">
        <v>37226</v>
      </c>
      <c r="G69" s="73">
        <v>-1.1203333333333312</v>
      </c>
      <c r="H69" s="2"/>
      <c r="I69" s="2"/>
      <c r="J69" s="2"/>
      <c r="K69" s="2"/>
      <c r="L69" s="2"/>
      <c r="M69" s="2"/>
      <c r="N69" s="2"/>
      <c r="O69" s="27"/>
    </row>
    <row r="70" spans="2:15" x14ac:dyDescent="0.2">
      <c r="B70" s="29" t="s">
        <v>9</v>
      </c>
      <c r="C70" s="31">
        <v>7.2386666666666706</v>
      </c>
      <c r="D70" s="5">
        <v>37257</v>
      </c>
      <c r="E70" s="32">
        <v>3.7095238095238159</v>
      </c>
      <c r="F70" s="5">
        <v>37257</v>
      </c>
      <c r="G70" s="73">
        <v>-1.0686666666666689</v>
      </c>
      <c r="H70" s="2"/>
      <c r="I70" s="2"/>
      <c r="J70" s="2"/>
      <c r="K70" s="2"/>
      <c r="L70" s="2"/>
      <c r="M70" s="2"/>
      <c r="N70" s="2"/>
      <c r="O70" s="27"/>
    </row>
    <row r="71" spans="2:15" x14ac:dyDescent="0.2">
      <c r="B71" s="29" t="s">
        <v>10</v>
      </c>
      <c r="C71" s="31">
        <v>7.1310000000000002</v>
      </c>
      <c r="D71" s="5">
        <v>37288</v>
      </c>
      <c r="E71" s="32">
        <v>5.3595238095238074</v>
      </c>
      <c r="F71" s="5">
        <v>37288</v>
      </c>
      <c r="G71" s="73">
        <v>-1.2510000000000012</v>
      </c>
      <c r="H71" s="2"/>
      <c r="I71" s="2"/>
      <c r="J71" s="2"/>
      <c r="K71" s="2"/>
      <c r="L71" s="2"/>
      <c r="M71" s="2"/>
      <c r="N71" s="2"/>
      <c r="O71" s="27"/>
    </row>
    <row r="72" spans="2:15" x14ac:dyDescent="0.2">
      <c r="B72" s="29" t="s">
        <v>11</v>
      </c>
      <c r="C72" s="31">
        <v>6.1080000000000076</v>
      </c>
      <c r="D72" s="5">
        <v>37316</v>
      </c>
      <c r="E72" s="32">
        <v>4.9895238095238028</v>
      </c>
      <c r="F72" s="5">
        <v>37316</v>
      </c>
      <c r="G72" s="73">
        <v>-1.2514000000000074</v>
      </c>
      <c r="H72" s="2"/>
      <c r="I72" s="2"/>
      <c r="J72" s="2"/>
      <c r="K72" s="2"/>
      <c r="L72" s="2"/>
      <c r="M72" s="2"/>
      <c r="N72" s="2"/>
      <c r="O72" s="27"/>
    </row>
    <row r="73" spans="2:15" x14ac:dyDescent="0.2">
      <c r="B73" s="29"/>
      <c r="C73" s="33"/>
      <c r="D73" s="23"/>
      <c r="E73" s="33"/>
      <c r="F73" s="23"/>
      <c r="G73" s="74"/>
      <c r="H73" s="2"/>
      <c r="I73" s="2"/>
      <c r="J73" s="2"/>
      <c r="K73" s="2"/>
      <c r="L73" s="2"/>
      <c r="M73" s="2"/>
      <c r="N73" s="2"/>
      <c r="O73" s="27"/>
    </row>
    <row r="74" spans="2:15" x14ac:dyDescent="0.2">
      <c r="B74" s="29" t="s">
        <v>12</v>
      </c>
      <c r="C74" s="31">
        <v>6.3962222222222245</v>
      </c>
      <c r="D74" s="23" t="s">
        <v>98</v>
      </c>
      <c r="E74" s="32">
        <v>2.3761904761904731</v>
      </c>
      <c r="F74" s="23" t="s">
        <v>98</v>
      </c>
      <c r="G74" s="73">
        <v>3.4823650793650849</v>
      </c>
      <c r="H74" s="2"/>
      <c r="I74" s="2"/>
      <c r="J74" s="2"/>
      <c r="K74" s="2"/>
      <c r="L74" s="2"/>
      <c r="M74" s="2"/>
      <c r="N74" s="2"/>
      <c r="O74" s="27"/>
    </row>
    <row r="75" spans="2:15" x14ac:dyDescent="0.2">
      <c r="B75" s="29" t="s">
        <v>13</v>
      </c>
      <c r="C75" s="31">
        <v>6.8258888888888869</v>
      </c>
      <c r="D75" s="23" t="s">
        <v>99</v>
      </c>
      <c r="E75" s="32">
        <v>4.6861904761904896</v>
      </c>
      <c r="F75" s="23" t="s">
        <v>99</v>
      </c>
      <c r="G75" s="73">
        <v>1.6648984126983954</v>
      </c>
      <c r="H75" s="2"/>
      <c r="I75" s="2"/>
      <c r="J75" s="2"/>
      <c r="K75" s="2"/>
      <c r="L75" s="2"/>
      <c r="M75" s="2"/>
      <c r="N75" s="2"/>
      <c r="O75" s="27"/>
    </row>
    <row r="76" spans="2:15" x14ac:dyDescent="0.2">
      <c r="B76" s="29" t="s">
        <v>14</v>
      </c>
      <c r="C76" s="31">
        <v>4.5476666666666681</v>
      </c>
      <c r="D76" s="23" t="s">
        <v>100</v>
      </c>
      <c r="E76" s="32">
        <v>0.41619047619046512</v>
      </c>
      <c r="F76" s="23" t="s">
        <v>100</v>
      </c>
      <c r="G76" s="73">
        <v>2.563276190476202</v>
      </c>
      <c r="H76" s="2"/>
      <c r="I76" s="2"/>
      <c r="J76" s="2"/>
      <c r="K76" s="2"/>
      <c r="L76" s="2"/>
      <c r="M76" s="2"/>
      <c r="N76" s="2"/>
      <c r="O76" s="27"/>
    </row>
    <row r="77" spans="2:15" x14ac:dyDescent="0.2">
      <c r="B77" s="29" t="s">
        <v>15</v>
      </c>
      <c r="C77" s="31">
        <v>4.7403333333333357</v>
      </c>
      <c r="D77" s="23" t="s">
        <v>101</v>
      </c>
      <c r="E77" s="32">
        <v>0.99952380952379372</v>
      </c>
      <c r="F77" s="23" t="s">
        <v>101</v>
      </c>
      <c r="G77" s="73">
        <v>3.1666095238095373</v>
      </c>
      <c r="H77" s="2"/>
      <c r="I77" s="2"/>
      <c r="J77" s="2"/>
      <c r="K77" s="2"/>
      <c r="L77" s="2"/>
      <c r="M77" s="2"/>
      <c r="N77" s="2"/>
      <c r="O77" s="27"/>
    </row>
    <row r="78" spans="2:15" x14ac:dyDescent="0.2">
      <c r="B78" s="29" t="s">
        <v>16</v>
      </c>
      <c r="C78" s="31">
        <v>5.6771111111111132</v>
      </c>
      <c r="D78" s="23" t="s">
        <v>102</v>
      </c>
      <c r="E78" s="32">
        <v>2.6495238095238278</v>
      </c>
      <c r="F78" s="23" t="s">
        <v>102</v>
      </c>
      <c r="G78" s="73">
        <v>2.7193873015872896</v>
      </c>
      <c r="H78" s="2"/>
      <c r="I78" s="2"/>
      <c r="J78" s="2"/>
      <c r="K78" s="2"/>
      <c r="L78" s="2"/>
      <c r="M78" s="2"/>
      <c r="N78" s="2"/>
      <c r="O78" s="27"/>
    </row>
    <row r="79" spans="2:15" x14ac:dyDescent="0.2">
      <c r="B79" s="29"/>
      <c r="C79" s="33"/>
      <c r="D79" s="23"/>
      <c r="E79" s="33"/>
      <c r="F79" s="23"/>
      <c r="G79" s="74"/>
      <c r="H79" s="2"/>
      <c r="I79" s="2"/>
      <c r="J79" s="2"/>
      <c r="K79" s="2"/>
      <c r="L79" s="2"/>
      <c r="M79" s="2"/>
      <c r="N79" s="2"/>
      <c r="O79" s="27"/>
    </row>
    <row r="80" spans="2:15" x14ac:dyDescent="0.2">
      <c r="B80" s="29" t="s">
        <v>17</v>
      </c>
      <c r="C80" s="31">
        <v>5.4477499999999957</v>
      </c>
      <c r="D80" s="24">
        <v>2002</v>
      </c>
      <c r="E80" s="34">
        <v>2.1878571428571405</v>
      </c>
      <c r="F80" s="24">
        <v>2002</v>
      </c>
      <c r="G80" s="73">
        <v>-0.7313499999999955</v>
      </c>
      <c r="H80" s="2"/>
      <c r="I80" s="2"/>
      <c r="J80" s="2"/>
      <c r="K80" s="2"/>
      <c r="L80" s="2"/>
      <c r="M80" s="2"/>
      <c r="N80" s="2"/>
      <c r="O80" s="27"/>
    </row>
    <row r="81" spans="2:15" ht="13.5" thickBot="1" x14ac:dyDescent="0.25">
      <c r="B81" s="41"/>
      <c r="C81" s="42"/>
      <c r="D81" s="43"/>
      <c r="E81" s="42"/>
      <c r="F81" s="43"/>
      <c r="G81" s="80"/>
      <c r="H81" s="36"/>
      <c r="I81" s="36"/>
      <c r="J81" s="36"/>
      <c r="K81" s="36"/>
      <c r="L81" s="36"/>
      <c r="M81" s="36"/>
      <c r="N81" s="36"/>
      <c r="O81" s="37"/>
    </row>
  </sheetData>
  <mergeCells count="6">
    <mergeCell ref="C46:G46"/>
    <mergeCell ref="C27:M27"/>
    <mergeCell ref="B3:O3"/>
    <mergeCell ref="J46:N46"/>
    <mergeCell ref="K6:O6"/>
    <mergeCell ref="C6:H6"/>
  </mergeCells>
  <phoneticPr fontId="0" type="noConversion"/>
  <printOptions horizontalCentered="1" verticalCentered="1"/>
  <pageMargins left="0.75" right="0.75" top="1" bottom="1" header="0.5" footer="0.5"/>
  <pageSetup scale="47" orientation="landscape" r:id="rId1"/>
  <headerFooter alignWithMargins="0"/>
  <rowBreaks count="1" manualBreakCount="1">
    <brk id="25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7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21" baseType="lpstr">
      <vt:lpstr>Crude&amp;Products</vt:lpstr>
      <vt:lpstr>Crude&amp;Products Cash</vt:lpstr>
      <vt:lpstr>NatGas</vt:lpstr>
      <vt:lpstr>Crude&amp;Products 091901</vt:lpstr>
      <vt:lpstr>Crude&amp;Products 091801</vt:lpstr>
      <vt:lpstr>Crude&amp;Products 091701</vt:lpstr>
      <vt:lpstr>Crude&amp;Products 091401</vt:lpstr>
      <vt:lpstr>Crude Curve Chart</vt:lpstr>
      <vt:lpstr>MMBTU Chart</vt:lpstr>
      <vt:lpstr>Products Curve Chart</vt:lpstr>
      <vt:lpstr>'Crude&amp;Products 091401'!Position1</vt:lpstr>
      <vt:lpstr>'Crude&amp;Products 091701'!Position1</vt:lpstr>
      <vt:lpstr>'Crude&amp;Products 091801'!Position1</vt:lpstr>
      <vt:lpstr>'Crude&amp;Products 091901'!Position1</vt:lpstr>
      <vt:lpstr>Position1</vt:lpstr>
      <vt:lpstr>'Crude&amp;Products'!Print_Area</vt:lpstr>
      <vt:lpstr>'Crude&amp;Products 091401'!Print_Area</vt:lpstr>
      <vt:lpstr>'Crude&amp;Products 091701'!Print_Area</vt:lpstr>
      <vt:lpstr>'Crude&amp;Products 091801'!Print_Area</vt:lpstr>
      <vt:lpstr>'Crude&amp;Products 091901'!Print_Area</vt:lpstr>
      <vt:lpstr>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jcornet</dc:creator>
  <cp:lastModifiedBy>Jan Havlíček</cp:lastModifiedBy>
  <cp:lastPrinted>2001-10-26T18:50:19Z</cp:lastPrinted>
  <dcterms:created xsi:type="dcterms:W3CDTF">2001-03-29T15:45:35Z</dcterms:created>
  <dcterms:modified xsi:type="dcterms:W3CDTF">2023-09-11T04:36:22Z</dcterms:modified>
</cp:coreProperties>
</file>