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57C8C7-D1DC-40AC-9E38-A440170143F1}" xr6:coauthVersionLast="47" xr6:coauthVersionMax="47" xr10:uidLastSave="{00000000-0000-0000-0000-000000000000}"/>
  <bookViews>
    <workbookView xWindow="-120" yWindow="-120" windowWidth="23280" windowHeight="12480"/>
  </bookViews>
  <sheets>
    <sheet name="Summary" sheetId="4" r:id="rId1"/>
    <sheet name="Annex 1.02" sheetId="5" r:id="rId2"/>
    <sheet name="Contingent" sheetId="1" r:id="rId3"/>
    <sheet name="Quarterly" sheetId="2" r:id="rId4"/>
  </sheets>
  <definedNames>
    <definedName name="_xlnm.Print_Area" localSheetId="2">Contingent!$A$1:$R$44</definedName>
    <definedName name="_xlnm.Print_Area" localSheetId="3">Quarterly!$A$1:$Q$14</definedName>
    <definedName name="solver_adj" localSheetId="3" hidden="1">Quarterly!$E$11</definedName>
    <definedName name="solver_cvg" localSheetId="3" hidden="1">0.001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Quarterly!$AE$16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3</definedName>
    <definedName name="solver_val" localSheetId="3" hidden="1">0</definedName>
  </definedNames>
  <calcPr calcId="0" iterate="1"/>
</workbook>
</file>

<file path=xl/calcChain.xml><?xml version="1.0" encoding="utf-8"?>
<calcChain xmlns="http://schemas.openxmlformats.org/spreadsheetml/2006/main">
  <c r="C5" i="5" l="1"/>
  <c r="E5" i="5"/>
  <c r="A6" i="5"/>
  <c r="C6" i="5"/>
  <c r="E6" i="5"/>
  <c r="A7" i="5"/>
  <c r="C7" i="5"/>
  <c r="E7" i="5"/>
  <c r="A8" i="5"/>
  <c r="C8" i="5"/>
  <c r="E8" i="5"/>
  <c r="A9" i="5"/>
  <c r="C9" i="5"/>
  <c r="E9" i="5"/>
  <c r="A10" i="5"/>
  <c r="C10" i="5"/>
  <c r="E10" i="5"/>
  <c r="A11" i="5"/>
  <c r="C11" i="5"/>
  <c r="E11" i="5"/>
  <c r="A12" i="5"/>
  <c r="C12" i="5"/>
  <c r="E12" i="5"/>
  <c r="A13" i="5"/>
  <c r="C13" i="5"/>
  <c r="E13" i="5"/>
  <c r="A14" i="5"/>
  <c r="C14" i="5"/>
  <c r="E14" i="5"/>
  <c r="A15" i="5"/>
  <c r="C15" i="5"/>
  <c r="E15" i="5"/>
  <c r="A16" i="5"/>
  <c r="C16" i="5"/>
  <c r="E16" i="5"/>
  <c r="A17" i="5"/>
  <c r="C17" i="5"/>
  <c r="E17" i="5"/>
  <c r="A18" i="5"/>
  <c r="C18" i="5"/>
  <c r="E18" i="5"/>
  <c r="A19" i="5"/>
  <c r="C19" i="5"/>
  <c r="E19" i="5"/>
  <c r="A20" i="5"/>
  <c r="C20" i="5"/>
  <c r="E20" i="5"/>
  <c r="A21" i="5"/>
  <c r="C21" i="5"/>
  <c r="E21" i="5"/>
  <c r="A22" i="5"/>
  <c r="C22" i="5"/>
  <c r="E22" i="5"/>
  <c r="A23" i="5"/>
  <c r="C23" i="5"/>
  <c r="E23" i="5"/>
  <c r="A24" i="5"/>
  <c r="C24" i="5"/>
  <c r="E24" i="5"/>
  <c r="A25" i="5"/>
  <c r="C25" i="5"/>
  <c r="E25" i="5"/>
  <c r="A26" i="5"/>
  <c r="C26" i="5"/>
  <c r="E26" i="5"/>
  <c r="A27" i="5"/>
  <c r="C27" i="5"/>
  <c r="E27" i="5"/>
  <c r="A28" i="5"/>
  <c r="C28" i="5"/>
  <c r="E28" i="5"/>
  <c r="A29" i="5"/>
  <c r="C29" i="5"/>
  <c r="E29" i="5"/>
  <c r="A30" i="5"/>
  <c r="C30" i="5"/>
  <c r="E30" i="5"/>
  <c r="A31" i="5"/>
  <c r="C31" i="5"/>
  <c r="E31" i="5"/>
  <c r="A32" i="5"/>
  <c r="C32" i="5"/>
  <c r="E32" i="5"/>
  <c r="C34" i="5"/>
  <c r="D34" i="5"/>
  <c r="E34" i="5"/>
  <c r="F34" i="5"/>
  <c r="B41" i="5"/>
  <c r="B42" i="5"/>
  <c r="R1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D12" i="1"/>
  <c r="E12" i="1"/>
  <c r="D17" i="1"/>
  <c r="E17" i="1"/>
  <c r="E20" i="1"/>
  <c r="Q20" i="1"/>
  <c r="F26" i="1"/>
  <c r="G26" i="1"/>
  <c r="H26" i="1"/>
  <c r="I26" i="1"/>
  <c r="J26" i="1"/>
  <c r="K26" i="1"/>
  <c r="L26" i="1"/>
  <c r="M26" i="1"/>
  <c r="N26" i="1"/>
  <c r="O26" i="1"/>
  <c r="P26" i="1"/>
  <c r="Q26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D34" i="1"/>
  <c r="F34" i="1"/>
  <c r="G34" i="1"/>
  <c r="H34" i="1"/>
  <c r="I34" i="1"/>
  <c r="J34" i="1"/>
  <c r="K34" i="1"/>
  <c r="L34" i="1"/>
  <c r="M34" i="1"/>
  <c r="N34" i="1"/>
  <c r="O34" i="1"/>
  <c r="P34" i="1"/>
  <c r="Q34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D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F49" i="1"/>
  <c r="G49" i="1"/>
  <c r="H49" i="1"/>
  <c r="I49" i="1"/>
  <c r="J49" i="1"/>
  <c r="K49" i="1"/>
  <c r="L49" i="1"/>
  <c r="M49" i="1"/>
  <c r="N49" i="1"/>
  <c r="O49" i="1"/>
  <c r="P49" i="1"/>
  <c r="Q49" i="1"/>
  <c r="G50" i="1"/>
  <c r="H50" i="1"/>
  <c r="I50" i="1"/>
  <c r="J50" i="1"/>
  <c r="K50" i="1"/>
  <c r="L50" i="1"/>
  <c r="M50" i="1"/>
  <c r="N50" i="1"/>
  <c r="O50" i="1"/>
  <c r="P50" i="1"/>
  <c r="Q50" i="1"/>
  <c r="H51" i="1"/>
  <c r="I51" i="1"/>
  <c r="J51" i="1"/>
  <c r="K51" i="1"/>
  <c r="L51" i="1"/>
  <c r="M51" i="1"/>
  <c r="N51" i="1"/>
  <c r="O51" i="1"/>
  <c r="P51" i="1"/>
  <c r="Q51" i="1"/>
  <c r="I52" i="1"/>
  <c r="J52" i="1"/>
  <c r="K52" i="1"/>
  <c r="L52" i="1"/>
  <c r="M52" i="1"/>
  <c r="N52" i="1"/>
  <c r="O52" i="1"/>
  <c r="P52" i="1"/>
  <c r="Q52" i="1"/>
  <c r="J53" i="1"/>
  <c r="K53" i="1"/>
  <c r="L53" i="1"/>
  <c r="M53" i="1"/>
  <c r="N53" i="1"/>
  <c r="O53" i="1"/>
  <c r="P53" i="1"/>
  <c r="Q53" i="1"/>
  <c r="K54" i="1"/>
  <c r="L54" i="1"/>
  <c r="M54" i="1"/>
  <c r="N54" i="1"/>
  <c r="O54" i="1"/>
  <c r="P54" i="1"/>
  <c r="Q54" i="1"/>
  <c r="L55" i="1"/>
  <c r="M55" i="1"/>
  <c r="N55" i="1"/>
  <c r="O55" i="1"/>
  <c r="P55" i="1"/>
  <c r="Q55" i="1"/>
  <c r="M56" i="1"/>
  <c r="N56" i="1"/>
  <c r="O56" i="1"/>
  <c r="P56" i="1"/>
  <c r="Q56" i="1"/>
  <c r="N57" i="1"/>
  <c r="O57" i="1"/>
  <c r="P57" i="1"/>
  <c r="Q57" i="1"/>
  <c r="O58" i="1"/>
  <c r="P58" i="1"/>
  <c r="Q58" i="1"/>
  <c r="P59" i="1"/>
  <c r="Q59" i="1"/>
  <c r="Q60" i="1"/>
  <c r="E64" i="1"/>
  <c r="F64" i="1"/>
  <c r="G64" i="1"/>
  <c r="H64" i="1"/>
  <c r="I64" i="1"/>
  <c r="J64" i="1"/>
  <c r="K64" i="1"/>
  <c r="L64" i="1"/>
  <c r="M64" i="1"/>
  <c r="N64" i="1"/>
  <c r="O64" i="1"/>
  <c r="P64" i="1"/>
  <c r="D4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D8" i="2"/>
  <c r="E8" i="2"/>
  <c r="D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K6" i="4"/>
  <c r="M8" i="4"/>
  <c r="N8" i="4"/>
  <c r="O8" i="4"/>
  <c r="P8" i="4"/>
  <c r="Q8" i="4"/>
  <c r="R8" i="4"/>
  <c r="L12" i="4"/>
  <c r="M12" i="4"/>
  <c r="N12" i="4"/>
  <c r="O12" i="4"/>
  <c r="P12" i="4"/>
  <c r="Q12" i="4"/>
  <c r="R12" i="4"/>
  <c r="K13" i="4"/>
  <c r="L14" i="4"/>
  <c r="M14" i="4"/>
  <c r="N14" i="4"/>
  <c r="O14" i="4"/>
  <c r="P14" i="4"/>
  <c r="Q14" i="4"/>
  <c r="R14" i="4"/>
  <c r="G16" i="4"/>
  <c r="G22" i="4"/>
  <c r="H22" i="4"/>
  <c r="I22" i="4"/>
  <c r="G23" i="4"/>
  <c r="H23" i="4"/>
  <c r="I23" i="4"/>
  <c r="G25" i="4"/>
  <c r="H25" i="4"/>
  <c r="I25" i="4"/>
  <c r="H27" i="4"/>
  <c r="I27" i="4"/>
  <c r="G28" i="4"/>
  <c r="H28" i="4"/>
  <c r="I28" i="4"/>
  <c r="G29" i="4"/>
  <c r="I29" i="4"/>
  <c r="G30" i="4"/>
  <c r="I30" i="4"/>
  <c r="G31" i="4"/>
  <c r="H31" i="4"/>
  <c r="I31" i="4"/>
  <c r="G33" i="4"/>
  <c r="H33" i="4"/>
  <c r="I33" i="4"/>
  <c r="G36" i="4"/>
  <c r="I36" i="4"/>
  <c r="G38" i="4"/>
  <c r="H38" i="4"/>
  <c r="I38" i="4"/>
  <c r="G43" i="4"/>
  <c r="H43" i="4"/>
  <c r="I43" i="4"/>
  <c r="G45" i="4"/>
  <c r="H45" i="4"/>
  <c r="I45" i="4"/>
  <c r="G46" i="4"/>
  <c r="I46" i="4"/>
  <c r="G47" i="4"/>
  <c r="I47" i="4"/>
  <c r="G49" i="4"/>
  <c r="H49" i="4"/>
  <c r="I49" i="4"/>
</calcChain>
</file>

<file path=xl/sharedStrings.xml><?xml version="1.0" encoding="utf-8"?>
<sst xmlns="http://schemas.openxmlformats.org/spreadsheetml/2006/main" count="104" uniqueCount="89">
  <si>
    <t>Payment Dates</t>
  </si>
  <si>
    <t>Payment Escalator</t>
  </si>
  <si>
    <t>PV</t>
  </si>
  <si>
    <t>Implied Exercise Price Immediately</t>
  </si>
  <si>
    <t>Following Payment</t>
  </si>
  <si>
    <t>Exercie Price Computation</t>
  </si>
  <si>
    <t>El Paso Offer Analysis</t>
  </si>
  <si>
    <t>Scheduled Payments</t>
  </si>
  <si>
    <t>New Contingent Payment Dates</t>
  </si>
  <si>
    <t>New Contingent Payments</t>
  </si>
  <si>
    <t>Total Offer Value</t>
  </si>
  <si>
    <t>Deferred Payments</t>
  </si>
  <si>
    <t>Probability</t>
  </si>
  <si>
    <t>Probablilty Adjusted</t>
  </si>
  <si>
    <t>Available Restructuring MW's</t>
  </si>
  <si>
    <t>Linden</t>
  </si>
  <si>
    <t>Bayonne</t>
  </si>
  <si>
    <t>Camden</t>
  </si>
  <si>
    <t>Total</t>
  </si>
  <si>
    <t>Restructuring Payment $/kw</t>
  </si>
  <si>
    <t>9/25/2000</t>
  </si>
  <si>
    <t>Deferred Payment Schedule</t>
  </si>
  <si>
    <t>Deferred Payment Discount Rate</t>
  </si>
  <si>
    <t>Contingent Payment Discount Rate</t>
  </si>
  <si>
    <t>JEDI II</t>
  </si>
  <si>
    <t>SubNotes</t>
  </si>
  <si>
    <t>Expenses</t>
  </si>
  <si>
    <t>Expenses as a % of Total Offering</t>
  </si>
  <si>
    <t>Net Proceeds</t>
  </si>
  <si>
    <t>Contingent Payments</t>
  </si>
  <si>
    <t>Probability Adjusted</t>
  </si>
  <si>
    <t>Enron</t>
  </si>
  <si>
    <t>50% JEDI II</t>
  </si>
  <si>
    <t>JEDI II Carrying Value</t>
  </si>
  <si>
    <t>Discount Rate</t>
  </si>
  <si>
    <t>Transaction Value</t>
  </si>
  <si>
    <t>Annual Proposal</t>
  </si>
  <si>
    <t>Quarterly Deferred Payment Proposal</t>
  </si>
  <si>
    <t>Inputs</t>
  </si>
  <si>
    <t>Transaction Analysis</t>
  </si>
  <si>
    <t>Contingent Payment $/kw (Linden Only - 678MW)</t>
  </si>
  <si>
    <t>($000's except where noted)</t>
  </si>
  <si>
    <t>2001 Contingent Payment</t>
  </si>
  <si>
    <t>Carrying Value</t>
  </si>
  <si>
    <t>JEDI II Placement Advisory Fee</t>
  </si>
  <si>
    <t>Placement Advisory Fee</t>
  </si>
  <si>
    <t>Placement Advisory Fee Income</t>
  </si>
  <si>
    <t>Subordinated Note Carrying Value</t>
  </si>
  <si>
    <t>Date</t>
  </si>
  <si>
    <t>Payment</t>
  </si>
  <si>
    <t>7 year</t>
  </si>
  <si>
    <t>Initial Deferred Payment (7 years - 27 payments)</t>
  </si>
  <si>
    <t>10bps</t>
  </si>
  <si>
    <t>Sensitivity Analysis - 7 years</t>
  </si>
  <si>
    <t>Profit (Loss) (c)</t>
  </si>
  <si>
    <t>(c)  Includes interest income on the SubNotes for the period through closing (assumed to be 15-Dec-00 or $3,521).</t>
  </si>
  <si>
    <t>Enron Profit (Loss) (c)</t>
  </si>
  <si>
    <t>Thereafter</t>
  </si>
  <si>
    <t>If restructuring of Linden occurs:</t>
  </si>
  <si>
    <t>After</t>
  </si>
  <si>
    <t>Closing</t>
  </si>
  <si>
    <t>JEDI II Accrued Interest thru 15-Dec</t>
  </si>
  <si>
    <t>Placement Fee as a % of Total Offering</t>
  </si>
  <si>
    <t>Allocation of Gross Proceeds</t>
  </si>
  <si>
    <t>M&amp;A Advisory Fee</t>
  </si>
  <si>
    <t>no</t>
  </si>
  <si>
    <t>JEDI II M&amp;A Advisory fee</t>
  </si>
  <si>
    <t>Gross Proceeds (a)</t>
  </si>
  <si>
    <t>EPG Accrued Interest thru 15-Dec (b)</t>
  </si>
  <si>
    <t>(b)  To be paid in cash by Mesquite at closing.</t>
  </si>
  <si>
    <t>(a)  Proceeds to be prorated to reflect JEDI II share of accrued interest on SubNotes through closing.</t>
  </si>
  <si>
    <t>Placement Fees</t>
  </si>
  <si>
    <t>M&amp;A Advisory Fee Income</t>
  </si>
  <si>
    <t>On or Before</t>
  </si>
  <si>
    <t>Beginning Principal Balance</t>
  </si>
  <si>
    <t>Interest</t>
  </si>
  <si>
    <t>Principal</t>
  </si>
  <si>
    <t>Ending Principal Balance</t>
  </si>
  <si>
    <t>Amortization</t>
  </si>
  <si>
    <t>Totals</t>
  </si>
  <si>
    <t>Coupon</t>
  </si>
  <si>
    <t>Offering Proceeds</t>
  </si>
  <si>
    <t>Issue Date</t>
  </si>
  <si>
    <t>Offering Price Analysis</t>
  </si>
  <si>
    <t>XNPV</t>
  </si>
  <si>
    <t>XIRR</t>
  </si>
  <si>
    <t>Payments</t>
  </si>
  <si>
    <t>Implied Coupon</t>
  </si>
  <si>
    <t>Deferred Payments @ 8.2481%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</si>
</sst>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_(* #,##0_);_(* \(#,##0\);_(* &quot;-&quot;??_);_(@_)"/>
    <numFmt numFmtId="168" formatCode="_(* #,##0.0000_);_(* \(#,##0.0000\);_(* &quot;-&quot;??_);_(@_)"/>
    <numFmt numFmtId="169" formatCode="0.000%"/>
    <numFmt numFmtId="178" formatCode="dd\-mmm\-yy"/>
    <numFmt numFmtId="179" formatCode="0.0000%"/>
  </numFmts>
  <fonts count="11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167" fontId="0" fillId="0" borderId="0" xfId="1" applyNumberFormat="1" applyFont="1"/>
    <xf numFmtId="15" fontId="0" fillId="0" borderId="0" xfId="0" applyNumberFormat="1"/>
    <xf numFmtId="167" fontId="2" fillId="0" borderId="0" xfId="1" applyNumberFormat="1" applyFont="1"/>
    <xf numFmtId="10" fontId="2" fillId="0" borderId="0" xfId="2" applyNumberFormat="1" applyFont="1"/>
    <xf numFmtId="167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10" fontId="2" fillId="0" borderId="2" xfId="2" applyNumberFormat="1" applyFont="1" applyBorder="1"/>
    <xf numFmtId="167" fontId="0" fillId="0" borderId="2" xfId="1" applyNumberFormat="1" applyFont="1" applyBorder="1"/>
    <xf numFmtId="167" fontId="0" fillId="0" borderId="2" xfId="0" applyNumberFormat="1" applyBorder="1"/>
    <xf numFmtId="167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2" fillId="0" borderId="0" xfId="2" applyNumberFormat="1" applyFont="1" applyBorder="1"/>
    <xf numFmtId="167" fontId="0" fillId="0" borderId="0" xfId="1" applyNumberFormat="1" applyFont="1" applyBorder="1"/>
    <xf numFmtId="167" fontId="0" fillId="0" borderId="0" xfId="0" applyNumberFormat="1" applyBorder="1"/>
    <xf numFmtId="167" fontId="0" fillId="0" borderId="5" xfId="0" applyNumberFormat="1" applyBorder="1"/>
    <xf numFmtId="167" fontId="0" fillId="0" borderId="4" xfId="0" applyNumberFormat="1" applyBorder="1"/>
    <xf numFmtId="0" fontId="0" fillId="0" borderId="6" xfId="0" applyBorder="1"/>
    <xf numFmtId="0" fontId="0" fillId="0" borderId="7" xfId="0" applyBorder="1"/>
    <xf numFmtId="10" fontId="2" fillId="0" borderId="7" xfId="2" applyNumberFormat="1" applyFont="1" applyBorder="1"/>
    <xf numFmtId="167" fontId="0" fillId="0" borderId="7" xfId="1" applyNumberFormat="1" applyFont="1" applyBorder="1"/>
    <xf numFmtId="167" fontId="0" fillId="0" borderId="7" xfId="0" applyNumberFormat="1" applyBorder="1"/>
    <xf numFmtId="167" fontId="0" fillId="0" borderId="8" xfId="0" applyNumberFormat="1" applyBorder="1"/>
    <xf numFmtId="0" fontId="3" fillId="0" borderId="0" xfId="0" applyFont="1"/>
    <xf numFmtId="15" fontId="4" fillId="0" borderId="0" xfId="0" applyNumberFormat="1" applyFont="1"/>
    <xf numFmtId="0" fontId="4" fillId="0" borderId="0" xfId="0" applyFont="1"/>
    <xf numFmtId="43" fontId="0" fillId="0" borderId="0" xfId="0" applyNumberFormat="1"/>
    <xf numFmtId="14" fontId="0" fillId="0" borderId="0" xfId="0" applyNumberFormat="1"/>
    <xf numFmtId="9" fontId="0" fillId="0" borderId="0" xfId="2" applyFont="1"/>
    <xf numFmtId="9" fontId="0" fillId="0" borderId="0" xfId="0" applyNumberFormat="1"/>
    <xf numFmtId="167" fontId="5" fillId="0" borderId="0" xfId="0" applyNumberFormat="1" applyFont="1"/>
    <xf numFmtId="167" fontId="0" fillId="0" borderId="9" xfId="0" applyNumberFormat="1" applyBorder="1"/>
    <xf numFmtId="14" fontId="0" fillId="0" borderId="0" xfId="0" quotePrefix="1" applyNumberFormat="1"/>
    <xf numFmtId="15" fontId="0" fillId="2" borderId="0" xfId="0" applyNumberFormat="1" applyFill="1"/>
    <xf numFmtId="167" fontId="0" fillId="2" borderId="0" xfId="1" applyNumberFormat="1" applyFont="1" applyFill="1"/>
    <xf numFmtId="167" fontId="0" fillId="2" borderId="0" xfId="0" applyNumberFormat="1" applyFill="1"/>
    <xf numFmtId="0" fontId="6" fillId="0" borderId="0" xfId="0" applyFont="1"/>
    <xf numFmtId="10" fontId="8" fillId="0" borderId="0" xfId="2" applyNumberFormat="1" applyFont="1"/>
    <xf numFmtId="167" fontId="2" fillId="0" borderId="0" xfId="0" applyNumberFormat="1" applyFont="1"/>
    <xf numFmtId="10" fontId="0" fillId="0" borderId="2" xfId="0" applyNumberFormat="1" applyBorder="1"/>
    <xf numFmtId="10" fontId="0" fillId="0" borderId="2" xfId="2" applyNumberFormat="1" applyFont="1" applyBorder="1"/>
    <xf numFmtId="10" fontId="0" fillId="0" borderId="3" xfId="2" applyNumberFormat="1" applyFont="1" applyBorder="1"/>
    <xf numFmtId="167" fontId="9" fillId="0" borderId="7" xfId="1" applyNumberFormat="1" applyFont="1" applyBorder="1"/>
    <xf numFmtId="167" fontId="0" fillId="0" borderId="8" xfId="1" applyNumberFormat="1" applyFont="1" applyBorder="1"/>
    <xf numFmtId="169" fontId="2" fillId="0" borderId="5" xfId="2" applyNumberFormat="1" applyFont="1" applyBorder="1"/>
    <xf numFmtId="167" fontId="2" fillId="0" borderId="5" xfId="0" applyNumberFormat="1" applyFont="1" applyBorder="1"/>
    <xf numFmtId="0" fontId="4" fillId="0" borderId="0" xfId="0" applyFont="1" applyBorder="1"/>
    <xf numFmtId="169" fontId="2" fillId="0" borderId="3" xfId="2" applyNumberFormat="1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5" xfId="0" applyBorder="1"/>
    <xf numFmtId="167" fontId="0" fillId="0" borderId="5" xfId="1" applyNumberFormat="1" applyFont="1" applyBorder="1"/>
    <xf numFmtId="167" fontId="5" fillId="0" borderId="0" xfId="0" applyNumberFormat="1" applyFont="1" applyBorder="1"/>
    <xf numFmtId="167" fontId="5" fillId="0" borderId="5" xfId="0" applyNumberFormat="1" applyFont="1" applyBorder="1"/>
    <xf numFmtId="43" fontId="5" fillId="0" borderId="0" xfId="1" applyFont="1" applyBorder="1"/>
    <xf numFmtId="0" fontId="8" fillId="0" borderId="4" xfId="0" applyFont="1" applyBorder="1"/>
    <xf numFmtId="0" fontId="8" fillId="0" borderId="6" xfId="0" applyFont="1" applyBorder="1"/>
    <xf numFmtId="43" fontId="8" fillId="0" borderId="0" xfId="0" applyNumberFormat="1" applyFont="1"/>
    <xf numFmtId="0" fontId="10" fillId="0" borderId="0" xfId="0" applyFont="1"/>
    <xf numFmtId="167" fontId="8" fillId="0" borderId="0" xfId="0" applyNumberFormat="1" applyFont="1" applyBorder="1"/>
    <xf numFmtId="167" fontId="8" fillId="0" borderId="0" xfId="1" applyNumberFormat="1" applyFont="1" applyBorder="1"/>
    <xf numFmtId="0" fontId="0" fillId="0" borderId="0" xfId="0" quotePrefix="1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7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10" fontId="0" fillId="0" borderId="0" xfId="0" applyNumberFormat="1" applyBorder="1"/>
    <xf numFmtId="10" fontId="0" fillId="0" borderId="0" xfId="2" applyNumberFormat="1" applyFont="1" applyBorder="1"/>
    <xf numFmtId="167" fontId="9" fillId="0" borderId="0" xfId="1" applyNumberFormat="1" applyFont="1" applyBorder="1"/>
    <xf numFmtId="167" fontId="5" fillId="0" borderId="5" xfId="1" applyNumberFormat="1" applyFont="1" applyBorder="1"/>
    <xf numFmtId="16" fontId="0" fillId="0" borderId="0" xfId="0" applyNumberFormat="1"/>
    <xf numFmtId="179" fontId="0" fillId="0" borderId="0" xfId="2" applyNumberFormat="1" applyFont="1" applyBorder="1"/>
    <xf numFmtId="179" fontId="0" fillId="0" borderId="7" xfId="0" applyNumberFormat="1" applyBorder="1"/>
    <xf numFmtId="0" fontId="0" fillId="0" borderId="4" xfId="0" applyBorder="1" applyAlignment="1">
      <alignment horizontal="center"/>
    </xf>
    <xf numFmtId="0" fontId="7" fillId="0" borderId="1" xfId="0" applyFont="1" applyBorder="1" applyAlignment="1">
      <alignment horizontal="center"/>
    </xf>
    <xf numFmtId="43" fontId="2" fillId="0" borderId="5" xfId="0" applyNumberFormat="1" applyFont="1" applyBorder="1"/>
    <xf numFmtId="167" fontId="8" fillId="0" borderId="8" xfId="0" applyNumberFormat="1" applyFont="1" applyBorder="1"/>
    <xf numFmtId="178" fontId="2" fillId="0" borderId="5" xfId="2" applyNumberFormat="1" applyFont="1" applyBorder="1"/>
    <xf numFmtId="167" fontId="9" fillId="0" borderId="2" xfId="1" applyNumberFormat="1" applyFont="1" applyBorder="1"/>
    <xf numFmtId="10" fontId="0" fillId="0" borderId="3" xfId="0" applyNumberFormat="1" applyBorder="1"/>
    <xf numFmtId="167" fontId="8" fillId="0" borderId="0" xfId="2" applyNumberFormat="1" applyFont="1"/>
    <xf numFmtId="179" fontId="8" fillId="0" borderId="0" xfId="2" applyNumberFormat="1" applyFont="1"/>
    <xf numFmtId="179" fontId="0" fillId="0" borderId="0" xfId="1" applyNumberFormat="1" applyFont="1"/>
    <xf numFmtId="179" fontId="0" fillId="0" borderId="0" xfId="0" applyNumberFormat="1"/>
    <xf numFmtId="169" fontId="0" fillId="0" borderId="7" xfId="2" applyNumberFormat="1" applyFont="1" applyBorder="1"/>
    <xf numFmtId="169" fontId="0" fillId="0" borderId="8" xfId="2" applyNumberFormat="1" applyFont="1" applyBorder="1"/>
    <xf numFmtId="1" fontId="0" fillId="0" borderId="0" xfId="0" applyNumberFormat="1" applyBorder="1"/>
    <xf numFmtId="168" fontId="8" fillId="0" borderId="0" xfId="1" applyNumberFormat="1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4"/>
  <sheetViews>
    <sheetView tabSelected="1" zoomScale="80" workbookViewId="0">
      <selection activeCell="G9" sqref="G9"/>
    </sheetView>
  </sheetViews>
  <sheetFormatPr defaultRowHeight="12.75" x14ac:dyDescent="0.2"/>
  <cols>
    <col min="1" max="3" width="3.7109375" customWidth="1"/>
    <col min="4" max="6" width="11.28515625" customWidth="1"/>
    <col min="7" max="9" width="14.7109375" customWidth="1"/>
    <col min="10" max="11" width="5.28515625" customWidth="1"/>
    <col min="12" max="12" width="13.42578125" bestFit="1" customWidth="1"/>
    <col min="13" max="13" width="9.5703125" bestFit="1" customWidth="1"/>
    <col min="14" max="15" width="9.5703125" customWidth="1"/>
    <col min="16" max="18" width="9.5703125" bestFit="1" customWidth="1"/>
  </cols>
  <sheetData>
    <row r="1" spans="1:18" ht="30" x14ac:dyDescent="0.4">
      <c r="A1" s="26" t="s">
        <v>6</v>
      </c>
    </row>
    <row r="2" spans="1:18" ht="18" customHeight="1" x14ac:dyDescent="0.25">
      <c r="A2" s="61" t="s">
        <v>41</v>
      </c>
      <c r="G2" s="81"/>
    </row>
    <row r="3" spans="1:18" ht="18" customHeight="1" x14ac:dyDescent="0.4">
      <c r="A3" s="26"/>
    </row>
    <row r="4" spans="1:18" x14ac:dyDescent="0.2">
      <c r="A4" s="49" t="s">
        <v>38</v>
      </c>
      <c r="B4" s="14"/>
      <c r="C4" s="14"/>
      <c r="D4" s="14"/>
      <c r="E4" s="14"/>
      <c r="F4" s="14"/>
      <c r="G4" s="14"/>
      <c r="I4" s="28" t="s">
        <v>53</v>
      </c>
    </row>
    <row r="5" spans="1:18" x14ac:dyDescent="0.2">
      <c r="A5" s="7" t="s">
        <v>22</v>
      </c>
      <c r="B5" s="8"/>
      <c r="C5" s="8"/>
      <c r="D5" s="8"/>
      <c r="E5" s="8"/>
      <c r="F5" s="8"/>
      <c r="G5" s="50">
        <v>8.5000000000000006E-2</v>
      </c>
      <c r="I5" s="7" t="s">
        <v>34</v>
      </c>
      <c r="J5" s="8"/>
      <c r="K5" s="8"/>
      <c r="L5" s="42">
        <v>0.08</v>
      </c>
      <c r="M5" s="43">
        <v>8.2500000000000004E-2</v>
      </c>
      <c r="N5" s="43">
        <v>8.5000000000000006E-2</v>
      </c>
      <c r="O5" s="43">
        <v>8.7499999999999994E-2</v>
      </c>
      <c r="P5" s="43">
        <v>0.09</v>
      </c>
      <c r="Q5" s="43">
        <v>9.2499999999999999E-2</v>
      </c>
      <c r="R5" s="44">
        <v>9.5000000000000001E-2</v>
      </c>
    </row>
    <row r="6" spans="1:18" x14ac:dyDescent="0.2">
      <c r="A6" s="13" t="s">
        <v>82</v>
      </c>
      <c r="G6" s="88">
        <v>36875</v>
      </c>
      <c r="I6" s="20" t="s">
        <v>56</v>
      </c>
      <c r="J6" s="21"/>
      <c r="K6" s="45">
        <f>+I49</f>
        <v>7934.0091754301529</v>
      </c>
      <c r="L6" s="23">
        <f t="dataTable" ref="L6:R6" dt2D="0" dtr="1" r1="G5" ca="1"/>
        <v>10901.742134944532</v>
      </c>
      <c r="M6" s="23">
        <v>9407.9681314592908</v>
      </c>
      <c r="N6" s="23">
        <v>7934.0091754301529</v>
      </c>
      <c r="O6" s="23">
        <v>6479.5344150863039</v>
      </c>
      <c r="P6" s="23">
        <v>5044.219497816398</v>
      </c>
      <c r="Q6" s="23">
        <v>3627.7464249403988</v>
      </c>
      <c r="R6" s="46">
        <v>2229.8034100982363</v>
      </c>
    </row>
    <row r="7" spans="1:18" x14ac:dyDescent="0.2">
      <c r="A7" s="13" t="s">
        <v>23</v>
      </c>
      <c r="B7" s="14"/>
      <c r="C7" s="14"/>
      <c r="D7" s="14"/>
      <c r="E7" s="14"/>
      <c r="F7" s="14"/>
      <c r="G7" s="47">
        <v>0.11600000000000001</v>
      </c>
    </row>
    <row r="8" spans="1:18" x14ac:dyDescent="0.2">
      <c r="A8" s="13" t="s">
        <v>27</v>
      </c>
      <c r="B8" s="14"/>
      <c r="C8" s="14"/>
      <c r="D8" s="14"/>
      <c r="E8" s="14"/>
      <c r="F8" s="14"/>
      <c r="G8" s="47">
        <v>1.8749999999999999E-3</v>
      </c>
      <c r="I8" t="s">
        <v>52</v>
      </c>
      <c r="M8" s="17">
        <f t="shared" ref="M8:R8" si="0">((+L6-M6)/25)*10</f>
        <v>597.50960139409653</v>
      </c>
      <c r="N8" s="17">
        <f t="shared" si="0"/>
        <v>589.58358241165513</v>
      </c>
      <c r="O8" s="17">
        <f t="shared" si="0"/>
        <v>581.78990413753968</v>
      </c>
      <c r="P8" s="17">
        <f t="shared" si="0"/>
        <v>574.12596690796238</v>
      </c>
      <c r="Q8" s="17">
        <f t="shared" si="0"/>
        <v>566.58922915039966</v>
      </c>
      <c r="R8" s="17">
        <f t="shared" si="0"/>
        <v>559.17720593686499</v>
      </c>
    </row>
    <row r="9" spans="1:18" x14ac:dyDescent="0.2">
      <c r="A9" s="13" t="s">
        <v>62</v>
      </c>
      <c r="B9" s="14"/>
      <c r="C9" s="14"/>
      <c r="D9" s="14"/>
      <c r="E9" s="14"/>
      <c r="F9" s="14"/>
      <c r="G9" s="47">
        <v>5.0000000000000001E-3</v>
      </c>
    </row>
    <row r="10" spans="1:18" x14ac:dyDescent="0.2">
      <c r="A10" s="13" t="s">
        <v>44</v>
      </c>
      <c r="B10" s="14"/>
      <c r="C10" s="14"/>
      <c r="D10" s="14"/>
      <c r="E10" s="14"/>
      <c r="F10" s="14"/>
      <c r="G10" s="47">
        <v>5.0000000000000001E-3</v>
      </c>
    </row>
    <row r="11" spans="1:18" x14ac:dyDescent="0.2">
      <c r="A11" s="13" t="s">
        <v>66</v>
      </c>
      <c r="B11" s="14"/>
      <c r="C11" s="14"/>
      <c r="D11" s="14"/>
      <c r="E11" s="14"/>
      <c r="F11" s="14"/>
      <c r="G11" s="48">
        <v>3000</v>
      </c>
      <c r="I11" s="28" t="s">
        <v>83</v>
      </c>
      <c r="J11" s="14"/>
      <c r="K11" s="14"/>
      <c r="L11" s="77"/>
      <c r="M11" s="78"/>
      <c r="N11" s="78"/>
      <c r="O11" s="78"/>
      <c r="P11" s="78"/>
      <c r="Q11" s="78"/>
    </row>
    <row r="12" spans="1:18" x14ac:dyDescent="0.2">
      <c r="A12" s="13" t="s">
        <v>33</v>
      </c>
      <c r="B12" s="14"/>
      <c r="C12" s="14"/>
      <c r="D12" s="14"/>
      <c r="E12" s="14"/>
      <c r="F12" s="14"/>
      <c r="G12" s="48">
        <v>202212</v>
      </c>
      <c r="I12" s="7" t="s">
        <v>34</v>
      </c>
      <c r="J12" s="8"/>
      <c r="K12" s="89"/>
      <c r="L12" s="42">
        <f t="shared" ref="L12:R12" si="1">+L5</f>
        <v>0.08</v>
      </c>
      <c r="M12" s="42">
        <f t="shared" si="1"/>
        <v>8.2500000000000004E-2</v>
      </c>
      <c r="N12" s="42">
        <f t="shared" si="1"/>
        <v>8.5000000000000006E-2</v>
      </c>
      <c r="O12" s="42">
        <f t="shared" si="1"/>
        <v>8.7499999999999994E-2</v>
      </c>
      <c r="P12" s="42">
        <f t="shared" si="1"/>
        <v>0.09</v>
      </c>
      <c r="Q12" s="42">
        <f t="shared" si="1"/>
        <v>9.2499999999999999E-2</v>
      </c>
      <c r="R12" s="90">
        <f t="shared" si="1"/>
        <v>9.5000000000000001E-2</v>
      </c>
    </row>
    <row r="13" spans="1:18" x14ac:dyDescent="0.2">
      <c r="A13" s="13" t="s">
        <v>47</v>
      </c>
      <c r="B13" s="14"/>
      <c r="C13" s="14"/>
      <c r="D13" s="14"/>
      <c r="E13" s="14"/>
      <c r="F13" s="14"/>
      <c r="G13" s="48">
        <v>157900</v>
      </c>
      <c r="I13" s="13" t="s">
        <v>81</v>
      </c>
      <c r="J13" s="14"/>
      <c r="K13" s="79">
        <f>+I22</f>
        <v>347599.99999999872</v>
      </c>
      <c r="L13" s="17">
        <f t="dataTable" ref="L13:R13" dt2D="0" dtr="1" r1="G5"/>
        <v>353546.61582369701</v>
      </c>
      <c r="M13" s="17">
        <v>350553.4556413847</v>
      </c>
      <c r="N13" s="17">
        <v>347599.99999999872</v>
      </c>
      <c r="O13" s="17">
        <v>344685.58595297294</v>
      </c>
      <c r="P13" s="17">
        <v>341809.56357647723</v>
      </c>
      <c r="Q13" s="17">
        <v>338971.29567841633</v>
      </c>
      <c r="R13" s="18">
        <v>336170.15751467505</v>
      </c>
    </row>
    <row r="14" spans="1:18" x14ac:dyDescent="0.2">
      <c r="A14" s="13" t="s">
        <v>51</v>
      </c>
      <c r="B14" s="14"/>
      <c r="C14" s="14"/>
      <c r="D14" s="14"/>
      <c r="E14" s="14"/>
      <c r="F14" s="14"/>
      <c r="G14" s="48">
        <v>14275.208865894621</v>
      </c>
      <c r="I14" s="20" t="s">
        <v>87</v>
      </c>
      <c r="J14" s="21"/>
      <c r="K14" s="21"/>
      <c r="L14" s="95">
        <f>LOOKUP(L12,Quarterly!$D$22:$E$28)</f>
        <v>7.7762029693947285E-2</v>
      </c>
      <c r="M14" s="95">
        <f>LOOKUP(M12,Quarterly!$D$22:$E$28)</f>
        <v>8.0123334998153814E-2</v>
      </c>
      <c r="N14" s="95">
        <f>LOOKUP(N12,Quarterly!$D$22:$E$28)</f>
        <v>8.2480672127756366E-2</v>
      </c>
      <c r="O14" s="95">
        <f>LOOKUP(O12,Quarterly!$D$22:$E$28)</f>
        <v>8.4834057693107451E-2</v>
      </c>
      <c r="P14" s="95">
        <f>LOOKUP(P12,Quarterly!$D$22:$E$28)</f>
        <v>8.7183508202736418E-2</v>
      </c>
      <c r="Q14" s="95">
        <f>LOOKUP(Q12,Quarterly!$D$22:$E$28)</f>
        <v>8.9529040064172588E-2</v>
      </c>
      <c r="R14" s="96">
        <f>LOOKUP(R12,Quarterly!$D$22:$E$28)</f>
        <v>9.1870669584912926E-2</v>
      </c>
    </row>
    <row r="15" spans="1:18" x14ac:dyDescent="0.2">
      <c r="A15" s="13" t="s">
        <v>40</v>
      </c>
      <c r="B15" s="14"/>
      <c r="C15" s="14"/>
      <c r="D15" s="14"/>
      <c r="E15" s="14"/>
      <c r="F15" s="14"/>
      <c r="G15" s="86">
        <v>38.5</v>
      </c>
      <c r="I15" s="14"/>
      <c r="J15" s="14"/>
      <c r="K15" s="14"/>
      <c r="L15" s="17"/>
      <c r="M15" s="17"/>
      <c r="N15" s="17"/>
      <c r="O15" s="17"/>
      <c r="P15" s="17"/>
      <c r="Q15" s="17"/>
      <c r="R15" s="97"/>
    </row>
    <row r="16" spans="1:18" x14ac:dyDescent="0.2">
      <c r="A16" s="20" t="s">
        <v>42</v>
      </c>
      <c r="B16" s="21"/>
      <c r="C16" s="21"/>
      <c r="D16" s="21"/>
      <c r="E16" s="21"/>
      <c r="F16" s="21"/>
      <c r="G16" s="87">
        <f>+Contingent!F32</f>
        <v>26103</v>
      </c>
      <c r="I16" s="14"/>
      <c r="J16" s="14"/>
      <c r="K16" s="14"/>
      <c r="L16" s="98"/>
      <c r="M16" s="98"/>
      <c r="N16" s="98"/>
      <c r="O16" s="98"/>
      <c r="P16" s="98"/>
      <c r="Q16" s="98"/>
      <c r="R16" s="98"/>
    </row>
    <row r="17" spans="1:17" x14ac:dyDescent="0.2">
      <c r="I17" s="14"/>
      <c r="J17" s="14"/>
      <c r="K17" s="14"/>
      <c r="L17" s="77"/>
      <c r="M17" s="78"/>
      <c r="N17" s="78"/>
      <c r="O17" s="78"/>
      <c r="P17" s="78"/>
      <c r="Q17" s="78"/>
    </row>
    <row r="18" spans="1:17" x14ac:dyDescent="0.2">
      <c r="G18" s="41"/>
    </row>
    <row r="19" spans="1:17" x14ac:dyDescent="0.2">
      <c r="A19" s="28" t="s">
        <v>39</v>
      </c>
      <c r="G19" s="4"/>
      <c r="M19" s="17"/>
      <c r="N19" s="17"/>
      <c r="O19" s="17"/>
      <c r="P19" s="17"/>
      <c r="Q19" s="17"/>
    </row>
    <row r="20" spans="1:17" x14ac:dyDescent="0.2">
      <c r="A20" s="7"/>
      <c r="B20" s="8"/>
      <c r="C20" s="8"/>
      <c r="D20" s="8"/>
      <c r="E20" s="8"/>
      <c r="F20" s="8"/>
      <c r="G20" s="51" t="s">
        <v>24</v>
      </c>
      <c r="H20" s="51" t="s">
        <v>25</v>
      </c>
      <c r="I20" s="52" t="s">
        <v>18</v>
      </c>
    </row>
    <row r="21" spans="1:17" x14ac:dyDescent="0.2">
      <c r="A21" s="58" t="s">
        <v>11</v>
      </c>
      <c r="B21" s="14"/>
      <c r="C21" s="14"/>
      <c r="D21" s="14"/>
      <c r="E21" s="14"/>
      <c r="G21" s="14"/>
      <c r="H21" s="14"/>
      <c r="I21" s="53"/>
    </row>
    <row r="22" spans="1:17" x14ac:dyDescent="0.2">
      <c r="A22" s="13"/>
      <c r="B22" s="14" t="s">
        <v>67</v>
      </c>
      <c r="C22" s="14"/>
      <c r="D22" s="14"/>
      <c r="E22" s="14"/>
      <c r="G22" s="17">
        <f>+I22-H22</f>
        <v>189699.99999999872</v>
      </c>
      <c r="H22" s="63">
        <f>+G13</f>
        <v>157900</v>
      </c>
      <c r="I22" s="54">
        <f>+Quarterly!E8/1000</f>
        <v>347599.99999999872</v>
      </c>
    </row>
    <row r="23" spans="1:17" ht="15" x14ac:dyDescent="0.35">
      <c r="A23" s="13"/>
      <c r="B23" s="14" t="s">
        <v>61</v>
      </c>
      <c r="C23" s="14"/>
      <c r="D23" s="14"/>
      <c r="E23" s="14"/>
      <c r="G23" s="33">
        <f>-H23</f>
        <v>-1509.0913972602757</v>
      </c>
      <c r="H23" s="55">
        <f>+G13*0.09*0.208219178082192*0.51</f>
        <v>1509.0913972602757</v>
      </c>
      <c r="I23" s="80">
        <f>+G23+H23</f>
        <v>0</v>
      </c>
    </row>
    <row r="24" spans="1:17" ht="15" x14ac:dyDescent="0.35">
      <c r="A24" s="13"/>
      <c r="B24" s="14"/>
      <c r="C24" s="14"/>
      <c r="D24" s="14"/>
      <c r="E24" s="14"/>
      <c r="G24" s="33"/>
      <c r="H24" s="55"/>
      <c r="I24" s="80"/>
    </row>
    <row r="25" spans="1:17" x14ac:dyDescent="0.2">
      <c r="A25" s="13"/>
      <c r="B25" s="14" t="s">
        <v>63</v>
      </c>
      <c r="D25" s="14"/>
      <c r="E25" s="14"/>
      <c r="G25" s="5">
        <f>+G22+G23</f>
        <v>188190.90860273843</v>
      </c>
      <c r="H25" s="17">
        <f>+H22+H23</f>
        <v>159409.09139726029</v>
      </c>
      <c r="I25" s="54">
        <f>+G25+H25</f>
        <v>347599.99999999872</v>
      </c>
    </row>
    <row r="26" spans="1:17" x14ac:dyDescent="0.2">
      <c r="A26" s="13"/>
      <c r="B26" s="14"/>
      <c r="C26" s="14"/>
      <c r="D26" s="14"/>
      <c r="E26" s="14"/>
      <c r="G26" s="5"/>
      <c r="H26" s="17"/>
      <c r="I26" s="54"/>
    </row>
    <row r="27" spans="1:17" x14ac:dyDescent="0.2">
      <c r="A27" s="13"/>
      <c r="B27" s="14" t="s">
        <v>68</v>
      </c>
      <c r="C27" s="14"/>
      <c r="D27" s="14"/>
      <c r="E27" s="14"/>
      <c r="G27" s="17">
        <v>0</v>
      </c>
      <c r="H27" s="63">
        <f>G13*0.09*0.208219178082192*0.49</f>
        <v>1449.9113424657548</v>
      </c>
      <c r="I27" s="54">
        <f>+G27+H27</f>
        <v>1449.9113424657548</v>
      </c>
    </row>
    <row r="28" spans="1:17" x14ac:dyDescent="0.2">
      <c r="A28" s="13"/>
      <c r="B28" s="14" t="s">
        <v>71</v>
      </c>
      <c r="C28" s="14"/>
      <c r="D28" s="14"/>
      <c r="E28" s="14"/>
      <c r="G28" s="17">
        <f>-G25*$G$9</f>
        <v>-940.95454301369216</v>
      </c>
      <c r="H28" s="17">
        <f>-H25*$G$9</f>
        <v>-797.04545698630147</v>
      </c>
      <c r="I28" s="18">
        <f>+G28+H28</f>
        <v>-1737.9999999999936</v>
      </c>
    </row>
    <row r="29" spans="1:17" x14ac:dyDescent="0.2">
      <c r="A29" s="13"/>
      <c r="B29" s="14" t="s">
        <v>45</v>
      </c>
      <c r="C29" s="14"/>
      <c r="D29" s="14"/>
      <c r="E29" s="14"/>
      <c r="G29" s="17">
        <f>-G25*$G$10</f>
        <v>-940.95454301369216</v>
      </c>
      <c r="H29" s="17">
        <v>0</v>
      </c>
      <c r="I29" s="18">
        <f>+G29+H29</f>
        <v>-940.95454301369216</v>
      </c>
    </row>
    <row r="30" spans="1:17" x14ac:dyDescent="0.2">
      <c r="A30" s="13"/>
      <c r="B30" s="14" t="s">
        <v>64</v>
      </c>
      <c r="C30" s="14"/>
      <c r="D30" s="14"/>
      <c r="E30" s="14"/>
      <c r="G30" s="17">
        <f>-G11</f>
        <v>-3000</v>
      </c>
      <c r="H30" s="17">
        <v>0</v>
      </c>
      <c r="I30" s="18">
        <f>+G30+H30</f>
        <v>-3000</v>
      </c>
    </row>
    <row r="31" spans="1:17" ht="15" x14ac:dyDescent="0.35">
      <c r="A31" s="13"/>
      <c r="B31" s="14" t="s">
        <v>26</v>
      </c>
      <c r="C31" s="14"/>
      <c r="D31" s="14"/>
      <c r="E31" s="14"/>
      <c r="G31" s="55">
        <f>-G25*$G$8</f>
        <v>-352.85795363013455</v>
      </c>
      <c r="H31" s="55">
        <f>-H25*$G$8</f>
        <v>-298.89204636986301</v>
      </c>
      <c r="I31" s="56">
        <f>+G31+H31</f>
        <v>-651.7499999999975</v>
      </c>
    </row>
    <row r="32" spans="1:17" x14ac:dyDescent="0.2">
      <c r="A32" s="13"/>
      <c r="B32" s="14"/>
      <c r="C32" s="14"/>
      <c r="D32" s="14"/>
      <c r="E32" s="14"/>
      <c r="G32" s="14"/>
      <c r="H32" s="14"/>
      <c r="I32" s="53"/>
    </row>
    <row r="33" spans="1:9" x14ac:dyDescent="0.2">
      <c r="A33" s="13"/>
      <c r="B33" s="14" t="s">
        <v>28</v>
      </c>
      <c r="C33" s="14"/>
      <c r="D33" s="14"/>
      <c r="E33" s="14"/>
      <c r="G33" s="17">
        <f>SUM(G25:G31)</f>
        <v>182956.14156308095</v>
      </c>
      <c r="H33" s="17">
        <f>SUM(H25:H31)</f>
        <v>159763.06523636988</v>
      </c>
      <c r="I33" s="18">
        <f>SUM(I25:I31)</f>
        <v>342719.20679945074</v>
      </c>
    </row>
    <row r="34" spans="1:9" x14ac:dyDescent="0.2">
      <c r="A34" s="13"/>
      <c r="B34" s="14"/>
      <c r="C34" s="14"/>
      <c r="D34" s="14"/>
      <c r="E34" s="14"/>
      <c r="G34" s="14"/>
      <c r="H34" s="14"/>
      <c r="I34" s="53"/>
    </row>
    <row r="35" spans="1:9" x14ac:dyDescent="0.2">
      <c r="A35" s="58" t="s">
        <v>29</v>
      </c>
      <c r="B35" s="14"/>
      <c r="C35" s="14"/>
      <c r="D35" s="14"/>
      <c r="E35" s="14"/>
      <c r="G35" s="14"/>
      <c r="H35" s="14"/>
      <c r="I35" s="53"/>
    </row>
    <row r="36" spans="1:9" ht="15" x14ac:dyDescent="0.35">
      <c r="A36" s="13"/>
      <c r="B36" s="14" t="s">
        <v>30</v>
      </c>
      <c r="C36" s="14"/>
      <c r="D36" s="14"/>
      <c r="E36" s="67" t="s">
        <v>65</v>
      </c>
      <c r="G36" s="55">
        <f>+Contingent!E36</f>
        <v>23515.837229012148</v>
      </c>
      <c r="H36" s="57">
        <v>0</v>
      </c>
      <c r="I36" s="56">
        <f>+G36+H36</f>
        <v>23515.837229012148</v>
      </c>
    </row>
    <row r="37" spans="1:9" x14ac:dyDescent="0.2">
      <c r="A37" s="13"/>
      <c r="B37" s="14"/>
      <c r="C37" s="14"/>
      <c r="D37" s="14"/>
      <c r="E37" s="14"/>
      <c r="G37" s="14"/>
      <c r="H37" s="14"/>
      <c r="I37" s="53"/>
    </row>
    <row r="38" spans="1:9" x14ac:dyDescent="0.2">
      <c r="A38" s="59" t="s">
        <v>35</v>
      </c>
      <c r="B38" s="21"/>
      <c r="C38" s="21"/>
      <c r="D38" s="21"/>
      <c r="E38" s="21"/>
      <c r="F38" s="21"/>
      <c r="G38" s="24">
        <f>+G33+G36</f>
        <v>206471.97879209311</v>
      </c>
      <c r="H38" s="24">
        <f>+H33+H36</f>
        <v>159763.06523636988</v>
      </c>
      <c r="I38" s="25">
        <f>+I33+I36</f>
        <v>366235.0440284629</v>
      </c>
    </row>
    <row r="39" spans="1:9" x14ac:dyDescent="0.2">
      <c r="A39" s="14"/>
      <c r="B39" s="14"/>
      <c r="C39" s="14"/>
      <c r="D39" s="14"/>
      <c r="E39" s="14"/>
      <c r="G39" s="14"/>
      <c r="H39" s="14"/>
      <c r="I39" s="14"/>
    </row>
    <row r="40" spans="1:9" x14ac:dyDescent="0.2">
      <c r="B40" s="14"/>
      <c r="C40" s="14"/>
      <c r="D40" s="14"/>
      <c r="E40" s="14"/>
      <c r="G40" s="14"/>
      <c r="H40" s="14"/>
      <c r="I40" s="14"/>
    </row>
    <row r="41" spans="1:9" x14ac:dyDescent="0.2">
      <c r="A41" s="28" t="s">
        <v>31</v>
      </c>
      <c r="B41" s="14"/>
      <c r="C41" s="14"/>
      <c r="D41" s="14"/>
      <c r="E41" s="14"/>
      <c r="G41" s="14"/>
      <c r="H41" s="14"/>
      <c r="I41" s="14"/>
    </row>
    <row r="42" spans="1:9" x14ac:dyDescent="0.2">
      <c r="A42" s="7"/>
      <c r="B42" s="8"/>
      <c r="C42" s="8"/>
      <c r="D42" s="8"/>
      <c r="E42" s="8"/>
      <c r="F42" s="8"/>
      <c r="G42" s="51" t="s">
        <v>24</v>
      </c>
      <c r="H42" s="51" t="s">
        <v>25</v>
      </c>
      <c r="I42" s="52" t="s">
        <v>18</v>
      </c>
    </row>
    <row r="43" spans="1:9" x14ac:dyDescent="0.2">
      <c r="A43" s="13" t="s">
        <v>32</v>
      </c>
      <c r="B43" s="14"/>
      <c r="C43" s="14"/>
      <c r="D43" s="14"/>
      <c r="E43" s="14"/>
      <c r="G43" s="17">
        <f>+G38*0.5</f>
        <v>103235.98939604656</v>
      </c>
      <c r="H43" s="17">
        <f>+H38</f>
        <v>159763.06523636988</v>
      </c>
      <c r="I43" s="18">
        <f>+G43+H43</f>
        <v>262999.05463241646</v>
      </c>
    </row>
    <row r="44" spans="1:9" x14ac:dyDescent="0.2">
      <c r="A44" s="13"/>
      <c r="B44" s="14"/>
      <c r="C44" s="14"/>
      <c r="D44" s="14"/>
      <c r="E44" s="14"/>
      <c r="G44" s="14"/>
      <c r="H44" s="14"/>
      <c r="I44" s="53"/>
    </row>
    <row r="45" spans="1:9" x14ac:dyDescent="0.2">
      <c r="A45" s="13" t="s">
        <v>43</v>
      </c>
      <c r="B45" s="14"/>
      <c r="C45" s="14"/>
      <c r="D45" s="14"/>
      <c r="E45" s="14"/>
      <c r="G45" s="17">
        <f>-G12*0.5</f>
        <v>-101106</v>
      </c>
      <c r="H45" s="17">
        <f>-G13</f>
        <v>-157900</v>
      </c>
      <c r="I45" s="18">
        <f>+G45+H45</f>
        <v>-259006</v>
      </c>
    </row>
    <row r="46" spans="1:9" x14ac:dyDescent="0.2">
      <c r="A46" s="13" t="s">
        <v>46</v>
      </c>
      <c r="B46" s="14"/>
      <c r="C46" s="14"/>
      <c r="D46" s="14"/>
      <c r="E46" s="14"/>
      <c r="G46" s="17">
        <f>-G29</f>
        <v>940.95454301369216</v>
      </c>
      <c r="H46" s="17">
        <v>0</v>
      </c>
      <c r="I46" s="18">
        <f>+G46+H46</f>
        <v>940.95454301369216</v>
      </c>
    </row>
    <row r="47" spans="1:9" ht="15" x14ac:dyDescent="0.35">
      <c r="A47" s="13" t="s">
        <v>72</v>
      </c>
      <c r="B47" s="14"/>
      <c r="C47" s="14"/>
      <c r="D47" s="14"/>
      <c r="E47" s="14"/>
      <c r="G47" s="55">
        <f>-G30</f>
        <v>3000</v>
      </c>
      <c r="H47" s="55">
        <v>0</v>
      </c>
      <c r="I47" s="56">
        <f>+G47+H47</f>
        <v>3000</v>
      </c>
    </row>
    <row r="48" spans="1:9" x14ac:dyDescent="0.2">
      <c r="A48" s="13"/>
      <c r="B48" s="14"/>
      <c r="C48" s="14"/>
      <c r="D48" s="14"/>
      <c r="E48" s="14"/>
      <c r="G48" s="14"/>
      <c r="H48" s="14"/>
      <c r="I48" s="53"/>
    </row>
    <row r="49" spans="1:9" x14ac:dyDescent="0.2">
      <c r="A49" s="20" t="s">
        <v>54</v>
      </c>
      <c r="B49" s="21"/>
      <c r="C49" s="21"/>
      <c r="D49" s="21"/>
      <c r="E49" s="21"/>
      <c r="F49" s="21"/>
      <c r="G49" s="24">
        <f>SUM(G43:G47)</f>
        <v>6070.9439390602483</v>
      </c>
      <c r="H49" s="24">
        <f>SUM(H43:H47)</f>
        <v>1863.0652363698755</v>
      </c>
      <c r="I49" s="25">
        <f>SUM(I43:I47)</f>
        <v>7934.0091754301529</v>
      </c>
    </row>
    <row r="50" spans="1:9" x14ac:dyDescent="0.2">
      <c r="A50" s="14"/>
      <c r="B50" s="14"/>
      <c r="C50" s="14"/>
      <c r="D50" s="14"/>
      <c r="E50" s="14"/>
      <c r="F50" s="17"/>
      <c r="G50" s="17"/>
      <c r="H50" s="17"/>
    </row>
    <row r="52" spans="1:9" x14ac:dyDescent="0.2">
      <c r="A52" s="64" t="s">
        <v>70</v>
      </c>
      <c r="B52" s="14"/>
      <c r="C52" s="14"/>
      <c r="D52" s="14"/>
      <c r="E52" s="14"/>
      <c r="F52" s="14"/>
      <c r="G52" s="14"/>
    </row>
    <row r="53" spans="1:9" x14ac:dyDescent="0.2">
      <c r="A53" s="66" t="s">
        <v>69</v>
      </c>
      <c r="B53" s="14"/>
      <c r="C53" s="14"/>
      <c r="D53" s="14"/>
      <c r="E53" s="14"/>
      <c r="F53" s="17"/>
      <c r="G53" s="14"/>
    </row>
    <row r="54" spans="1:9" x14ac:dyDescent="0.2">
      <c r="A54" s="64" t="s">
        <v>55</v>
      </c>
      <c r="B54" s="14"/>
      <c r="C54" s="14"/>
      <c r="D54" s="14"/>
      <c r="E54" s="14"/>
      <c r="F54" s="17"/>
      <c r="G54" s="14"/>
    </row>
    <row r="55" spans="1:9" ht="15" x14ac:dyDescent="0.35">
      <c r="A55" s="14"/>
      <c r="B55" s="14"/>
      <c r="C55" s="14"/>
      <c r="D55" s="14"/>
      <c r="E55" s="14"/>
      <c r="F55" s="55"/>
      <c r="G55" s="14"/>
    </row>
    <row r="56" spans="1:9" x14ac:dyDescent="0.2">
      <c r="A56" s="14"/>
      <c r="B56" s="14"/>
      <c r="C56" s="14"/>
      <c r="D56" s="14"/>
      <c r="E56" s="14"/>
      <c r="F56" s="14"/>
      <c r="G56" s="14"/>
    </row>
    <row r="57" spans="1:9" x14ac:dyDescent="0.2">
      <c r="A57" s="14"/>
      <c r="B57" s="14"/>
      <c r="C57" s="14"/>
      <c r="D57" s="14"/>
      <c r="E57" s="14"/>
      <c r="F57" s="17"/>
      <c r="G57" s="14"/>
    </row>
    <row r="58" spans="1:9" x14ac:dyDescent="0.2">
      <c r="A58" s="14"/>
      <c r="B58" s="14"/>
      <c r="C58" s="14"/>
      <c r="D58" s="14"/>
      <c r="E58" s="14"/>
      <c r="F58" s="14"/>
      <c r="G58" s="14"/>
    </row>
    <row r="59" spans="1:9" x14ac:dyDescent="0.2">
      <c r="A59" s="14"/>
      <c r="B59" s="14"/>
      <c r="C59" s="14"/>
      <c r="D59" s="14"/>
      <c r="E59" s="14"/>
      <c r="F59" s="62"/>
      <c r="G59" s="14"/>
    </row>
    <row r="60" spans="1:9" x14ac:dyDescent="0.2">
      <c r="A60" s="14"/>
      <c r="B60" s="14"/>
      <c r="C60" s="14"/>
      <c r="D60" s="14"/>
      <c r="E60" s="14"/>
      <c r="F60" s="62"/>
      <c r="G60" s="14"/>
    </row>
    <row r="61" spans="1:9" ht="15" x14ac:dyDescent="0.35">
      <c r="A61" s="14"/>
      <c r="B61" s="14"/>
      <c r="C61" s="14"/>
      <c r="D61" s="14"/>
      <c r="E61" s="14"/>
      <c r="F61" s="55"/>
      <c r="G61" s="14"/>
    </row>
    <row r="62" spans="1:9" x14ac:dyDescent="0.2">
      <c r="A62" s="14"/>
      <c r="B62" s="14"/>
      <c r="C62" s="14"/>
      <c r="D62" s="14"/>
      <c r="E62" s="14"/>
      <c r="F62" s="14"/>
      <c r="G62" s="14"/>
    </row>
    <row r="63" spans="1:9" x14ac:dyDescent="0.2">
      <c r="A63" s="14"/>
      <c r="B63" s="14"/>
      <c r="C63" s="14"/>
      <c r="D63" s="14"/>
      <c r="E63" s="14"/>
      <c r="F63" s="17"/>
      <c r="G63" s="14"/>
    </row>
    <row r="64" spans="1:9" x14ac:dyDescent="0.2">
      <c r="A64" s="14"/>
      <c r="B64" s="14"/>
      <c r="C64" s="14"/>
      <c r="D64" s="14"/>
      <c r="E64" s="14"/>
      <c r="F64" s="14"/>
      <c r="G64" s="14"/>
    </row>
  </sheetData>
  <pageMargins left="0.75" right="0.75" top="1" bottom="1" header="0.5" footer="0.5"/>
  <pageSetup scale="66"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3"/>
  <sheetViews>
    <sheetView workbookViewId="0">
      <selection activeCell="F5" sqref="F5:F32"/>
    </sheetView>
  </sheetViews>
  <sheetFormatPr defaultRowHeight="12.75" x14ac:dyDescent="0.2"/>
  <cols>
    <col min="1" max="1" width="12.5703125" customWidth="1"/>
    <col min="2" max="2" width="12.140625" style="65" customWidth="1"/>
    <col min="3" max="3" width="12.5703125" customWidth="1"/>
    <col min="4" max="5" width="12.28515625" customWidth="1"/>
    <col min="6" max="6" width="12.5703125" customWidth="1"/>
    <col min="7" max="7" width="5.7109375" customWidth="1"/>
    <col min="8" max="9" width="12.140625" customWidth="1"/>
    <col min="10" max="10" width="3.85546875" customWidth="1"/>
    <col min="11" max="11" width="12.5703125" customWidth="1"/>
  </cols>
  <sheetData>
    <row r="2" spans="1:6" x14ac:dyDescent="0.2">
      <c r="A2" s="28" t="s">
        <v>88</v>
      </c>
    </row>
    <row r="3" spans="1:6" x14ac:dyDescent="0.2">
      <c r="A3" s="85" t="s">
        <v>49</v>
      </c>
      <c r="B3" s="51" t="s">
        <v>48</v>
      </c>
      <c r="C3" s="51" t="s">
        <v>78</v>
      </c>
      <c r="D3" s="51" t="s">
        <v>76</v>
      </c>
      <c r="E3" s="51" t="s">
        <v>75</v>
      </c>
      <c r="F3" s="52" t="s">
        <v>49</v>
      </c>
    </row>
    <row r="4" spans="1:6" x14ac:dyDescent="0.2">
      <c r="A4" s="13"/>
      <c r="B4" s="67"/>
      <c r="C4" s="14"/>
      <c r="D4" s="14"/>
      <c r="E4" s="14"/>
      <c r="F4" s="53"/>
    </row>
    <row r="5" spans="1:6" x14ac:dyDescent="0.2">
      <c r="A5" s="84">
        <v>1</v>
      </c>
      <c r="B5" s="68">
        <v>37026</v>
      </c>
      <c r="C5" s="82">
        <f>+D5/$D$34</f>
        <v>6.9457785651805054E-3</v>
      </c>
      <c r="D5" s="16">
        <v>2414352.6292567868</v>
      </c>
      <c r="E5" s="16">
        <f>+F5-D5</f>
        <v>11860856.236637834</v>
      </c>
      <c r="F5" s="54">
        <v>14275208.865894621</v>
      </c>
    </row>
    <row r="6" spans="1:6" x14ac:dyDescent="0.2">
      <c r="A6" s="84">
        <f>+A5+1</f>
        <v>2</v>
      </c>
      <c r="B6" s="68">
        <v>37118</v>
      </c>
      <c r="C6" s="82">
        <f t="shared" ref="C6:C31" si="0">+D6/$D$34</f>
        <v>2.0936020065062434E-2</v>
      </c>
      <c r="D6" s="16">
        <v>7277360.5746158324</v>
      </c>
      <c r="E6" s="16">
        <f t="shared" ref="E6:E32" si="1">+F6-D6</f>
        <v>7176288.4021024704</v>
      </c>
      <c r="F6" s="54">
        <v>14453648.976718303</v>
      </c>
    </row>
    <row r="7" spans="1:6" x14ac:dyDescent="0.2">
      <c r="A7" s="84">
        <f t="shared" ref="A7:A31" si="2">+A6+1</f>
        <v>3</v>
      </c>
      <c r="B7" s="68">
        <v>37210</v>
      </c>
      <c r="C7" s="82">
        <f t="shared" si="0"/>
        <v>2.1891038428755762E-2</v>
      </c>
      <c r="D7" s="16">
        <v>7609324.9578356389</v>
      </c>
      <c r="E7" s="16">
        <f t="shared" si="1"/>
        <v>7024994.6310916413</v>
      </c>
      <c r="F7" s="54">
        <v>14634319.58892728</v>
      </c>
    </row>
    <row r="8" spans="1:6" x14ac:dyDescent="0.2">
      <c r="A8" s="84">
        <f t="shared" si="2"/>
        <v>4</v>
      </c>
      <c r="B8" s="68">
        <v>37302</v>
      </c>
      <c r="C8" s="82">
        <f t="shared" si="0"/>
        <v>2.2872408362113822E-2</v>
      </c>
      <c r="D8" s="16">
        <v>7950449.1466709068</v>
      </c>
      <c r="E8" s="16">
        <f t="shared" si="1"/>
        <v>6866799.4371179631</v>
      </c>
      <c r="F8" s="54">
        <v>14817248.58378887</v>
      </c>
    </row>
    <row r="9" spans="1:6" x14ac:dyDescent="0.2">
      <c r="A9" s="84">
        <f t="shared" si="2"/>
        <v>5</v>
      </c>
      <c r="B9" s="68">
        <v>37391</v>
      </c>
      <c r="C9" s="82">
        <f t="shared" si="0"/>
        <v>2.45094343441189E-2</v>
      </c>
      <c r="D9" s="16">
        <v>8519479.3780158814</v>
      </c>
      <c r="E9" s="16">
        <f t="shared" si="1"/>
        <v>6482984.8130703494</v>
      </c>
      <c r="F9" s="54">
        <v>15002464.191086231</v>
      </c>
    </row>
    <row r="10" spans="1:6" x14ac:dyDescent="0.2">
      <c r="A10" s="84">
        <f t="shared" si="2"/>
        <v>6</v>
      </c>
      <c r="B10" s="68">
        <v>37483</v>
      </c>
      <c r="C10" s="82">
        <f t="shared" si="0"/>
        <v>2.4929803185321824E-2</v>
      </c>
      <c r="D10" s="16">
        <v>8665599.5872180201</v>
      </c>
      <c r="E10" s="16">
        <f t="shared" si="1"/>
        <v>6524395.4062567875</v>
      </c>
      <c r="F10" s="54">
        <v>15189994.993474808</v>
      </c>
    </row>
    <row r="11" spans="1:6" x14ac:dyDescent="0.2">
      <c r="A11" s="84">
        <f t="shared" si="2"/>
        <v>7</v>
      </c>
      <c r="B11" s="68">
        <v>37575</v>
      </c>
      <c r="C11" s="82">
        <f t="shared" si="0"/>
        <v>2.5994330544476196E-2</v>
      </c>
      <c r="D11" s="16">
        <v>9035629.297260087</v>
      </c>
      <c r="E11" s="16">
        <f t="shared" si="1"/>
        <v>6344240.6336331554</v>
      </c>
      <c r="F11" s="54">
        <v>15379869.930893242</v>
      </c>
    </row>
    <row r="12" spans="1:6" x14ac:dyDescent="0.2">
      <c r="A12" s="84">
        <f t="shared" si="2"/>
        <v>8</v>
      </c>
      <c r="B12" s="68">
        <v>37667</v>
      </c>
      <c r="C12" s="82">
        <f t="shared" si="0"/>
        <v>2.7087817122442851E-2</v>
      </c>
      <c r="D12" s="16">
        <v>9415725.2317613028</v>
      </c>
      <c r="E12" s="16">
        <f t="shared" si="1"/>
        <v>6156393.0732681043</v>
      </c>
      <c r="F12" s="54">
        <v>15572118.305029407</v>
      </c>
    </row>
    <row r="13" spans="1:6" x14ac:dyDescent="0.2">
      <c r="A13" s="84">
        <f t="shared" si="2"/>
        <v>9</v>
      </c>
      <c r="B13" s="68">
        <v>37756</v>
      </c>
      <c r="C13" s="82">
        <f t="shared" si="0"/>
        <v>2.8770124108648338E-2</v>
      </c>
      <c r="D13" s="16">
        <v>10000495.14016634</v>
      </c>
      <c r="E13" s="16">
        <f t="shared" si="1"/>
        <v>5766274.6436759345</v>
      </c>
      <c r="F13" s="54">
        <v>15766769.783842275</v>
      </c>
    </row>
    <row r="14" spans="1:6" x14ac:dyDescent="0.2">
      <c r="A14" s="84">
        <f t="shared" si="2"/>
        <v>10</v>
      </c>
      <c r="B14" s="68">
        <v>37848</v>
      </c>
      <c r="C14" s="82">
        <f t="shared" si="0"/>
        <v>2.9376057930642609E-2</v>
      </c>
      <c r="D14" s="16">
        <v>10211117.736691553</v>
      </c>
      <c r="E14" s="16">
        <f t="shared" si="1"/>
        <v>5752736.6694487501</v>
      </c>
      <c r="F14" s="54">
        <v>15963854.406140303</v>
      </c>
    </row>
    <row r="15" spans="1:6" x14ac:dyDescent="0.2">
      <c r="A15" s="84">
        <f t="shared" si="2"/>
        <v>11</v>
      </c>
      <c r="B15" s="68">
        <v>37940</v>
      </c>
      <c r="C15" s="82">
        <f t="shared" si="0"/>
        <v>3.0560850025989381E-2</v>
      </c>
      <c r="D15" s="16">
        <v>10622951.469034098</v>
      </c>
      <c r="E15" s="16">
        <f t="shared" si="1"/>
        <v>5540451.1171829589</v>
      </c>
      <c r="F15" s="54">
        <v>16163402.586217057</v>
      </c>
    </row>
    <row r="16" spans="1:6" x14ac:dyDescent="0.2">
      <c r="A16" s="84">
        <f t="shared" si="2"/>
        <v>12</v>
      </c>
      <c r="B16" s="68">
        <v>38032</v>
      </c>
      <c r="C16" s="82">
        <f t="shared" si="0"/>
        <v>3.1777449460050629E-2</v>
      </c>
      <c r="D16" s="16">
        <v>11045841.432313796</v>
      </c>
      <c r="E16" s="16">
        <f t="shared" si="1"/>
        <v>5319603.6862309724</v>
      </c>
      <c r="F16" s="54">
        <v>16365445.118544769</v>
      </c>
    </row>
    <row r="17" spans="1:6" x14ac:dyDescent="0.2">
      <c r="A17" s="84">
        <f t="shared" si="2"/>
        <v>13</v>
      </c>
      <c r="B17" s="68">
        <v>38122</v>
      </c>
      <c r="C17" s="82">
        <f t="shared" si="0"/>
        <v>3.3344936892210596E-2</v>
      </c>
      <c r="D17" s="16">
        <v>11590700.063732609</v>
      </c>
      <c r="E17" s="16">
        <f t="shared" si="1"/>
        <v>4979313.1187939681</v>
      </c>
      <c r="F17" s="54">
        <v>16570013.182526577</v>
      </c>
    </row>
    <row r="18" spans="1:6" x14ac:dyDescent="0.2">
      <c r="A18" s="84">
        <f t="shared" si="2"/>
        <v>14</v>
      </c>
      <c r="B18" s="68">
        <v>38214</v>
      </c>
      <c r="C18" s="82">
        <f t="shared" si="0"/>
        <v>3.431570889038997E-2</v>
      </c>
      <c r="D18" s="16">
        <v>11928140.410299767</v>
      </c>
      <c r="E18" s="16">
        <f t="shared" si="1"/>
        <v>4848997.9370083921</v>
      </c>
      <c r="F18" s="54">
        <v>16777138.347308159</v>
      </c>
    </row>
    <row r="19" spans="1:6" x14ac:dyDescent="0.2">
      <c r="A19" s="84">
        <f t="shared" si="2"/>
        <v>15</v>
      </c>
      <c r="B19" s="68">
        <v>38306</v>
      </c>
      <c r="C19" s="82">
        <f t="shared" si="0"/>
        <v>3.5632440852659319E-2</v>
      </c>
      <c r="D19" s="16">
        <v>12385836.4403846</v>
      </c>
      <c r="E19" s="16">
        <f t="shared" si="1"/>
        <v>4601016.0862649083</v>
      </c>
      <c r="F19" s="54">
        <v>16986852.526649509</v>
      </c>
    </row>
    <row r="20" spans="1:6" x14ac:dyDescent="0.2">
      <c r="A20" s="84">
        <f t="shared" si="2"/>
        <v>16</v>
      </c>
      <c r="B20" s="68">
        <v>38398</v>
      </c>
      <c r="C20" s="82">
        <f t="shared" si="0"/>
        <v>3.6984088859215704E-2</v>
      </c>
      <c r="D20" s="16">
        <v>12855669.287463607</v>
      </c>
      <c r="E20" s="16">
        <f t="shared" si="1"/>
        <v>4343518.8957690205</v>
      </c>
      <c r="F20" s="54">
        <v>17199188.183232628</v>
      </c>
    </row>
    <row r="21" spans="1:6" x14ac:dyDescent="0.2">
      <c r="A21" s="84">
        <f t="shared" si="2"/>
        <v>17</v>
      </c>
      <c r="B21" s="68">
        <v>38487</v>
      </c>
      <c r="C21" s="82">
        <f t="shared" si="0"/>
        <v>3.8753870304176367E-2</v>
      </c>
      <c r="D21" s="16">
        <v>13470845.317731947</v>
      </c>
      <c r="E21" s="16">
        <f t="shared" si="1"/>
        <v>3943332.7177910879</v>
      </c>
      <c r="F21" s="54">
        <v>17414178.035523035</v>
      </c>
    </row>
    <row r="22" spans="1:6" x14ac:dyDescent="0.2">
      <c r="A22" s="84">
        <f t="shared" si="2"/>
        <v>18</v>
      </c>
      <c r="B22" s="68">
        <v>38579</v>
      </c>
      <c r="C22" s="82">
        <f t="shared" si="0"/>
        <v>3.9803381356965407E-2</v>
      </c>
      <c r="D22" s="16">
        <v>13835655.359681422</v>
      </c>
      <c r="E22" s="16">
        <f t="shared" si="1"/>
        <v>3796199.9012856502</v>
      </c>
      <c r="F22" s="54">
        <v>17631855.260967072</v>
      </c>
    </row>
    <row r="23" spans="1:6" x14ac:dyDescent="0.2">
      <c r="A23" s="84">
        <f t="shared" si="2"/>
        <v>19</v>
      </c>
      <c r="B23" s="68">
        <v>38671</v>
      </c>
      <c r="C23" s="82">
        <f t="shared" si="0"/>
        <v>4.1264936614468554E-2</v>
      </c>
      <c r="D23" s="16">
        <v>14343691.967189526</v>
      </c>
      <c r="E23" s="16">
        <f t="shared" si="1"/>
        <v>3508561.4845396336</v>
      </c>
      <c r="F23" s="54">
        <v>17852253.45172916</v>
      </c>
    </row>
    <row r="24" spans="1:6" x14ac:dyDescent="0.2">
      <c r="A24" s="84">
        <f t="shared" si="2"/>
        <v>20</v>
      </c>
      <c r="B24" s="68">
        <v>38763</v>
      </c>
      <c r="C24" s="82">
        <f t="shared" si="0"/>
        <v>4.2764802804265215E-2</v>
      </c>
      <c r="D24" s="16">
        <v>14865045.454762854</v>
      </c>
      <c r="E24" s="16">
        <f t="shared" si="1"/>
        <v>3210361.1651129201</v>
      </c>
      <c r="F24" s="54">
        <v>18075406.619875774</v>
      </c>
    </row>
    <row r="25" spans="1:6" x14ac:dyDescent="0.2">
      <c r="A25" s="84">
        <f t="shared" si="2"/>
        <v>21</v>
      </c>
      <c r="B25" s="68">
        <v>38852</v>
      </c>
      <c r="C25" s="82">
        <f t="shared" si="0"/>
        <v>4.4576051328804364E-2</v>
      </c>
      <c r="D25" s="16">
        <v>15494635.441892672</v>
      </c>
      <c r="E25" s="16">
        <f t="shared" si="1"/>
        <v>2806713.7607315481</v>
      </c>
      <c r="F25" s="54">
        <v>18301349.20262422</v>
      </c>
    </row>
    <row r="26" spans="1:6" x14ac:dyDescent="0.2">
      <c r="A26" s="84">
        <f t="shared" si="2"/>
        <v>22</v>
      </c>
      <c r="B26" s="68">
        <v>38944</v>
      </c>
      <c r="C26" s="82">
        <f t="shared" si="0"/>
        <v>4.5888728446608497E-2</v>
      </c>
      <c r="D26" s="16">
        <v>15950922.008041399</v>
      </c>
      <c r="E26" s="16">
        <f t="shared" si="1"/>
        <v>2579194.0596156251</v>
      </c>
      <c r="F26" s="54">
        <v>18530116.067657024</v>
      </c>
    </row>
    <row r="27" spans="1:6" x14ac:dyDescent="0.2">
      <c r="A27" s="84">
        <f t="shared" si="2"/>
        <v>23</v>
      </c>
      <c r="B27" s="68">
        <v>39036</v>
      </c>
      <c r="C27" s="82">
        <f t="shared" si="0"/>
        <v>4.7509098177526597E-2</v>
      </c>
      <c r="D27" s="16">
        <v>16514162.52650854</v>
      </c>
      <c r="E27" s="16">
        <f t="shared" si="1"/>
        <v>2247579.9919941947</v>
      </c>
      <c r="F27" s="54">
        <v>18761742.518502735</v>
      </c>
    </row>
    <row r="28" spans="1:6" x14ac:dyDescent="0.2">
      <c r="A28" s="84">
        <f t="shared" si="2"/>
        <v>24</v>
      </c>
      <c r="B28" s="68">
        <v>39128</v>
      </c>
      <c r="C28" s="82">
        <f t="shared" si="0"/>
        <v>4.9171484315927702E-2</v>
      </c>
      <c r="D28" s="16">
        <v>17092007.948216774</v>
      </c>
      <c r="E28" s="16">
        <f t="shared" si="1"/>
        <v>1904256.3517672457</v>
      </c>
      <c r="F28" s="54">
        <v>18996264.299984019</v>
      </c>
    </row>
    <row r="29" spans="1:6" x14ac:dyDescent="0.2">
      <c r="A29" s="84">
        <f t="shared" si="2"/>
        <v>25</v>
      </c>
      <c r="B29" s="68">
        <v>39217</v>
      </c>
      <c r="C29" s="82">
        <f t="shared" si="0"/>
        <v>5.1022170139352598E-2</v>
      </c>
      <c r="D29" s="16">
        <v>17735306.340439279</v>
      </c>
      <c r="E29" s="16">
        <f t="shared" si="1"/>
        <v>1498411.2632945403</v>
      </c>
      <c r="F29" s="54">
        <v>19233717.603733819</v>
      </c>
    </row>
    <row r="30" spans="1:6" x14ac:dyDescent="0.2">
      <c r="A30" s="84">
        <f t="shared" si="2"/>
        <v>26</v>
      </c>
      <c r="B30" s="68">
        <v>39309</v>
      </c>
      <c r="C30" s="82">
        <f t="shared" si="0"/>
        <v>5.2629258794556391E-2</v>
      </c>
      <c r="D30" s="16">
        <v>18293930.356988128</v>
      </c>
      <c r="E30" s="16">
        <f t="shared" si="1"/>
        <v>1180208.7167923637</v>
      </c>
      <c r="F30" s="54">
        <v>19474139.073780492</v>
      </c>
    </row>
    <row r="31" spans="1:6" x14ac:dyDescent="0.2">
      <c r="A31" s="84">
        <f t="shared" si="2"/>
        <v>27</v>
      </c>
      <c r="B31" s="68">
        <v>39401</v>
      </c>
      <c r="C31" s="82">
        <f t="shared" si="0"/>
        <v>5.4423709677485686E-2</v>
      </c>
      <c r="D31" s="16">
        <v>18917681.483894363</v>
      </c>
      <c r="E31" s="16">
        <f t="shared" si="1"/>
        <v>799884.32830838487</v>
      </c>
      <c r="F31" s="54">
        <v>19717565.812202748</v>
      </c>
    </row>
    <row r="32" spans="1:6" x14ac:dyDescent="0.2">
      <c r="A32" s="84">
        <f>+A31+1</f>
        <v>28</v>
      </c>
      <c r="B32" s="68">
        <v>39493</v>
      </c>
      <c r="C32" s="82">
        <f>+D32/$D$34</f>
        <v>5.6264220402583741E-2</v>
      </c>
      <c r="D32" s="16">
        <v>19557443.011938456</v>
      </c>
      <c r="E32" s="16">
        <f t="shared" si="1"/>
        <v>406592.37291682512</v>
      </c>
      <c r="F32" s="54">
        <v>19964035.384855282</v>
      </c>
    </row>
    <row r="33" spans="1:6" x14ac:dyDescent="0.2">
      <c r="A33" s="84"/>
      <c r="B33" s="67"/>
      <c r="C33" s="14"/>
      <c r="D33" s="14"/>
      <c r="E33" s="14"/>
      <c r="F33" s="53"/>
    </row>
    <row r="34" spans="1:6" x14ac:dyDescent="0.2">
      <c r="A34" s="74" t="s">
        <v>79</v>
      </c>
      <c r="B34" s="75"/>
      <c r="C34" s="83">
        <f>SUM(C5:C32)</f>
        <v>0.99999999999999989</v>
      </c>
      <c r="D34" s="24">
        <f>SUM(D5:D32)</f>
        <v>347600000.0000062</v>
      </c>
      <c r="E34" s="24">
        <f>SUM(E5:E32)</f>
        <v>127470160.90170321</v>
      </c>
      <c r="F34" s="25">
        <f>SUM(F5:F32)</f>
        <v>475070160.90170944</v>
      </c>
    </row>
    <row r="37" spans="1:6" x14ac:dyDescent="0.2">
      <c r="B37" s="28" t="s">
        <v>29</v>
      </c>
      <c r="C37" s="65"/>
    </row>
    <row r="38" spans="1:6" x14ac:dyDescent="0.2">
      <c r="B38" s="70" t="s">
        <v>58</v>
      </c>
      <c r="C38" s="71"/>
      <c r="D38" s="72"/>
      <c r="E38" s="14"/>
    </row>
    <row r="39" spans="1:6" x14ac:dyDescent="0.2">
      <c r="B39" s="73" t="s">
        <v>59</v>
      </c>
      <c r="C39" s="69" t="s">
        <v>73</v>
      </c>
      <c r="D39" s="53"/>
      <c r="E39" s="14"/>
    </row>
    <row r="40" spans="1:6" x14ac:dyDescent="0.2">
      <c r="B40" s="76" t="s">
        <v>60</v>
      </c>
      <c r="C40" s="68">
        <v>37256</v>
      </c>
      <c r="D40" s="54">
        <v>26103000</v>
      </c>
      <c r="E40" s="16"/>
    </row>
    <row r="41" spans="1:6" x14ac:dyDescent="0.2">
      <c r="B41" s="76">
        <f>+C40</f>
        <v>37256</v>
      </c>
      <c r="C41" s="68">
        <v>37621</v>
      </c>
      <c r="D41" s="54">
        <v>29235360</v>
      </c>
      <c r="E41" s="16"/>
    </row>
    <row r="42" spans="1:6" x14ac:dyDescent="0.2">
      <c r="B42" s="76">
        <f>+C41</f>
        <v>37621</v>
      </c>
      <c r="C42" s="68">
        <v>37986</v>
      </c>
      <c r="D42" s="54">
        <v>32743603.20000001</v>
      </c>
      <c r="E42" s="16"/>
    </row>
    <row r="43" spans="1:6" x14ac:dyDescent="0.2">
      <c r="B43" s="99" t="s">
        <v>57</v>
      </c>
      <c r="C43" s="100"/>
      <c r="D43" s="46">
        <v>36672835.584000006</v>
      </c>
      <c r="E43" s="16"/>
    </row>
  </sheetData>
  <mergeCells count="1">
    <mergeCell ref="B43:C43"/>
  </mergeCells>
  <printOptions horizontalCentered="1"/>
  <pageMargins left="0.75" right="0.75" top="1" bottom="1" header="0.5" footer="0.5"/>
  <pageSetup orientation="portrait" r:id="rId1"/>
  <headerFooter alignWithMargins="0">
    <oddHeader>&amp;A</oddHeader>
    <oddFooter>&amp;R11-02-00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64"/>
  <sheetViews>
    <sheetView topLeftCell="A33" zoomScaleNormal="100" workbookViewId="0"/>
  </sheetViews>
  <sheetFormatPr defaultRowHeight="12.75" x14ac:dyDescent="0.2"/>
  <cols>
    <col min="1" max="1" width="4.7109375" customWidth="1"/>
    <col min="2" max="2" width="4.85546875" customWidth="1"/>
    <col min="3" max="3" width="11.140625" customWidth="1"/>
    <col min="4" max="4" width="12" customWidth="1"/>
    <col min="5" max="5" width="11.28515625" bestFit="1" customWidth="1"/>
    <col min="6" max="6" width="10.140625" bestFit="1" customWidth="1"/>
    <col min="7" max="7" width="10.85546875" customWidth="1"/>
    <col min="8" max="8" width="11" customWidth="1"/>
    <col min="9" max="9" width="10.140625" bestFit="1" customWidth="1"/>
    <col min="10" max="10" width="10.28515625" bestFit="1" customWidth="1"/>
    <col min="11" max="18" width="10.140625" bestFit="1" customWidth="1"/>
    <col min="48" max="48" width="10.5703125" customWidth="1"/>
    <col min="52" max="52" width="9.85546875" customWidth="1"/>
    <col min="53" max="53" width="10" customWidth="1"/>
  </cols>
  <sheetData>
    <row r="1" spans="1:53" ht="30" x14ac:dyDescent="0.4">
      <c r="A1" s="26" t="s">
        <v>6</v>
      </c>
      <c r="R1" s="27">
        <f ca="1">TODAY()</f>
        <v>36851</v>
      </c>
    </row>
    <row r="4" spans="1:53" x14ac:dyDescent="0.2">
      <c r="A4" s="28" t="s">
        <v>36</v>
      </c>
    </row>
    <row r="6" spans="1:53" x14ac:dyDescent="0.2">
      <c r="A6" t="s">
        <v>0</v>
      </c>
      <c r="E6" s="2">
        <v>36891</v>
      </c>
      <c r="F6" s="2">
        <v>37210</v>
      </c>
      <c r="G6" s="2">
        <v>37302</v>
      </c>
      <c r="H6" s="2">
        <v>37391</v>
      </c>
      <c r="I6" s="2">
        <v>37483</v>
      </c>
      <c r="J6" s="2">
        <v>37575</v>
      </c>
      <c r="K6" s="2">
        <v>37667</v>
      </c>
      <c r="L6" s="2">
        <v>37756</v>
      </c>
      <c r="M6" s="2">
        <v>37848</v>
      </c>
      <c r="N6" s="2">
        <v>37940</v>
      </c>
      <c r="O6" s="2">
        <v>38032</v>
      </c>
      <c r="P6" s="2">
        <v>38122</v>
      </c>
      <c r="Q6" s="2">
        <v>38214</v>
      </c>
      <c r="R6" s="2">
        <v>38306</v>
      </c>
      <c r="S6" s="2">
        <v>38398</v>
      </c>
      <c r="T6" s="2">
        <v>38487</v>
      </c>
      <c r="U6" s="2">
        <v>38579</v>
      </c>
      <c r="V6" s="2">
        <v>38671</v>
      </c>
      <c r="W6" s="2">
        <v>38763</v>
      </c>
      <c r="X6" s="2">
        <v>38852</v>
      </c>
      <c r="Y6" s="2">
        <v>38944</v>
      </c>
      <c r="Z6" s="2">
        <v>39036</v>
      </c>
      <c r="AA6" s="2">
        <v>39128</v>
      </c>
      <c r="AB6" s="2">
        <v>39217</v>
      </c>
      <c r="AC6" s="2">
        <v>39309</v>
      </c>
      <c r="AD6" s="2">
        <v>39401</v>
      </c>
      <c r="AE6" s="2">
        <v>39493</v>
      </c>
      <c r="AF6" s="2">
        <v>39583</v>
      </c>
      <c r="AG6" s="2">
        <v>39675</v>
      </c>
      <c r="AH6" s="2">
        <v>39767</v>
      </c>
      <c r="AI6" s="2">
        <v>39859</v>
      </c>
      <c r="AJ6" s="2">
        <v>39948</v>
      </c>
      <c r="AK6" s="2">
        <v>40040</v>
      </c>
      <c r="AL6" s="2">
        <v>40132</v>
      </c>
      <c r="AM6" s="2">
        <v>40224</v>
      </c>
      <c r="AN6" s="2">
        <v>40313</v>
      </c>
      <c r="AO6" s="2">
        <v>40405</v>
      </c>
      <c r="AP6" s="2">
        <v>40497</v>
      </c>
      <c r="AQ6" s="2">
        <v>40589</v>
      </c>
      <c r="AR6" s="2">
        <v>40678</v>
      </c>
      <c r="AS6" s="2">
        <v>40770</v>
      </c>
      <c r="AT6" s="2">
        <v>40862</v>
      </c>
      <c r="AU6" s="2">
        <v>40954</v>
      </c>
      <c r="AV6" s="2">
        <v>41044</v>
      </c>
      <c r="AW6" s="2">
        <v>41136</v>
      </c>
      <c r="AX6" s="2">
        <v>41228</v>
      </c>
      <c r="AY6" s="2">
        <v>41320</v>
      </c>
      <c r="AZ6" s="2">
        <v>41409</v>
      </c>
      <c r="BA6" s="2">
        <v>41501</v>
      </c>
    </row>
    <row r="8" spans="1:53" x14ac:dyDescent="0.2">
      <c r="A8" t="s">
        <v>11</v>
      </c>
      <c r="E8" s="3">
        <v>0</v>
      </c>
      <c r="F8" s="3">
        <v>41927.138642917511</v>
      </c>
      <c r="G8" s="1">
        <f t="shared" ref="G8:P8" si="0">+F8*(1+$E$10/4)</f>
        <v>42451.227875953977</v>
      </c>
      <c r="H8" s="1">
        <f t="shared" si="0"/>
        <v>42981.868224403399</v>
      </c>
      <c r="I8" s="1">
        <f t="shared" si="0"/>
        <v>43519.141577208437</v>
      </c>
      <c r="J8" s="1">
        <f t="shared" si="0"/>
        <v>44063.130846923537</v>
      </c>
      <c r="K8" s="1">
        <f t="shared" si="0"/>
        <v>44613.91998251008</v>
      </c>
      <c r="L8" s="1">
        <f t="shared" si="0"/>
        <v>45171.593982291452</v>
      </c>
      <c r="M8" s="1">
        <f t="shared" si="0"/>
        <v>45736.238907070096</v>
      </c>
      <c r="N8" s="1">
        <f t="shared" si="0"/>
        <v>46307.941893408468</v>
      </c>
      <c r="O8" s="1">
        <f t="shared" si="0"/>
        <v>46886.791167076073</v>
      </c>
      <c r="P8" s="1">
        <f t="shared" si="0"/>
        <v>47472.876056664521</v>
      </c>
      <c r="Q8" s="1">
        <f t="shared" ref="Q8:BA8" si="1">+P8*(1+$E$10/4)</f>
        <v>48066.287007372826</v>
      </c>
      <c r="R8" s="1">
        <f t="shared" si="1"/>
        <v>48667.115594964984</v>
      </c>
      <c r="S8" s="1">
        <f t="shared" si="1"/>
        <v>49275.454539902043</v>
      </c>
      <c r="T8" s="1">
        <f t="shared" si="1"/>
        <v>49891.397721650814</v>
      </c>
      <c r="U8" s="1">
        <f t="shared" si="1"/>
        <v>50515.040193171444</v>
      </c>
      <c r="V8" s="1">
        <f t="shared" si="1"/>
        <v>51146.478195586082</v>
      </c>
      <c r="W8" s="1">
        <f t="shared" si="1"/>
        <v>51785.809173030902</v>
      </c>
      <c r="X8" s="1">
        <f t="shared" si="1"/>
        <v>52433.131787693783</v>
      </c>
      <c r="Y8" s="1">
        <f t="shared" si="1"/>
        <v>53088.545935039954</v>
      </c>
      <c r="Z8" s="1">
        <f t="shared" si="1"/>
        <v>53752.152759227953</v>
      </c>
      <c r="AA8" s="1">
        <f t="shared" si="1"/>
        <v>54424.054668718301</v>
      </c>
      <c r="AB8" s="1">
        <f t="shared" si="1"/>
        <v>55104.355352077277</v>
      </c>
      <c r="AC8" s="1">
        <f t="shared" si="1"/>
        <v>55793.159793978237</v>
      </c>
      <c r="AD8" s="1">
        <f t="shared" si="1"/>
        <v>56490.574291402962</v>
      </c>
      <c r="AE8" s="1">
        <f t="shared" si="1"/>
        <v>57196.706470045494</v>
      </c>
      <c r="AF8" s="1">
        <f t="shared" si="1"/>
        <v>57911.665300921057</v>
      </c>
      <c r="AG8" s="1">
        <f t="shared" si="1"/>
        <v>58635.561117182566</v>
      </c>
      <c r="AH8" s="1">
        <f t="shared" si="1"/>
        <v>59368.505631147345</v>
      </c>
      <c r="AI8" s="1">
        <f t="shared" si="1"/>
        <v>60110.611951536688</v>
      </c>
      <c r="AJ8" s="1">
        <f t="shared" si="1"/>
        <v>60861.994600930891</v>
      </c>
      <c r="AK8" s="1">
        <f t="shared" si="1"/>
        <v>61622.769533442523</v>
      </c>
      <c r="AL8" s="1">
        <f t="shared" si="1"/>
        <v>62393.054152610552</v>
      </c>
      <c r="AM8" s="1">
        <f t="shared" si="1"/>
        <v>63172.967329518178</v>
      </c>
      <c r="AN8" s="1">
        <f t="shared" si="1"/>
        <v>63962.62942113715</v>
      </c>
      <c r="AO8" s="1">
        <f t="shared" si="1"/>
        <v>64762.16228890136</v>
      </c>
      <c r="AP8" s="1">
        <f t="shared" si="1"/>
        <v>65571.689317512617</v>
      </c>
      <c r="AQ8" s="1">
        <f t="shared" si="1"/>
        <v>66391.335433981527</v>
      </c>
      <c r="AR8" s="1">
        <f t="shared" si="1"/>
        <v>67221.227126906291</v>
      </c>
      <c r="AS8" s="1">
        <f t="shared" si="1"/>
        <v>68061.492465992618</v>
      </c>
      <c r="AT8" s="1">
        <f t="shared" si="1"/>
        <v>68912.26112181753</v>
      </c>
      <c r="AU8" s="1">
        <f t="shared" si="1"/>
        <v>69773.664385840253</v>
      </c>
      <c r="AV8" s="1">
        <f t="shared" si="1"/>
        <v>70645.83519066326</v>
      </c>
      <c r="AW8" s="1">
        <f t="shared" si="1"/>
        <v>71528.908130546552</v>
      </c>
      <c r="AX8" s="1">
        <f t="shared" si="1"/>
        <v>72423.019482178381</v>
      </c>
      <c r="AY8" s="1">
        <f t="shared" si="1"/>
        <v>73328.307225705605</v>
      </c>
      <c r="AZ8" s="1">
        <f t="shared" si="1"/>
        <v>74244.911066026922</v>
      </c>
      <c r="BA8" s="1">
        <f t="shared" si="1"/>
        <v>75172.972454352261</v>
      </c>
    </row>
    <row r="9" spans="1:53" x14ac:dyDescent="0.2"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53" x14ac:dyDescent="0.2">
      <c r="B10" t="s">
        <v>1</v>
      </c>
      <c r="E10" s="4">
        <v>0.05</v>
      </c>
    </row>
    <row r="11" spans="1:53" x14ac:dyDescent="0.2">
      <c r="G11" s="36">
        <v>36794</v>
      </c>
    </row>
    <row r="12" spans="1:53" x14ac:dyDescent="0.2">
      <c r="B12" t="s">
        <v>2</v>
      </c>
      <c r="D12" s="40">
        <f>+Summary!G5</f>
        <v>8.5000000000000006E-2</v>
      </c>
      <c r="E12" s="1">
        <f>XNPV($D$12,E8:Q8,E$6:Q$6)</f>
        <v>448594.06952375633</v>
      </c>
      <c r="G12" s="37">
        <v>162292</v>
      </c>
      <c r="J12" s="5"/>
    </row>
    <row r="13" spans="1:53" x14ac:dyDescent="0.2">
      <c r="D13" s="4"/>
      <c r="E13" s="1">
        <v>377805</v>
      </c>
      <c r="G13" s="37">
        <v>153637</v>
      </c>
      <c r="J13" s="5"/>
    </row>
    <row r="15" spans="1:53" x14ac:dyDescent="0.2">
      <c r="A15" t="s">
        <v>7</v>
      </c>
      <c r="E15" s="5">
        <v>0</v>
      </c>
      <c r="F15" s="5">
        <v>0</v>
      </c>
      <c r="G15" s="5">
        <v>0</v>
      </c>
      <c r="H15" s="5">
        <v>0</v>
      </c>
    </row>
    <row r="17" spans="1:18" x14ac:dyDescent="0.2">
      <c r="B17" t="s">
        <v>2</v>
      </c>
      <c r="D17" s="6">
        <f>+D12</f>
        <v>8.5000000000000006E-2</v>
      </c>
      <c r="E17" s="1">
        <f>XNPV($D$17,E$15:$H15,E$6:$H6)</f>
        <v>0</v>
      </c>
      <c r="G17" s="37">
        <v>14685</v>
      </c>
      <c r="J17" s="1"/>
    </row>
    <row r="18" spans="1:18" x14ac:dyDescent="0.2">
      <c r="D18" s="6"/>
      <c r="E18" s="1"/>
      <c r="G18" s="37">
        <v>14441</v>
      </c>
      <c r="J18" s="1"/>
    </row>
    <row r="19" spans="1:18" x14ac:dyDescent="0.2">
      <c r="C19" s="6"/>
      <c r="D19" s="1"/>
      <c r="E19" s="5"/>
      <c r="F19" s="5"/>
      <c r="G19" s="5"/>
      <c r="H19" s="5"/>
    </row>
    <row r="20" spans="1:18" x14ac:dyDescent="0.2">
      <c r="A20" t="s">
        <v>8</v>
      </c>
      <c r="B20" s="6"/>
      <c r="D20" s="1"/>
      <c r="E20" s="2">
        <f>+Summary!G6</f>
        <v>36875</v>
      </c>
      <c r="F20" s="2">
        <v>37256</v>
      </c>
      <c r="G20" s="2">
        <v>37621</v>
      </c>
      <c r="H20" s="2">
        <v>37986</v>
      </c>
      <c r="I20" s="2">
        <v>38352</v>
      </c>
      <c r="J20" s="2">
        <v>38717</v>
      </c>
      <c r="K20" s="2">
        <v>39082</v>
      </c>
      <c r="L20" s="2">
        <v>39447</v>
      </c>
      <c r="M20" s="2">
        <v>39813</v>
      </c>
      <c r="N20" s="2">
        <v>40178</v>
      </c>
      <c r="O20" s="2">
        <v>40543</v>
      </c>
      <c r="P20" s="2">
        <v>40908</v>
      </c>
      <c r="Q20" s="2">
        <f>+Q6</f>
        <v>38214</v>
      </c>
      <c r="R20" s="30">
        <v>41639</v>
      </c>
    </row>
    <row r="21" spans="1:18" x14ac:dyDescent="0.2">
      <c r="B21" s="6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0"/>
    </row>
    <row r="22" spans="1:18" x14ac:dyDescent="0.2">
      <c r="A22" t="s">
        <v>14</v>
      </c>
      <c r="B22" s="6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0"/>
    </row>
    <row r="23" spans="1:18" x14ac:dyDescent="0.2">
      <c r="B23" s="6" t="s">
        <v>15</v>
      </c>
      <c r="D23" s="1"/>
      <c r="E23" s="2"/>
      <c r="F23" s="1">
        <v>678</v>
      </c>
      <c r="G23" s="1">
        <v>678</v>
      </c>
      <c r="H23" s="1">
        <v>678</v>
      </c>
      <c r="I23" s="1">
        <v>678</v>
      </c>
      <c r="J23" s="1">
        <v>678</v>
      </c>
      <c r="K23" s="1">
        <v>678</v>
      </c>
      <c r="L23" s="1">
        <v>678</v>
      </c>
      <c r="M23" s="1">
        <v>678</v>
      </c>
      <c r="N23" s="1">
        <v>678</v>
      </c>
      <c r="O23" s="1">
        <v>678</v>
      </c>
      <c r="P23" s="1">
        <v>678</v>
      </c>
      <c r="Q23" s="1">
        <v>678</v>
      </c>
      <c r="R23" s="30"/>
    </row>
    <row r="24" spans="1:18" x14ac:dyDescent="0.2">
      <c r="B24" s="6" t="s">
        <v>16</v>
      </c>
      <c r="D24" s="1"/>
      <c r="E24" s="2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0"/>
    </row>
    <row r="25" spans="1:18" ht="15" x14ac:dyDescent="0.35">
      <c r="B25" s="6" t="s">
        <v>17</v>
      </c>
      <c r="D25" s="1"/>
      <c r="E25" s="5"/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</row>
    <row r="26" spans="1:18" x14ac:dyDescent="0.2">
      <c r="C26" s="6" t="s">
        <v>18</v>
      </c>
      <c r="D26" s="1"/>
      <c r="E26" s="5"/>
      <c r="F26" s="5">
        <f>SUM(F23:F25)</f>
        <v>678</v>
      </c>
      <c r="G26" s="5">
        <f t="shared" ref="G26:Q26" si="2">SUM(G23:G25)</f>
        <v>678</v>
      </c>
      <c r="H26" s="5">
        <f t="shared" si="2"/>
        <v>678</v>
      </c>
      <c r="I26" s="5">
        <f t="shared" si="2"/>
        <v>678</v>
      </c>
      <c r="J26" s="5">
        <f t="shared" si="2"/>
        <v>678</v>
      </c>
      <c r="K26" s="5">
        <f t="shared" si="2"/>
        <v>678</v>
      </c>
      <c r="L26" s="5">
        <f t="shared" si="2"/>
        <v>678</v>
      </c>
      <c r="M26" s="5">
        <f t="shared" si="2"/>
        <v>678</v>
      </c>
      <c r="N26" s="5">
        <f t="shared" si="2"/>
        <v>678</v>
      </c>
      <c r="O26" s="5">
        <f t="shared" si="2"/>
        <v>678</v>
      </c>
      <c r="P26" s="5">
        <f t="shared" si="2"/>
        <v>678</v>
      </c>
      <c r="Q26" s="5">
        <f t="shared" si="2"/>
        <v>678</v>
      </c>
    </row>
    <row r="27" spans="1:18" x14ac:dyDescent="0.2">
      <c r="C27" s="6"/>
      <c r="D27" s="1"/>
      <c r="E27" s="5"/>
      <c r="F27" s="5"/>
      <c r="G27" s="5"/>
      <c r="H27" s="5"/>
    </row>
    <row r="28" spans="1:18" x14ac:dyDescent="0.2">
      <c r="A28" t="s">
        <v>19</v>
      </c>
      <c r="D28" s="5"/>
      <c r="F28" s="60">
        <f>+Summary!G15</f>
        <v>38.5</v>
      </c>
      <c r="G28" s="29">
        <f>+F28*(1+G30)</f>
        <v>43.120000000000005</v>
      </c>
      <c r="H28" s="29">
        <f t="shared" ref="H28:R28" si="3">+G28*(1+H30)</f>
        <v>48.29440000000001</v>
      </c>
      <c r="I28" s="29">
        <f t="shared" si="3"/>
        <v>54.089728000000015</v>
      </c>
      <c r="J28" s="29">
        <f t="shared" si="3"/>
        <v>54.089728000000015</v>
      </c>
      <c r="K28" s="29">
        <f t="shared" si="3"/>
        <v>54.089728000000015</v>
      </c>
      <c r="L28" s="29">
        <f t="shared" si="3"/>
        <v>54.089728000000015</v>
      </c>
      <c r="M28" s="29">
        <f t="shared" si="3"/>
        <v>54.089728000000015</v>
      </c>
      <c r="N28" s="29">
        <f t="shared" si="3"/>
        <v>54.089728000000015</v>
      </c>
      <c r="O28" s="29">
        <f t="shared" si="3"/>
        <v>54.089728000000015</v>
      </c>
      <c r="P28" s="29">
        <f t="shared" si="3"/>
        <v>54.089728000000015</v>
      </c>
      <c r="Q28" s="29">
        <f t="shared" si="3"/>
        <v>54.089728000000015</v>
      </c>
      <c r="R28" s="29">
        <f t="shared" si="3"/>
        <v>54.089728000000015</v>
      </c>
    </row>
    <row r="29" spans="1:18" x14ac:dyDescent="0.2">
      <c r="C29" s="4"/>
      <c r="D29" s="5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8" x14ac:dyDescent="0.2">
      <c r="B30" t="s">
        <v>1</v>
      </c>
      <c r="C30" s="4"/>
      <c r="D30" s="5"/>
      <c r="F30" s="4"/>
      <c r="G30" s="4">
        <v>0.12</v>
      </c>
      <c r="H30" s="4">
        <v>0.12</v>
      </c>
      <c r="I30" s="4">
        <v>0.12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2">
      <c r="C31" s="6"/>
      <c r="D31" s="1"/>
      <c r="E31" s="5"/>
      <c r="F31" s="5"/>
      <c r="G31" s="5"/>
      <c r="H31" s="5"/>
    </row>
    <row r="32" spans="1:18" x14ac:dyDescent="0.2">
      <c r="A32" t="s">
        <v>9</v>
      </c>
      <c r="C32" s="6"/>
      <c r="D32" s="1"/>
      <c r="E32" s="5">
        <v>0</v>
      </c>
      <c r="F32" s="5">
        <f t="shared" ref="F32:R32" si="4">+F28*F26</f>
        <v>26103</v>
      </c>
      <c r="G32" s="5">
        <f t="shared" si="4"/>
        <v>29235.360000000004</v>
      </c>
      <c r="H32" s="5">
        <f t="shared" si="4"/>
        <v>32743.603200000009</v>
      </c>
      <c r="I32" s="5">
        <f t="shared" si="4"/>
        <v>36672.835584000008</v>
      </c>
      <c r="J32" s="5">
        <f t="shared" si="4"/>
        <v>36672.835584000008</v>
      </c>
      <c r="K32" s="5">
        <f t="shared" si="4"/>
        <v>36672.835584000008</v>
      </c>
      <c r="L32" s="5">
        <f t="shared" si="4"/>
        <v>36672.835584000008</v>
      </c>
      <c r="M32" s="5">
        <f t="shared" si="4"/>
        <v>36672.835584000008</v>
      </c>
      <c r="N32" s="5">
        <f t="shared" si="4"/>
        <v>36672.835584000008</v>
      </c>
      <c r="O32" s="5">
        <f t="shared" si="4"/>
        <v>36672.835584000008</v>
      </c>
      <c r="P32" s="5">
        <f t="shared" si="4"/>
        <v>36672.835584000008</v>
      </c>
      <c r="Q32" s="5">
        <f t="shared" si="4"/>
        <v>36672.835584000008</v>
      </c>
      <c r="R32" s="5">
        <f t="shared" si="4"/>
        <v>0</v>
      </c>
    </row>
    <row r="33" spans="1:18" x14ac:dyDescent="0.2">
      <c r="C33" s="6"/>
      <c r="D33" s="1"/>
      <c r="E33" s="5"/>
      <c r="F33" s="5"/>
      <c r="G33" s="5"/>
      <c r="H33" s="5"/>
    </row>
    <row r="34" spans="1:18" x14ac:dyDescent="0.2">
      <c r="B34" t="s">
        <v>2</v>
      </c>
      <c r="D34" s="40">
        <f>+Summary!G7</f>
        <v>0.11600000000000001</v>
      </c>
      <c r="F34" s="1">
        <f>+F$32/((1+$D34)^(YEAR(F$20)-YEAR($E$20)))</f>
        <v>23389.784946236556</v>
      </c>
      <c r="G34" s="1">
        <f t="shared" ref="G34:Q34" si="5">+G32/((1+$D$34)^(YEAR(G20)-YEAR($E$20)))</f>
        <v>23473.619300882565</v>
      </c>
      <c r="H34" s="1">
        <f t="shared" si="5"/>
        <v>23557.754137086446</v>
      </c>
      <c r="I34" s="1">
        <f t="shared" si="5"/>
        <v>23642.190531843022</v>
      </c>
      <c r="J34" s="1">
        <f t="shared" si="5"/>
        <v>21184.758541077976</v>
      </c>
      <c r="K34" s="1">
        <f t="shared" si="5"/>
        <v>18982.75854935302</v>
      </c>
      <c r="L34" s="1">
        <f t="shared" si="5"/>
        <v>17009.640277198047</v>
      </c>
      <c r="M34" s="1">
        <f t="shared" si="5"/>
        <v>15241.613151611147</v>
      </c>
      <c r="N34" s="1">
        <f t="shared" si="5"/>
        <v>13657.359454848696</v>
      </c>
      <c r="O34" s="1">
        <f t="shared" si="5"/>
        <v>12237.777289290945</v>
      </c>
      <c r="P34" s="1">
        <f t="shared" si="5"/>
        <v>10965.750259221275</v>
      </c>
      <c r="Q34" s="1">
        <f t="shared" si="5"/>
        <v>23642.190531843022</v>
      </c>
      <c r="R34">
        <v>0</v>
      </c>
    </row>
    <row r="36" spans="1:18" x14ac:dyDescent="0.2">
      <c r="A36" t="s">
        <v>10</v>
      </c>
      <c r="E36" s="1">
        <f>SUMPRODUCT(F34:R34,F38:R38)</f>
        <v>23515.837229012148</v>
      </c>
      <c r="F36" s="5">
        <f t="shared" ref="F36:R36" si="6">+$E$12+$E$17+F34</f>
        <v>471983.85446999292</v>
      </c>
      <c r="G36" s="5">
        <f t="shared" si="6"/>
        <v>472067.6888246389</v>
      </c>
      <c r="H36" s="5">
        <f t="shared" si="6"/>
        <v>472151.82366084278</v>
      </c>
      <c r="I36" s="5">
        <f t="shared" si="6"/>
        <v>472236.26005559938</v>
      </c>
      <c r="J36" s="5">
        <f t="shared" si="6"/>
        <v>469778.82806483429</v>
      </c>
      <c r="K36" s="5">
        <f t="shared" si="6"/>
        <v>467576.82807310938</v>
      </c>
      <c r="L36" s="5">
        <f t="shared" si="6"/>
        <v>465603.70980095438</v>
      </c>
      <c r="M36" s="5">
        <f t="shared" si="6"/>
        <v>463835.68267536745</v>
      </c>
      <c r="N36" s="5">
        <f t="shared" si="6"/>
        <v>462251.42897860502</v>
      </c>
      <c r="O36" s="5">
        <f t="shared" si="6"/>
        <v>460831.8468130473</v>
      </c>
      <c r="P36" s="5">
        <f t="shared" si="6"/>
        <v>459559.81978297763</v>
      </c>
      <c r="Q36" s="5">
        <f t="shared" si="6"/>
        <v>472236.26005559938</v>
      </c>
      <c r="R36" s="5">
        <f t="shared" si="6"/>
        <v>448594.06952375633</v>
      </c>
    </row>
    <row r="37" spans="1:18" x14ac:dyDescent="0.2">
      <c r="F37" s="5"/>
      <c r="G37" s="5"/>
      <c r="H37" s="5"/>
      <c r="I37" s="5"/>
      <c r="J37" s="5"/>
    </row>
    <row r="38" spans="1:18" x14ac:dyDescent="0.2">
      <c r="A38" t="s">
        <v>12</v>
      </c>
      <c r="D38" s="32">
        <f>SUM(F38:R38)</f>
        <v>1</v>
      </c>
      <c r="F38" s="31">
        <f>IF(Summary!$E$36="yes",0.1,0.25)</f>
        <v>0.25</v>
      </c>
      <c r="G38" s="31">
        <f>IF(Summary!$E$36="yes",0.4,0.25)</f>
        <v>0.25</v>
      </c>
      <c r="H38" s="31">
        <f>IF(Summary!$E$36="yes",0.2,0.25)</f>
        <v>0.25</v>
      </c>
      <c r="I38" s="31">
        <f>IF(Summary!$E$36="yes",0.15,0.25)</f>
        <v>0.25</v>
      </c>
      <c r="J38" s="31">
        <f>IF(Summary!$E$36="yes",0.1,0)</f>
        <v>0</v>
      </c>
      <c r="K38" s="31">
        <f>IF(Summary!$E$36="yes",0,0)</f>
        <v>0</v>
      </c>
      <c r="L38" s="31">
        <f>IF(Summary!$E$36="yes",0,0)</f>
        <v>0</v>
      </c>
      <c r="M38" s="31">
        <f>IF(Summary!$E$36="yes",0,0)</f>
        <v>0</v>
      </c>
      <c r="N38" s="31">
        <f>IF(Summary!$E$36="yes",0,0)</f>
        <v>0</v>
      </c>
      <c r="O38" s="31">
        <f>IF(Summary!$E$36="yes",0,0)</f>
        <v>0</v>
      </c>
      <c r="P38" s="31">
        <f>IF(Summary!$E$36="yes",0,0)</f>
        <v>0</v>
      </c>
      <c r="Q38" s="31">
        <f>IF(Summary!$E$36="yes",0,0)</f>
        <v>0</v>
      </c>
      <c r="R38" s="31">
        <f>IF(Summary!$E$36="yes",0.05,0)</f>
        <v>0</v>
      </c>
    </row>
    <row r="40" spans="1:18" x14ac:dyDescent="0.2">
      <c r="A40" t="s">
        <v>13</v>
      </c>
      <c r="D40" s="6">
        <f>+D17</f>
        <v>8.5000000000000006E-2</v>
      </c>
      <c r="E40" s="34">
        <f>SUM(F40:R40)</f>
        <v>472109.90675276855</v>
      </c>
      <c r="F40" s="5">
        <f>+F36*F38</f>
        <v>117995.96361749823</v>
      </c>
      <c r="G40" s="5">
        <f t="shared" ref="G40:R40" si="7">+G36*G38</f>
        <v>118016.92220615972</v>
      </c>
      <c r="H40" s="5">
        <f t="shared" si="7"/>
        <v>118037.9559152107</v>
      </c>
      <c r="I40" s="5">
        <f t="shared" si="7"/>
        <v>118059.06501389985</v>
      </c>
      <c r="J40" s="5">
        <f t="shared" si="7"/>
        <v>0</v>
      </c>
      <c r="K40" s="5">
        <f t="shared" si="7"/>
        <v>0</v>
      </c>
      <c r="L40" s="5">
        <f t="shared" si="7"/>
        <v>0</v>
      </c>
      <c r="M40" s="5">
        <f t="shared" si="7"/>
        <v>0</v>
      </c>
      <c r="N40" s="5">
        <f t="shared" si="7"/>
        <v>0</v>
      </c>
      <c r="O40" s="5">
        <f t="shared" si="7"/>
        <v>0</v>
      </c>
      <c r="P40" s="5">
        <f t="shared" si="7"/>
        <v>0</v>
      </c>
      <c r="Q40" s="5">
        <f t="shared" si="7"/>
        <v>0</v>
      </c>
      <c r="R40" s="5">
        <f t="shared" si="7"/>
        <v>0</v>
      </c>
    </row>
    <row r="41" spans="1:18" x14ac:dyDescent="0.2">
      <c r="D41" s="6"/>
      <c r="E41" s="1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">
      <c r="A43" s="35" t="s">
        <v>20</v>
      </c>
      <c r="D43" s="6">
        <v>8.2500000000000004E-2</v>
      </c>
      <c r="E43" s="38">
        <v>206616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">
      <c r="D44" s="6">
        <v>9.2499999999999999E-2</v>
      </c>
      <c r="E44" s="38">
        <v>197718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8" spans="1:18" x14ac:dyDescent="0.2">
      <c r="E48" s="2">
        <f t="shared" ref="E48:Q48" si="8">+E6</f>
        <v>36891</v>
      </c>
      <c r="F48" s="2">
        <f t="shared" si="8"/>
        <v>37210</v>
      </c>
      <c r="G48" s="2">
        <f t="shared" si="8"/>
        <v>37302</v>
      </c>
      <c r="H48" s="2">
        <f t="shared" si="8"/>
        <v>37391</v>
      </c>
      <c r="I48" s="2">
        <f t="shared" si="8"/>
        <v>37483</v>
      </c>
      <c r="J48" s="2">
        <f t="shared" si="8"/>
        <v>37575</v>
      </c>
      <c r="K48" s="2">
        <f t="shared" si="8"/>
        <v>37667</v>
      </c>
      <c r="L48" s="2">
        <f t="shared" si="8"/>
        <v>37756</v>
      </c>
      <c r="M48" s="2">
        <f t="shared" si="8"/>
        <v>37848</v>
      </c>
      <c r="N48" s="2">
        <f t="shared" si="8"/>
        <v>37940</v>
      </c>
      <c r="O48" s="2">
        <f t="shared" si="8"/>
        <v>38032</v>
      </c>
      <c r="P48" s="2">
        <f t="shared" si="8"/>
        <v>38122</v>
      </c>
      <c r="Q48" s="2">
        <f t="shared" si="8"/>
        <v>38214</v>
      </c>
    </row>
    <row r="49" spans="1:19" x14ac:dyDescent="0.2">
      <c r="A49" s="7" t="s">
        <v>5</v>
      </c>
      <c r="B49" s="8"/>
      <c r="C49" s="9"/>
      <c r="D49" s="10"/>
      <c r="E49" s="11">
        <v>0</v>
      </c>
      <c r="F49" s="11">
        <f t="shared" ref="F49:Q49" si="9">+F8</f>
        <v>41927.138642917511</v>
      </c>
      <c r="G49" s="11">
        <f t="shared" si="9"/>
        <v>42451.227875953977</v>
      </c>
      <c r="H49" s="11">
        <f t="shared" si="9"/>
        <v>42981.868224403399</v>
      </c>
      <c r="I49" s="11">
        <f t="shared" si="9"/>
        <v>43519.141577208437</v>
      </c>
      <c r="J49" s="11">
        <f t="shared" si="9"/>
        <v>44063.130846923537</v>
      </c>
      <c r="K49" s="11">
        <f t="shared" si="9"/>
        <v>44613.91998251008</v>
      </c>
      <c r="L49" s="11">
        <f t="shared" si="9"/>
        <v>45171.593982291452</v>
      </c>
      <c r="M49" s="11">
        <f t="shared" si="9"/>
        <v>45736.238907070096</v>
      </c>
      <c r="N49" s="11">
        <f t="shared" si="9"/>
        <v>46307.941893408468</v>
      </c>
      <c r="O49" s="11">
        <f t="shared" si="9"/>
        <v>46886.791167076073</v>
      </c>
      <c r="P49" s="11">
        <f t="shared" si="9"/>
        <v>47472.876056664521</v>
      </c>
      <c r="Q49" s="12">
        <f t="shared" si="9"/>
        <v>48066.287007372826</v>
      </c>
      <c r="R49" s="5"/>
      <c r="S49" s="5"/>
    </row>
    <row r="50" spans="1:19" x14ac:dyDescent="0.2">
      <c r="A50" s="13"/>
      <c r="B50" s="14"/>
      <c r="C50" s="15"/>
      <c r="D50" s="16"/>
      <c r="E50" s="14"/>
      <c r="F50" s="17">
        <v>0</v>
      </c>
      <c r="G50" s="17">
        <f t="shared" ref="G50:Q50" si="10">+G8</f>
        <v>42451.227875953977</v>
      </c>
      <c r="H50" s="17">
        <f t="shared" si="10"/>
        <v>42981.868224403399</v>
      </c>
      <c r="I50" s="17">
        <f t="shared" si="10"/>
        <v>43519.141577208437</v>
      </c>
      <c r="J50" s="17">
        <f t="shared" si="10"/>
        <v>44063.130846923537</v>
      </c>
      <c r="K50" s="17">
        <f t="shared" si="10"/>
        <v>44613.91998251008</v>
      </c>
      <c r="L50" s="17">
        <f t="shared" si="10"/>
        <v>45171.593982291452</v>
      </c>
      <c r="M50" s="17">
        <f t="shared" si="10"/>
        <v>45736.238907070096</v>
      </c>
      <c r="N50" s="17">
        <f t="shared" si="10"/>
        <v>46307.941893408468</v>
      </c>
      <c r="O50" s="17">
        <f t="shared" si="10"/>
        <v>46886.791167076073</v>
      </c>
      <c r="P50" s="17">
        <f t="shared" si="10"/>
        <v>47472.876056664521</v>
      </c>
      <c r="Q50" s="18">
        <f t="shared" si="10"/>
        <v>48066.287007372826</v>
      </c>
    </row>
    <row r="51" spans="1:19" x14ac:dyDescent="0.2">
      <c r="A51" s="13"/>
      <c r="B51" s="14"/>
      <c r="C51" s="15"/>
      <c r="D51" s="16"/>
      <c r="E51" s="14"/>
      <c r="F51" s="14"/>
      <c r="G51" s="17">
        <v>0</v>
      </c>
      <c r="H51" s="17">
        <f t="shared" ref="H51:Q51" si="11">+H8</f>
        <v>42981.868224403399</v>
      </c>
      <c r="I51" s="17">
        <f t="shared" si="11"/>
        <v>43519.141577208437</v>
      </c>
      <c r="J51" s="17">
        <f t="shared" si="11"/>
        <v>44063.130846923537</v>
      </c>
      <c r="K51" s="17">
        <f t="shared" si="11"/>
        <v>44613.91998251008</v>
      </c>
      <c r="L51" s="17">
        <f t="shared" si="11"/>
        <v>45171.593982291452</v>
      </c>
      <c r="M51" s="17">
        <f t="shared" si="11"/>
        <v>45736.238907070096</v>
      </c>
      <c r="N51" s="17">
        <f t="shared" si="11"/>
        <v>46307.941893408468</v>
      </c>
      <c r="O51" s="17">
        <f t="shared" si="11"/>
        <v>46886.791167076073</v>
      </c>
      <c r="P51" s="17">
        <f t="shared" si="11"/>
        <v>47472.876056664521</v>
      </c>
      <c r="Q51" s="18">
        <f t="shared" si="11"/>
        <v>48066.287007372826</v>
      </c>
    </row>
    <row r="52" spans="1:19" x14ac:dyDescent="0.2">
      <c r="A52" s="13"/>
      <c r="B52" s="14"/>
      <c r="C52" s="15"/>
      <c r="D52" s="16"/>
      <c r="E52" s="14"/>
      <c r="F52" s="14"/>
      <c r="G52" s="14"/>
      <c r="H52" s="17">
        <v>0</v>
      </c>
      <c r="I52" s="17">
        <f t="shared" ref="I52:Q52" si="12">+I8</f>
        <v>43519.141577208437</v>
      </c>
      <c r="J52" s="17">
        <f t="shared" si="12"/>
        <v>44063.130846923537</v>
      </c>
      <c r="K52" s="17">
        <f t="shared" si="12"/>
        <v>44613.91998251008</v>
      </c>
      <c r="L52" s="17">
        <f t="shared" si="12"/>
        <v>45171.593982291452</v>
      </c>
      <c r="M52" s="17">
        <f t="shared" si="12"/>
        <v>45736.238907070096</v>
      </c>
      <c r="N52" s="17">
        <f t="shared" si="12"/>
        <v>46307.941893408468</v>
      </c>
      <c r="O52" s="17">
        <f t="shared" si="12"/>
        <v>46886.791167076073</v>
      </c>
      <c r="P52" s="17">
        <f t="shared" si="12"/>
        <v>47472.876056664521</v>
      </c>
      <c r="Q52" s="18">
        <f t="shared" si="12"/>
        <v>48066.287007372826</v>
      </c>
    </row>
    <row r="53" spans="1:19" x14ac:dyDescent="0.2">
      <c r="A53" s="19"/>
      <c r="B53" s="17"/>
      <c r="C53" s="17"/>
      <c r="D53" s="17"/>
      <c r="E53" s="17"/>
      <c r="F53" s="17"/>
      <c r="G53" s="17"/>
      <c r="H53" s="17"/>
      <c r="I53" s="17">
        <v>0</v>
      </c>
      <c r="J53" s="17">
        <f t="shared" ref="J53:Q53" si="13">+J8</f>
        <v>44063.130846923537</v>
      </c>
      <c r="K53" s="17">
        <f t="shared" si="13"/>
        <v>44613.91998251008</v>
      </c>
      <c r="L53" s="17">
        <f t="shared" si="13"/>
        <v>45171.593982291452</v>
      </c>
      <c r="M53" s="17">
        <f t="shared" si="13"/>
        <v>45736.238907070096</v>
      </c>
      <c r="N53" s="17">
        <f t="shared" si="13"/>
        <v>46307.941893408468</v>
      </c>
      <c r="O53" s="17">
        <f t="shared" si="13"/>
        <v>46886.791167076073</v>
      </c>
      <c r="P53" s="17">
        <f t="shared" si="13"/>
        <v>47472.876056664521</v>
      </c>
      <c r="Q53" s="18">
        <f t="shared" si="13"/>
        <v>48066.287007372826</v>
      </c>
    </row>
    <row r="54" spans="1:19" x14ac:dyDescent="0.2">
      <c r="A54" s="13"/>
      <c r="B54" s="14"/>
      <c r="C54" s="15"/>
      <c r="D54" s="16"/>
      <c r="E54" s="14"/>
      <c r="F54" s="14"/>
      <c r="G54" s="14"/>
      <c r="H54" s="14"/>
      <c r="I54" s="14"/>
      <c r="J54" s="17">
        <v>0</v>
      </c>
      <c r="K54" s="17">
        <f t="shared" ref="K54:Q54" si="14">+K8</f>
        <v>44613.91998251008</v>
      </c>
      <c r="L54" s="17">
        <f t="shared" si="14"/>
        <v>45171.593982291452</v>
      </c>
      <c r="M54" s="17">
        <f t="shared" si="14"/>
        <v>45736.238907070096</v>
      </c>
      <c r="N54" s="17">
        <f t="shared" si="14"/>
        <v>46307.941893408468</v>
      </c>
      <c r="O54" s="17">
        <f t="shared" si="14"/>
        <v>46886.791167076073</v>
      </c>
      <c r="P54" s="17">
        <f t="shared" si="14"/>
        <v>47472.876056664521</v>
      </c>
      <c r="Q54" s="18">
        <f t="shared" si="14"/>
        <v>48066.287007372826</v>
      </c>
    </row>
    <row r="55" spans="1:19" x14ac:dyDescent="0.2">
      <c r="A55" s="13"/>
      <c r="B55" s="14"/>
      <c r="C55" s="15"/>
      <c r="D55" s="16"/>
      <c r="E55" s="14"/>
      <c r="F55" s="14"/>
      <c r="G55" s="14"/>
      <c r="H55" s="14"/>
      <c r="I55" s="14"/>
      <c r="J55" s="14"/>
      <c r="K55" s="17">
        <v>0</v>
      </c>
      <c r="L55" s="17">
        <f t="shared" ref="L55:Q55" si="15">+L$8</f>
        <v>45171.593982291452</v>
      </c>
      <c r="M55" s="17">
        <f t="shared" si="15"/>
        <v>45736.238907070096</v>
      </c>
      <c r="N55" s="17">
        <f t="shared" si="15"/>
        <v>46307.941893408468</v>
      </c>
      <c r="O55" s="17">
        <f t="shared" si="15"/>
        <v>46886.791167076073</v>
      </c>
      <c r="P55" s="17">
        <f t="shared" si="15"/>
        <v>47472.876056664521</v>
      </c>
      <c r="Q55" s="18">
        <f t="shared" si="15"/>
        <v>48066.287007372826</v>
      </c>
    </row>
    <row r="56" spans="1:19" x14ac:dyDescent="0.2">
      <c r="A56" s="13"/>
      <c r="B56" s="14"/>
      <c r="C56" s="15"/>
      <c r="D56" s="16"/>
      <c r="E56" s="14"/>
      <c r="F56" s="14"/>
      <c r="G56" s="14"/>
      <c r="H56" s="14"/>
      <c r="I56" s="14"/>
      <c r="J56" s="14"/>
      <c r="K56" s="14"/>
      <c r="L56" s="17">
        <v>0</v>
      </c>
      <c r="M56" s="17">
        <f>+M$8</f>
        <v>45736.238907070096</v>
      </c>
      <c r="N56" s="17">
        <f>+N$8</f>
        <v>46307.941893408468</v>
      </c>
      <c r="O56" s="17">
        <f>+O$8</f>
        <v>46886.791167076073</v>
      </c>
      <c r="P56" s="17">
        <f>+P$8</f>
        <v>47472.876056664521</v>
      </c>
      <c r="Q56" s="18">
        <f>+Q$8</f>
        <v>48066.287007372826</v>
      </c>
    </row>
    <row r="57" spans="1:19" x14ac:dyDescent="0.2">
      <c r="A57" s="13"/>
      <c r="B57" s="14"/>
      <c r="C57" s="15"/>
      <c r="D57" s="16"/>
      <c r="E57" s="14"/>
      <c r="F57" s="14"/>
      <c r="G57" s="14"/>
      <c r="H57" s="14"/>
      <c r="I57" s="14"/>
      <c r="J57" s="14"/>
      <c r="K57" s="14"/>
      <c r="L57" s="14"/>
      <c r="M57" s="17">
        <v>0</v>
      </c>
      <c r="N57" s="17">
        <f>+N$8</f>
        <v>46307.941893408468</v>
      </c>
      <c r="O57" s="17">
        <f>+O$8</f>
        <v>46886.791167076073</v>
      </c>
      <c r="P57" s="17">
        <f>+P$8</f>
        <v>47472.876056664521</v>
      </c>
      <c r="Q57" s="18">
        <f>+Q$8</f>
        <v>48066.287007372826</v>
      </c>
    </row>
    <row r="58" spans="1:19" x14ac:dyDescent="0.2">
      <c r="A58" s="13"/>
      <c r="B58" s="14"/>
      <c r="C58" s="15"/>
      <c r="D58" s="16"/>
      <c r="E58" s="14"/>
      <c r="F58" s="14"/>
      <c r="G58" s="14"/>
      <c r="H58" s="14"/>
      <c r="I58" s="14"/>
      <c r="J58" s="14"/>
      <c r="K58" s="14"/>
      <c r="L58" s="14"/>
      <c r="M58" s="14"/>
      <c r="N58" s="17">
        <v>0</v>
      </c>
      <c r="O58" s="17">
        <f>+O$8</f>
        <v>46886.791167076073</v>
      </c>
      <c r="P58" s="17">
        <f>+P$8</f>
        <v>47472.876056664521</v>
      </c>
      <c r="Q58" s="18">
        <f>+Q$8</f>
        <v>48066.287007372826</v>
      </c>
    </row>
    <row r="59" spans="1:19" x14ac:dyDescent="0.2">
      <c r="A59" s="13"/>
      <c r="B59" s="14"/>
      <c r="C59" s="15"/>
      <c r="D59" s="1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7">
        <v>0</v>
      </c>
      <c r="P59" s="17">
        <f>+P$8</f>
        <v>47472.876056664521</v>
      </c>
      <c r="Q59" s="18">
        <f>+Q$8</f>
        <v>48066.287007372826</v>
      </c>
    </row>
    <row r="60" spans="1:19" x14ac:dyDescent="0.2">
      <c r="A60" s="20"/>
      <c r="B60" s="21"/>
      <c r="C60" s="22"/>
      <c r="D60" s="23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4">
        <v>0</v>
      </c>
      <c r="Q60" s="25">
        <f>+Q8</f>
        <v>48066.287007372826</v>
      </c>
    </row>
    <row r="61" spans="1:19" x14ac:dyDescent="0.2">
      <c r="C61" s="4"/>
      <c r="D61" s="1"/>
      <c r="P61" s="5"/>
      <c r="Q61" s="5"/>
    </row>
    <row r="63" spans="1:19" x14ac:dyDescent="0.2">
      <c r="B63" t="s">
        <v>3</v>
      </c>
      <c r="C63" s="4"/>
      <c r="D63" s="1"/>
    </row>
    <row r="64" spans="1:19" x14ac:dyDescent="0.2">
      <c r="B64" t="s">
        <v>4</v>
      </c>
      <c r="C64" s="4"/>
      <c r="D64" s="1"/>
      <c r="E64" s="1">
        <f>XNPV($D$12,E$49:Q$49,E$6:Q$6)</f>
        <v>448594.06952375633</v>
      </c>
      <c r="F64" s="1">
        <f>XNPV($D$12,F$50:Q$50,F$6:Q$6)</f>
        <v>439818.89575318765</v>
      </c>
      <c r="G64" s="1">
        <f>XNPV($D$12,G$51:Q$51,G$6:Q$6)</f>
        <v>406505.12279664434</v>
      </c>
      <c r="H64" s="1">
        <f>XNPV($D$12,H$52:Q$52,H$6:Q$6)</f>
        <v>371690.45988366829</v>
      </c>
      <c r="I64" s="1">
        <f>XNPV($D$12,I$53:Q$53,I$6:Q$6)</f>
        <v>335893.37130135426</v>
      </c>
      <c r="J64" s="1">
        <f>XNPV($D$12,J$54:Q$54,J$6:Q$6)</f>
        <v>298808.59124297288</v>
      </c>
      <c r="K64" s="1">
        <f>XNPV($D$12,K$55:Q$55,K$6:Q$6)</f>
        <v>260402.56741585553</v>
      </c>
      <c r="L64" s="1">
        <f>XNPV($D$12,L$56:Q$56,L$6:Q$6)</f>
        <v>220462.79244995565</v>
      </c>
      <c r="M64" s="1">
        <f>XNPV($D$12,M$57:Q$57,M$6:Q$6)</f>
        <v>179306.77700956745</v>
      </c>
      <c r="N64" s="1">
        <f>XNPV($D$12,N$58:Q$58,N$6:Q$6)</f>
        <v>136724.02202261053</v>
      </c>
      <c r="O64" s="1">
        <f>XNPV($D$12,O$59:Q$59,O$6:Q$6)</f>
        <v>92677.739982575673</v>
      </c>
      <c r="P64" s="1">
        <f>XNPV($D$12,P$60:Q$60,P$6:Q$6)</f>
        <v>47088.01032186579</v>
      </c>
      <c r="Q64" s="1">
        <v>0</v>
      </c>
    </row>
  </sheetData>
  <pageMargins left="0.75" right="0.75" top="0.5" bottom="0.5" header="0.25" footer="0.25"/>
  <pageSetup scale="6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8"/>
  <sheetViews>
    <sheetView zoomScaleNormal="100" workbookViewId="0">
      <selection activeCell="F28" sqref="F28"/>
    </sheetView>
  </sheetViews>
  <sheetFormatPr defaultRowHeight="12.75" x14ac:dyDescent="0.2"/>
  <cols>
    <col min="1" max="1" width="4.7109375" customWidth="1"/>
    <col min="4" max="4" width="12.85546875" customWidth="1"/>
    <col min="5" max="5" width="12" customWidth="1"/>
    <col min="6" max="6" width="12.5703125" customWidth="1"/>
    <col min="7" max="9" width="12.28515625" customWidth="1"/>
    <col min="10" max="32" width="12.85546875" bestFit="1" customWidth="1"/>
    <col min="33" max="51" width="11.7109375" customWidth="1"/>
  </cols>
  <sheetData>
    <row r="1" spans="1:74" ht="18" x14ac:dyDescent="0.25">
      <c r="A1" s="39" t="s">
        <v>37</v>
      </c>
    </row>
    <row r="4" spans="1:74" x14ac:dyDescent="0.2">
      <c r="A4" t="s">
        <v>21</v>
      </c>
      <c r="D4" s="30">
        <f>+Summary!G6</f>
        <v>36875</v>
      </c>
      <c r="E4" s="30">
        <v>37026</v>
      </c>
      <c r="F4" s="30">
        <v>37118</v>
      </c>
      <c r="G4" s="30">
        <v>37210</v>
      </c>
      <c r="H4" s="30">
        <v>37302</v>
      </c>
      <c r="I4" s="30">
        <v>37391</v>
      </c>
      <c r="J4" s="30">
        <v>37483</v>
      </c>
      <c r="K4" s="30">
        <v>37575</v>
      </c>
      <c r="L4" s="30">
        <v>37667</v>
      </c>
      <c r="M4" s="30">
        <v>37756</v>
      </c>
      <c r="N4" s="30">
        <v>37848</v>
      </c>
      <c r="O4" s="30">
        <v>37940</v>
      </c>
      <c r="P4" s="30">
        <v>38032</v>
      </c>
      <c r="Q4" s="30">
        <v>38122</v>
      </c>
      <c r="R4" s="30">
        <v>38214</v>
      </c>
      <c r="S4" s="30">
        <v>38306</v>
      </c>
      <c r="T4" s="30">
        <v>38398</v>
      </c>
      <c r="U4" s="30">
        <v>38487</v>
      </c>
      <c r="V4" s="30">
        <v>38579</v>
      </c>
      <c r="W4" s="30">
        <v>38671</v>
      </c>
      <c r="X4" s="30">
        <v>38763</v>
      </c>
      <c r="Y4" s="30">
        <v>38852</v>
      </c>
      <c r="Z4" s="30">
        <v>38944</v>
      </c>
      <c r="AA4" s="30">
        <v>39036</v>
      </c>
      <c r="AB4" s="30">
        <v>39128</v>
      </c>
      <c r="AC4" s="30">
        <v>39217</v>
      </c>
      <c r="AD4" s="30">
        <v>39309</v>
      </c>
      <c r="AE4" s="30">
        <v>39401</v>
      </c>
      <c r="AF4" s="30">
        <v>39493</v>
      </c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</row>
    <row r="5" spans="1:74" x14ac:dyDescent="0.2"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</row>
    <row r="6" spans="1:74" x14ac:dyDescent="0.2">
      <c r="A6" t="s">
        <v>86</v>
      </c>
      <c r="D6" s="1">
        <v>0</v>
      </c>
      <c r="E6" s="1">
        <f>+Summary!G14*1000</f>
        <v>14275208.865894621</v>
      </c>
      <c r="F6" s="1">
        <f t="shared" ref="F6:AE6" si="0">E6*(1.0125)</f>
        <v>14453648.976718303</v>
      </c>
      <c r="G6" s="1">
        <f t="shared" si="0"/>
        <v>14634319.58892728</v>
      </c>
      <c r="H6" s="1">
        <f t="shared" si="0"/>
        <v>14817248.58378887</v>
      </c>
      <c r="I6" s="1">
        <f t="shared" si="0"/>
        <v>15002464.191086231</v>
      </c>
      <c r="J6" s="1">
        <f t="shared" si="0"/>
        <v>15189994.993474808</v>
      </c>
      <c r="K6" s="1">
        <f t="shared" si="0"/>
        <v>15379869.930893242</v>
      </c>
      <c r="L6" s="1">
        <f t="shared" si="0"/>
        <v>15572118.305029407</v>
      </c>
      <c r="M6" s="1">
        <f t="shared" si="0"/>
        <v>15766769.783842275</v>
      </c>
      <c r="N6" s="1">
        <f t="shared" si="0"/>
        <v>15963854.406140303</v>
      </c>
      <c r="O6" s="1">
        <f t="shared" si="0"/>
        <v>16163402.586217057</v>
      </c>
      <c r="P6" s="1">
        <f t="shared" si="0"/>
        <v>16365445.118544769</v>
      </c>
      <c r="Q6" s="1">
        <f t="shared" si="0"/>
        <v>16570013.182526577</v>
      </c>
      <c r="R6" s="1">
        <f t="shared" si="0"/>
        <v>16777138.347308159</v>
      </c>
      <c r="S6" s="1">
        <f>R6*(1.0125)-0.05</f>
        <v>16986852.526649509</v>
      </c>
      <c r="T6" s="1">
        <f t="shared" si="0"/>
        <v>17199188.183232628</v>
      </c>
      <c r="U6" s="1">
        <f t="shared" si="0"/>
        <v>17414178.035523035</v>
      </c>
      <c r="V6" s="1">
        <f t="shared" si="0"/>
        <v>17631855.260967072</v>
      </c>
      <c r="W6" s="1">
        <f t="shared" si="0"/>
        <v>17852253.45172916</v>
      </c>
      <c r="X6" s="1">
        <f t="shared" si="0"/>
        <v>18075406.619875774</v>
      </c>
      <c r="Y6" s="1">
        <f t="shared" si="0"/>
        <v>18301349.20262422</v>
      </c>
      <c r="Z6" s="1">
        <f t="shared" si="0"/>
        <v>18530116.067657024</v>
      </c>
      <c r="AA6" s="1">
        <f t="shared" si="0"/>
        <v>18761742.518502735</v>
      </c>
      <c r="AB6" s="1">
        <f t="shared" si="0"/>
        <v>18996264.299984019</v>
      </c>
      <c r="AC6" s="1">
        <f t="shared" si="0"/>
        <v>19233717.603733819</v>
      </c>
      <c r="AD6" s="1">
        <f t="shared" si="0"/>
        <v>19474139.073780492</v>
      </c>
      <c r="AE6" s="1">
        <f t="shared" si="0"/>
        <v>19717565.812202748</v>
      </c>
      <c r="AF6" s="1">
        <f>AE6*(1.0125)</f>
        <v>19964035.384855282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">
      <c r="A8" t="s">
        <v>84</v>
      </c>
      <c r="C8" s="66" t="s">
        <v>50</v>
      </c>
      <c r="D8" s="92">
        <f>+Summary!G5</f>
        <v>8.5000000000000006E-2</v>
      </c>
      <c r="E8" s="1">
        <f>XNPV($D$8,D6:AF6,D4:AF4)</f>
        <v>347599999.99999875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">
      <c r="D9" s="9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2">
      <c r="A10" t="s">
        <v>80</v>
      </c>
      <c r="D10" s="92">
        <f>LOOKUP(D8,D22:E28)</f>
        <v>8.2480672127756366E-2</v>
      </c>
    </row>
    <row r="11" spans="1:74" x14ac:dyDescent="0.2">
      <c r="A11" t="s">
        <v>74</v>
      </c>
      <c r="E11" s="1">
        <f>LOOKUP(D8,Summary!L12:R13)*1000</f>
        <v>347599999.99999875</v>
      </c>
      <c r="F11" s="5">
        <f>+E16</f>
        <v>345185647.37074196</v>
      </c>
      <c r="G11" s="5">
        <f t="shared" ref="G11:AF11" si="1">+F16</f>
        <v>337908286.79612613</v>
      </c>
      <c r="H11" s="5">
        <f t="shared" si="1"/>
        <v>330298961.83829051</v>
      </c>
      <c r="I11" s="5">
        <f t="shared" si="1"/>
        <v>322348512.69161963</v>
      </c>
      <c r="J11" s="5">
        <f t="shared" si="1"/>
        <v>313829033.31360376</v>
      </c>
      <c r="K11" s="5">
        <f t="shared" si="1"/>
        <v>305163433.72638571</v>
      </c>
      <c r="L11" s="5">
        <f t="shared" si="1"/>
        <v>296127804.42912561</v>
      </c>
      <c r="M11" s="5">
        <f t="shared" si="1"/>
        <v>286712079.19736433</v>
      </c>
      <c r="N11" s="5">
        <f t="shared" si="1"/>
        <v>276711584.05719799</v>
      </c>
      <c r="O11" s="5">
        <f t="shared" si="1"/>
        <v>266500466.32050642</v>
      </c>
      <c r="P11" s="5">
        <f t="shared" si="1"/>
        <v>255877514.85147232</v>
      </c>
      <c r="Q11" s="5">
        <f t="shared" si="1"/>
        <v>244831673.41915852</v>
      </c>
      <c r="R11" s="5">
        <f t="shared" si="1"/>
        <v>233240973.35542589</v>
      </c>
      <c r="S11" s="5">
        <f t="shared" si="1"/>
        <v>221312832.94512612</v>
      </c>
      <c r="T11" s="5">
        <f t="shared" si="1"/>
        <v>208926996.50474152</v>
      </c>
      <c r="U11" s="5">
        <f t="shared" si="1"/>
        <v>196071327.21727791</v>
      </c>
      <c r="V11" s="5">
        <f t="shared" si="1"/>
        <v>182600481.89954597</v>
      </c>
      <c r="W11" s="5">
        <f t="shared" si="1"/>
        <v>168764826.53986454</v>
      </c>
      <c r="X11" s="5">
        <f t="shared" si="1"/>
        <v>154421134.57267502</v>
      </c>
      <c r="Y11" s="5">
        <f t="shared" si="1"/>
        <v>139556089.11791217</v>
      </c>
      <c r="Z11" s="5">
        <f t="shared" si="1"/>
        <v>124061453.6760195</v>
      </c>
      <c r="AA11" s="5">
        <f t="shared" si="1"/>
        <v>108110531.66797811</v>
      </c>
      <c r="AB11" s="5">
        <f t="shared" si="1"/>
        <v>91596369.141469568</v>
      </c>
      <c r="AC11" s="5">
        <f t="shared" si="1"/>
        <v>74504361.193252802</v>
      </c>
      <c r="AD11" s="5">
        <f t="shared" si="1"/>
        <v>56769054.852813527</v>
      </c>
      <c r="AE11" s="5">
        <f t="shared" si="1"/>
        <v>38475124.495825395</v>
      </c>
      <c r="AF11" s="5">
        <f t="shared" si="1"/>
        <v>19557443.011931032</v>
      </c>
    </row>
    <row r="12" spans="1:74" x14ac:dyDescent="0.2">
      <c r="A12" t="s">
        <v>75</v>
      </c>
      <c r="E12" s="1">
        <f>+E11*$D$10*(E4-D4)/365</f>
        <v>11860856.236637834</v>
      </c>
      <c r="F12" s="1">
        <f t="shared" ref="F12:AF12" si="2">+F11*$D$10*(F4-E4)/365</f>
        <v>7176288.4021024704</v>
      </c>
      <c r="G12" s="1">
        <f t="shared" si="2"/>
        <v>7024994.6310916413</v>
      </c>
      <c r="H12" s="1">
        <f t="shared" si="2"/>
        <v>6866799.4371179631</v>
      </c>
      <c r="I12" s="1">
        <f t="shared" si="2"/>
        <v>6482984.8130703494</v>
      </c>
      <c r="J12" s="1">
        <f t="shared" si="2"/>
        <v>6524395.4062567884</v>
      </c>
      <c r="K12" s="1">
        <f t="shared" si="2"/>
        <v>6344240.6336331563</v>
      </c>
      <c r="L12" s="1">
        <f t="shared" si="2"/>
        <v>6156393.0732681053</v>
      </c>
      <c r="M12" s="1">
        <f t="shared" si="2"/>
        <v>5766274.6436759345</v>
      </c>
      <c r="N12" s="1">
        <f t="shared" si="2"/>
        <v>5752736.6694487501</v>
      </c>
      <c r="O12" s="1">
        <f t="shared" si="2"/>
        <v>5540451.1171829579</v>
      </c>
      <c r="P12" s="1">
        <f t="shared" si="2"/>
        <v>5319603.6862309715</v>
      </c>
      <c r="Q12" s="1">
        <f t="shared" si="2"/>
        <v>4979313.1187939681</v>
      </c>
      <c r="R12" s="1">
        <f t="shared" si="2"/>
        <v>4848997.9370083921</v>
      </c>
      <c r="S12" s="1">
        <f t="shared" si="2"/>
        <v>4601016.0862649083</v>
      </c>
      <c r="T12" s="1">
        <f t="shared" si="2"/>
        <v>4343518.8957690205</v>
      </c>
      <c r="U12" s="1">
        <f t="shared" si="2"/>
        <v>3943332.7177910889</v>
      </c>
      <c r="V12" s="1">
        <f t="shared" si="2"/>
        <v>3796199.9012856497</v>
      </c>
      <c r="W12" s="1">
        <f t="shared" si="2"/>
        <v>3508561.4845396336</v>
      </c>
      <c r="X12" s="1">
        <f t="shared" si="2"/>
        <v>3210361.1651129192</v>
      </c>
      <c r="Y12" s="1">
        <f t="shared" si="2"/>
        <v>2806713.7607315485</v>
      </c>
      <c r="Z12" s="1">
        <f t="shared" si="2"/>
        <v>2579194.0596156251</v>
      </c>
      <c r="AA12" s="1">
        <f t="shared" si="2"/>
        <v>2247579.9919941947</v>
      </c>
      <c r="AB12" s="1">
        <f t="shared" si="2"/>
        <v>1904256.3517672473</v>
      </c>
      <c r="AC12" s="1">
        <f t="shared" si="2"/>
        <v>1498411.2632945401</v>
      </c>
      <c r="AD12" s="1">
        <f t="shared" si="2"/>
        <v>1180208.7167923634</v>
      </c>
      <c r="AE12" s="1">
        <f t="shared" si="2"/>
        <v>799884.32830838335</v>
      </c>
      <c r="AF12" s="1">
        <f t="shared" si="2"/>
        <v>406592.37291682581</v>
      </c>
    </row>
    <row r="13" spans="1:74" ht="15" x14ac:dyDescent="0.35">
      <c r="A13" t="s">
        <v>76</v>
      </c>
      <c r="E13" s="33">
        <f t="shared" ref="E13:AF13" si="3">+E6-E12</f>
        <v>2414352.6292567868</v>
      </c>
      <c r="F13" s="33">
        <f t="shared" si="3"/>
        <v>7277360.5746158324</v>
      </c>
      <c r="G13" s="33">
        <f t="shared" si="3"/>
        <v>7609324.9578356389</v>
      </c>
      <c r="H13" s="33">
        <f t="shared" si="3"/>
        <v>7950449.1466709068</v>
      </c>
      <c r="I13" s="33">
        <f t="shared" si="3"/>
        <v>8519479.3780158814</v>
      </c>
      <c r="J13" s="33">
        <f t="shared" si="3"/>
        <v>8665599.5872180201</v>
      </c>
      <c r="K13" s="33">
        <f t="shared" si="3"/>
        <v>9035629.297260087</v>
      </c>
      <c r="L13" s="33">
        <f t="shared" si="3"/>
        <v>9415725.2317613028</v>
      </c>
      <c r="M13" s="33">
        <f t="shared" si="3"/>
        <v>10000495.14016634</v>
      </c>
      <c r="N13" s="33">
        <f t="shared" si="3"/>
        <v>10211117.736691553</v>
      </c>
      <c r="O13" s="33">
        <f t="shared" si="3"/>
        <v>10622951.469034098</v>
      </c>
      <c r="P13" s="33">
        <f t="shared" si="3"/>
        <v>11045841.432313796</v>
      </c>
      <c r="Q13" s="33">
        <f t="shared" si="3"/>
        <v>11590700.063732609</v>
      </c>
      <c r="R13" s="33">
        <f t="shared" si="3"/>
        <v>11928140.410299767</v>
      </c>
      <c r="S13" s="33">
        <f t="shared" si="3"/>
        <v>12385836.4403846</v>
      </c>
      <c r="T13" s="33">
        <f t="shared" si="3"/>
        <v>12855669.287463607</v>
      </c>
      <c r="U13" s="33">
        <f t="shared" si="3"/>
        <v>13470845.317731947</v>
      </c>
      <c r="V13" s="33">
        <f t="shared" si="3"/>
        <v>13835655.359681422</v>
      </c>
      <c r="W13" s="33">
        <f t="shared" si="3"/>
        <v>14343691.967189526</v>
      </c>
      <c r="X13" s="33">
        <f t="shared" si="3"/>
        <v>14865045.454762854</v>
      </c>
      <c r="Y13" s="33">
        <f t="shared" si="3"/>
        <v>15494635.441892672</v>
      </c>
      <c r="Z13" s="33">
        <f t="shared" si="3"/>
        <v>15950922.008041399</v>
      </c>
      <c r="AA13" s="33">
        <f t="shared" si="3"/>
        <v>16514162.52650854</v>
      </c>
      <c r="AB13" s="33">
        <f t="shared" si="3"/>
        <v>17092007.948216774</v>
      </c>
      <c r="AC13" s="33">
        <f t="shared" si="3"/>
        <v>17735306.340439279</v>
      </c>
      <c r="AD13" s="33">
        <f t="shared" si="3"/>
        <v>18293930.356988128</v>
      </c>
      <c r="AE13" s="33">
        <f t="shared" si="3"/>
        <v>18917681.483894363</v>
      </c>
      <c r="AF13" s="33">
        <f t="shared" si="3"/>
        <v>19557443.011938456</v>
      </c>
    </row>
    <row r="14" spans="1:74" x14ac:dyDescent="0.2">
      <c r="A14" t="s">
        <v>49</v>
      </c>
      <c r="E14" s="5">
        <f>+E12+E13</f>
        <v>14275208.865894621</v>
      </c>
      <c r="F14" s="5">
        <f>+F12+F13</f>
        <v>14453648.976718303</v>
      </c>
      <c r="G14" s="5">
        <f t="shared" ref="G14:AF14" si="4">+G12+G13</f>
        <v>14634319.58892728</v>
      </c>
      <c r="H14" s="5">
        <f t="shared" si="4"/>
        <v>14817248.58378887</v>
      </c>
      <c r="I14" s="5">
        <f t="shared" si="4"/>
        <v>15002464.191086231</v>
      </c>
      <c r="J14" s="5">
        <f t="shared" si="4"/>
        <v>15189994.993474808</v>
      </c>
      <c r="K14" s="5">
        <f t="shared" si="4"/>
        <v>15379869.930893242</v>
      </c>
      <c r="L14" s="5">
        <f t="shared" si="4"/>
        <v>15572118.305029407</v>
      </c>
      <c r="M14" s="5">
        <f t="shared" si="4"/>
        <v>15766769.783842275</v>
      </c>
      <c r="N14" s="5">
        <f t="shared" si="4"/>
        <v>15963854.406140303</v>
      </c>
      <c r="O14" s="5">
        <f t="shared" si="4"/>
        <v>16163402.586217057</v>
      </c>
      <c r="P14" s="5">
        <f t="shared" si="4"/>
        <v>16365445.118544769</v>
      </c>
      <c r="Q14" s="5">
        <f t="shared" si="4"/>
        <v>16570013.182526577</v>
      </c>
      <c r="R14" s="5">
        <f t="shared" si="4"/>
        <v>16777138.347308159</v>
      </c>
      <c r="S14" s="5">
        <f t="shared" si="4"/>
        <v>16986852.526649509</v>
      </c>
      <c r="T14" s="5">
        <f t="shared" si="4"/>
        <v>17199188.183232628</v>
      </c>
      <c r="U14" s="5">
        <f t="shared" si="4"/>
        <v>17414178.035523035</v>
      </c>
      <c r="V14" s="5">
        <f t="shared" si="4"/>
        <v>17631855.260967072</v>
      </c>
      <c r="W14" s="5">
        <f t="shared" si="4"/>
        <v>17852253.45172916</v>
      </c>
      <c r="X14" s="5">
        <f t="shared" si="4"/>
        <v>18075406.619875774</v>
      </c>
      <c r="Y14" s="5">
        <f t="shared" si="4"/>
        <v>18301349.20262422</v>
      </c>
      <c r="Z14" s="5">
        <f t="shared" si="4"/>
        <v>18530116.067657024</v>
      </c>
      <c r="AA14" s="5">
        <f t="shared" si="4"/>
        <v>18761742.518502735</v>
      </c>
      <c r="AB14" s="5">
        <f t="shared" si="4"/>
        <v>18996264.299984019</v>
      </c>
      <c r="AC14" s="5">
        <f t="shared" si="4"/>
        <v>19233717.603733819</v>
      </c>
      <c r="AD14" s="5">
        <f t="shared" si="4"/>
        <v>19474139.073780492</v>
      </c>
      <c r="AE14" s="5">
        <f t="shared" si="4"/>
        <v>19717565.812202748</v>
      </c>
      <c r="AF14" s="5">
        <f t="shared" si="4"/>
        <v>19964035.384855282</v>
      </c>
    </row>
    <row r="16" spans="1:74" x14ac:dyDescent="0.2">
      <c r="A16" t="s">
        <v>77</v>
      </c>
      <c r="E16" s="5">
        <f>+E11-E13</f>
        <v>345185647.37074196</v>
      </c>
      <c r="F16" s="5">
        <f>+F11-F13</f>
        <v>337908286.79612613</v>
      </c>
      <c r="G16" s="5">
        <f t="shared" ref="G16:AE16" si="5">+G11-G13</f>
        <v>330298961.83829051</v>
      </c>
      <c r="H16" s="5">
        <f t="shared" si="5"/>
        <v>322348512.69161963</v>
      </c>
      <c r="I16" s="5">
        <f t="shared" si="5"/>
        <v>313829033.31360376</v>
      </c>
      <c r="J16" s="5">
        <f t="shared" si="5"/>
        <v>305163433.72638571</v>
      </c>
      <c r="K16" s="5">
        <f t="shared" si="5"/>
        <v>296127804.42912561</v>
      </c>
      <c r="L16" s="5">
        <f t="shared" si="5"/>
        <v>286712079.19736433</v>
      </c>
      <c r="M16" s="5">
        <f t="shared" si="5"/>
        <v>276711584.05719799</v>
      </c>
      <c r="N16" s="5">
        <f t="shared" si="5"/>
        <v>266500466.32050642</v>
      </c>
      <c r="O16" s="5">
        <f t="shared" si="5"/>
        <v>255877514.85147232</v>
      </c>
      <c r="P16" s="5">
        <f t="shared" si="5"/>
        <v>244831673.41915852</v>
      </c>
      <c r="Q16" s="5">
        <f t="shared" si="5"/>
        <v>233240973.35542589</v>
      </c>
      <c r="R16" s="5">
        <f t="shared" si="5"/>
        <v>221312832.94512612</v>
      </c>
      <c r="S16" s="5">
        <f t="shared" si="5"/>
        <v>208926996.50474152</v>
      </c>
      <c r="T16" s="5">
        <f t="shared" si="5"/>
        <v>196071327.21727791</v>
      </c>
      <c r="U16" s="5">
        <f t="shared" si="5"/>
        <v>182600481.89954597</v>
      </c>
      <c r="V16" s="5">
        <f t="shared" si="5"/>
        <v>168764826.53986454</v>
      </c>
      <c r="W16" s="5">
        <f t="shared" si="5"/>
        <v>154421134.57267502</v>
      </c>
      <c r="X16" s="5">
        <f t="shared" si="5"/>
        <v>139556089.11791217</v>
      </c>
      <c r="Y16" s="5">
        <f t="shared" si="5"/>
        <v>124061453.6760195</v>
      </c>
      <c r="Z16" s="5">
        <f t="shared" si="5"/>
        <v>108110531.66797811</v>
      </c>
      <c r="AA16" s="5">
        <f t="shared" si="5"/>
        <v>91596369.141469568</v>
      </c>
      <c r="AB16" s="5">
        <f t="shared" si="5"/>
        <v>74504361.193252802</v>
      </c>
      <c r="AC16" s="5">
        <f t="shared" si="5"/>
        <v>56769054.852813527</v>
      </c>
      <c r="AD16" s="5">
        <f t="shared" si="5"/>
        <v>38475124.495825395</v>
      </c>
      <c r="AE16" s="5">
        <f t="shared" si="5"/>
        <v>19557443.011931032</v>
      </c>
      <c r="AF16" s="5">
        <f>+AF11-AF13</f>
        <v>-7.4245035648345947E-6</v>
      </c>
    </row>
    <row r="17" spans="1:32" x14ac:dyDescent="0.2">
      <c r="E17" s="1"/>
    </row>
    <row r="18" spans="1:32" x14ac:dyDescent="0.2">
      <c r="D18" s="40"/>
      <c r="E18" s="1"/>
    </row>
    <row r="19" spans="1:32" x14ac:dyDescent="0.2">
      <c r="A19" t="s">
        <v>85</v>
      </c>
      <c r="C19" s="40">
        <f>XIRR(D19:AF19,D4:AF4)</f>
        <v>8.499999940395353E-2</v>
      </c>
      <c r="D19" s="91">
        <f>-E8</f>
        <v>-347599999.99999875</v>
      </c>
      <c r="E19" s="1">
        <f t="shared" ref="E19:AE19" si="6">+E6</f>
        <v>14275208.865894621</v>
      </c>
      <c r="F19" s="1">
        <f t="shared" si="6"/>
        <v>14453648.976718303</v>
      </c>
      <c r="G19" s="1">
        <f t="shared" si="6"/>
        <v>14634319.58892728</v>
      </c>
      <c r="H19" s="1">
        <f t="shared" si="6"/>
        <v>14817248.58378887</v>
      </c>
      <c r="I19" s="1">
        <f t="shared" si="6"/>
        <v>15002464.191086231</v>
      </c>
      <c r="J19" s="1">
        <f t="shared" si="6"/>
        <v>15189994.993474808</v>
      </c>
      <c r="K19" s="1">
        <f t="shared" si="6"/>
        <v>15379869.930893242</v>
      </c>
      <c r="L19" s="1">
        <f t="shared" si="6"/>
        <v>15572118.305029407</v>
      </c>
      <c r="M19" s="1">
        <f t="shared" si="6"/>
        <v>15766769.783842275</v>
      </c>
      <c r="N19" s="1">
        <f t="shared" si="6"/>
        <v>15963854.406140303</v>
      </c>
      <c r="O19" s="1">
        <f t="shared" si="6"/>
        <v>16163402.586217057</v>
      </c>
      <c r="P19" s="1">
        <f t="shared" si="6"/>
        <v>16365445.118544769</v>
      </c>
      <c r="Q19" s="1">
        <f t="shared" si="6"/>
        <v>16570013.182526577</v>
      </c>
      <c r="R19" s="1">
        <f t="shared" si="6"/>
        <v>16777138.347308159</v>
      </c>
      <c r="S19" s="1">
        <f t="shared" si="6"/>
        <v>16986852.526649509</v>
      </c>
      <c r="T19" s="1">
        <f t="shared" si="6"/>
        <v>17199188.183232628</v>
      </c>
      <c r="U19" s="1">
        <f t="shared" si="6"/>
        <v>17414178.035523035</v>
      </c>
      <c r="V19" s="1">
        <f t="shared" si="6"/>
        <v>17631855.260967072</v>
      </c>
      <c r="W19" s="1">
        <f t="shared" si="6"/>
        <v>17852253.45172916</v>
      </c>
      <c r="X19" s="1">
        <f t="shared" si="6"/>
        <v>18075406.619875774</v>
      </c>
      <c r="Y19" s="1">
        <f t="shared" si="6"/>
        <v>18301349.20262422</v>
      </c>
      <c r="Z19" s="1">
        <f t="shared" si="6"/>
        <v>18530116.067657024</v>
      </c>
      <c r="AA19" s="1">
        <f t="shared" si="6"/>
        <v>18761742.518502735</v>
      </c>
      <c r="AB19" s="1">
        <f t="shared" si="6"/>
        <v>18996264.299984019</v>
      </c>
      <c r="AC19" s="1">
        <f t="shared" si="6"/>
        <v>19233717.603733819</v>
      </c>
      <c r="AD19" s="1">
        <f t="shared" si="6"/>
        <v>19474139.073780492</v>
      </c>
      <c r="AE19" s="1">
        <f t="shared" si="6"/>
        <v>19717565.812202748</v>
      </c>
      <c r="AF19" s="5">
        <f>+AF6</f>
        <v>19964035.384855282</v>
      </c>
    </row>
    <row r="20" spans="1:32" x14ac:dyDescent="0.2">
      <c r="D20" s="40"/>
    </row>
    <row r="21" spans="1:32" x14ac:dyDescent="0.2">
      <c r="E21" s="94"/>
    </row>
    <row r="22" spans="1:32" x14ac:dyDescent="0.2">
      <c r="D22" s="92">
        <v>0.08</v>
      </c>
      <c r="E22" s="92">
        <v>7.7762029693947285E-2</v>
      </c>
      <c r="F22" s="1">
        <v>353546615.82369703</v>
      </c>
    </row>
    <row r="23" spans="1:32" x14ac:dyDescent="0.2">
      <c r="D23" s="92">
        <v>8.2500000000000004E-2</v>
      </c>
      <c r="E23" s="92">
        <v>8.0123334998153814E-2</v>
      </c>
      <c r="F23" s="1">
        <v>350553455.64138472</v>
      </c>
    </row>
    <row r="24" spans="1:32" x14ac:dyDescent="0.2">
      <c r="D24" s="92">
        <v>8.5000000000000006E-2</v>
      </c>
      <c r="E24" s="92">
        <v>8.2480672127756366E-2</v>
      </c>
      <c r="F24" s="1">
        <v>347599999.99999875</v>
      </c>
    </row>
    <row r="25" spans="1:32" x14ac:dyDescent="0.2">
      <c r="D25" s="92">
        <v>8.7499999999999994E-2</v>
      </c>
      <c r="E25" s="92">
        <v>8.4834057693107451E-2</v>
      </c>
      <c r="F25" s="1">
        <v>344685585.95297295</v>
      </c>
    </row>
    <row r="26" spans="1:32" x14ac:dyDescent="0.2">
      <c r="D26" s="92">
        <v>0.09</v>
      </c>
      <c r="E26" s="92">
        <v>8.7183508202736418E-2</v>
      </c>
      <c r="F26" s="1">
        <v>341809563.57647723</v>
      </c>
    </row>
    <row r="27" spans="1:32" x14ac:dyDescent="0.2">
      <c r="D27" s="92">
        <v>9.2499999999999999E-2</v>
      </c>
      <c r="E27" s="92">
        <v>8.9529040064172588E-2</v>
      </c>
      <c r="F27" s="1">
        <v>338971295.67841631</v>
      </c>
    </row>
    <row r="28" spans="1:32" x14ac:dyDescent="0.2">
      <c r="D28" s="92">
        <v>9.5000000000000001E-2</v>
      </c>
      <c r="E28" s="92">
        <v>9.1870669584912926E-2</v>
      </c>
      <c r="F28" s="1">
        <v>336170157.51467508</v>
      </c>
    </row>
  </sheetData>
  <pageMargins left="0.75" right="0.75" top="1" bottom="1" header="0.5" footer="0.5"/>
  <pageSetup scale="6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Annex 1.02</vt:lpstr>
      <vt:lpstr>Contingent</vt:lpstr>
      <vt:lpstr>Quarterly</vt:lpstr>
      <vt:lpstr>Contingent!Print_Area</vt:lpstr>
      <vt:lpstr>Quarterly!Print_Area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alford</dc:creator>
  <cp:lastModifiedBy>Jan Havlíček</cp:lastModifiedBy>
  <cp:lastPrinted>2000-11-08T23:15:01Z</cp:lastPrinted>
  <dcterms:created xsi:type="dcterms:W3CDTF">2000-09-07T14:38:09Z</dcterms:created>
  <dcterms:modified xsi:type="dcterms:W3CDTF">2023-09-11T04:51:02Z</dcterms:modified>
</cp:coreProperties>
</file>