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7F83E2-4BC4-40B5-A87C-1F86D8C012CB}" xr6:coauthVersionLast="47" xr6:coauthVersionMax="47" xr10:uidLastSave="{00000000-0000-0000-0000-000000000000}"/>
  <bookViews>
    <workbookView xWindow="-120" yWindow="-120" windowWidth="23280" windowHeight="12480" firstSheet="1" activeTab="1"/>
  </bookViews>
  <sheets>
    <sheet name="Assumptions" sheetId="2" r:id="rId1"/>
    <sheet name="Value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4" i="2"/>
  <c r="D15" i="2"/>
  <c r="D21" i="2"/>
  <c r="D23" i="2"/>
  <c r="E27" i="2"/>
  <c r="F27" i="2"/>
  <c r="G27" i="2"/>
  <c r="E28" i="2"/>
  <c r="F28" i="2"/>
  <c r="R2" i="1"/>
  <c r="B5" i="1"/>
  <c r="F7" i="1"/>
  <c r="G7" i="1"/>
  <c r="H7" i="1"/>
  <c r="I7" i="1"/>
  <c r="J7" i="1"/>
  <c r="K7" i="1"/>
  <c r="L7" i="1"/>
  <c r="M7" i="1"/>
  <c r="N7" i="1"/>
  <c r="O7" i="1"/>
  <c r="P7" i="1"/>
  <c r="R10" i="1"/>
  <c r="R11" i="1"/>
  <c r="R12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R17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R20" i="1"/>
  <c r="D21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D30" i="1"/>
  <c r="D32" i="1"/>
</calcChain>
</file>

<file path=xl/sharedStrings.xml><?xml version="1.0" encoding="utf-8"?>
<sst xmlns="http://schemas.openxmlformats.org/spreadsheetml/2006/main" count="98" uniqueCount="63">
  <si>
    <t>OPTION VALUATION</t>
  </si>
  <si>
    <t>Emissions Management Service</t>
  </si>
  <si>
    <t>unit size (MW)</t>
  </si>
  <si>
    <t xml:space="preserve"> </t>
  </si>
  <si>
    <t>ASSUMPTIONS</t>
  </si>
  <si>
    <t>annual</t>
  </si>
  <si>
    <t>O3 season</t>
  </si>
  <si>
    <t>uncontrolled</t>
  </si>
  <si>
    <t>NOx Tech</t>
  </si>
  <si>
    <t>heat rate:</t>
  </si>
  <si>
    <t>capacity:</t>
  </si>
  <si>
    <t>heat input:</t>
  </si>
  <si>
    <t>generation:</t>
  </si>
  <si>
    <t>control technology:</t>
  </si>
  <si>
    <t>destruction efficiency:</t>
  </si>
  <si>
    <t xml:space="preserve"> (tons)</t>
  </si>
  <si>
    <t>average unit:</t>
  </si>
  <si>
    <t>post-control</t>
  </si>
  <si>
    <t>NOx rate:</t>
  </si>
  <si>
    <t>qty. NOx removed:</t>
  </si>
  <si>
    <t>offer</t>
  </si>
  <si>
    <t>bid</t>
  </si>
  <si>
    <t>Year</t>
  </si>
  <si>
    <t>Bid</t>
  </si>
  <si>
    <t>Offer</t>
  </si>
  <si>
    <t>Day Count</t>
  </si>
  <si>
    <t>O/N</t>
  </si>
  <si>
    <t>3M</t>
  </si>
  <si>
    <t>6M</t>
  </si>
  <si>
    <t>9M</t>
  </si>
  <si>
    <t>EMS Contract Year:</t>
  </si>
  <si>
    <t>Rf</t>
  </si>
  <si>
    <t>NOx volatility</t>
  </si>
  <si>
    <t>PV intrinsic value</t>
  </si>
  <si>
    <t>.</t>
  </si>
  <si>
    <t>Estimated Capital Cost</t>
  </si>
  <si>
    <t>Estimated O&amp;M Cost</t>
  </si>
  <si>
    <t>Gas</t>
  </si>
  <si>
    <t>Usage</t>
  </si>
  <si>
    <t>Price</t>
  </si>
  <si>
    <t>Ammonia</t>
  </si>
  <si>
    <t>HR</t>
  </si>
  <si>
    <t>per mmbtu</t>
  </si>
  <si>
    <t>per ton</t>
  </si>
  <si>
    <t>per mmbtu (coal)</t>
  </si>
  <si>
    <t>per ton NOx reduced</t>
  </si>
  <si>
    <t>N0x</t>
  </si>
  <si>
    <t>Option Exp. Date</t>
  </si>
  <si>
    <t>Volatility</t>
  </si>
  <si>
    <t>Volume (tons)</t>
  </si>
  <si>
    <t>Days to expiration</t>
  </si>
  <si>
    <t>Strike price</t>
  </si>
  <si>
    <t>Intrinsic value</t>
  </si>
  <si>
    <t>Premium</t>
  </si>
  <si>
    <t>Option value</t>
  </si>
  <si>
    <t>Volume (tons/ year)</t>
  </si>
  <si>
    <t>Date options bought</t>
  </si>
  <si>
    <t>Total Option Value</t>
  </si>
  <si>
    <t>Option type put= 0, call=1</t>
  </si>
  <si>
    <t>NPV intrinsic value</t>
  </si>
  <si>
    <t xml:space="preserve">Ending year </t>
  </si>
  <si>
    <t>Starting year</t>
  </si>
  <si>
    <t>CapEx $/kw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</si>
</sst>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9" formatCode="_(* #,##0_);_(* \(#,##0\);_(* &quot;-&quot;??_);_(@_)"/>
    <numFmt numFmtId="174" formatCode="_(&quot;$&quot;* #,##0_);_(&quot;$&quot;* \(#,##0\);_(&quot;$&quot;* &quot;-&quot;??_);_(@_)"/>
    <numFmt numFmtId="185" formatCode="0.0%"/>
    <numFmt numFmtId="187" formatCode="mmmm\ d\,\ yyyy"/>
    <numFmt numFmtId="191" formatCode="&quot;$&quot;#,##0.00"/>
    <numFmt numFmtId="192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u/>
      <sz val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74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174" fontId="0" fillId="2" borderId="0" xfId="2" applyNumberFormat="1" applyFont="1" applyFill="1"/>
    <xf numFmtId="0" fontId="3" fillId="2" borderId="0" xfId="0" applyFont="1" applyFill="1"/>
    <xf numFmtId="15" fontId="0" fillId="2" borderId="0" xfId="0" applyNumberFormat="1" applyFill="1" applyAlignment="1">
      <alignment horizontal="left"/>
    </xf>
    <xf numFmtId="44" fontId="0" fillId="0" borderId="0" xfId="2" applyFont="1"/>
    <xf numFmtId="174" fontId="0" fillId="0" borderId="0" xfId="2" applyNumberFormat="1" applyFont="1"/>
    <xf numFmtId="0" fontId="0" fillId="0" borderId="0" xfId="0" quotePrefix="1"/>
    <xf numFmtId="185" fontId="0" fillId="0" borderId="0" xfId="3" applyNumberFormat="1" applyFont="1"/>
    <xf numFmtId="3" fontId="11" fillId="0" borderId="0" xfId="0" applyNumberFormat="1" applyFont="1"/>
    <xf numFmtId="0" fontId="14" fillId="0" borderId="0" xfId="0" applyFont="1"/>
    <xf numFmtId="169" fontId="13" fillId="0" borderId="0" xfId="1" applyNumberFormat="1" applyFont="1" applyFill="1" applyBorder="1"/>
    <xf numFmtId="0" fontId="7" fillId="2" borderId="0" xfId="0" applyFont="1" applyFill="1"/>
    <xf numFmtId="1" fontId="10" fillId="2" borderId="0" xfId="2" applyNumberFormat="1" applyFont="1" applyFill="1" applyAlignment="1"/>
    <xf numFmtId="169" fontId="13" fillId="2" borderId="0" xfId="1" applyNumberFormat="1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3" xfId="0" applyFont="1" applyFill="1" applyBorder="1"/>
    <xf numFmtId="187" fontId="8" fillId="2" borderId="0" xfId="0" applyNumberFormat="1" applyFont="1" applyFill="1" applyAlignment="1">
      <alignment horizontal="center"/>
    </xf>
    <xf numFmtId="14" fontId="0" fillId="2" borderId="0" xfId="0" applyNumberForma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9" fillId="2" borderId="0" xfId="3" applyNumberFormat="1" applyFont="1" applyFill="1" applyAlignment="1">
      <alignment horizontal="left"/>
    </xf>
    <xf numFmtId="10" fontId="7" fillId="2" borderId="0" xfId="3" applyNumberFormat="1" applyFont="1" applyFill="1" applyAlignment="1">
      <alignment horizontal="left"/>
    </xf>
    <xf numFmtId="1" fontId="7" fillId="2" borderId="0" xfId="1" applyNumberFormat="1" applyFont="1" applyFill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10" fontId="0" fillId="2" borderId="0" xfId="3" applyNumberFormat="1" applyFont="1" applyFill="1"/>
    <xf numFmtId="174" fontId="0" fillId="2" borderId="0" xfId="0" applyNumberFormat="1" applyFill="1"/>
    <xf numFmtId="0" fontId="2" fillId="0" borderId="4" xfId="0" applyFont="1" applyFill="1" applyBorder="1"/>
    <xf numFmtId="0" fontId="0" fillId="0" borderId="5" xfId="0" applyFill="1" applyBorder="1"/>
    <xf numFmtId="0" fontId="2" fillId="0" borderId="6" xfId="0" applyFont="1" applyFill="1" applyBorder="1"/>
    <xf numFmtId="0" fontId="0" fillId="0" borderId="7" xfId="0" applyFill="1" applyBorder="1"/>
    <xf numFmtId="0" fontId="3" fillId="0" borderId="8" xfId="0" applyFont="1" applyFill="1" applyBorder="1"/>
    <xf numFmtId="0" fontId="2" fillId="0" borderId="1" xfId="0" applyFont="1" applyFill="1" applyBorder="1"/>
    <xf numFmtId="0" fontId="3" fillId="0" borderId="9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0" fillId="0" borderId="9" xfId="0" applyFill="1" applyBorder="1"/>
    <xf numFmtId="1" fontId="0" fillId="0" borderId="0" xfId="0" applyNumberFormat="1" applyFill="1" applyBorder="1"/>
    <xf numFmtId="9" fontId="0" fillId="0" borderId="0" xfId="3" applyFont="1" applyFill="1" applyBorder="1"/>
    <xf numFmtId="10" fontId="0" fillId="0" borderId="0" xfId="3" applyNumberFormat="1" applyFont="1" applyFill="1" applyBorder="1"/>
    <xf numFmtId="10" fontId="0" fillId="0" borderId="0" xfId="0" applyNumberFormat="1" applyFill="1" applyBorder="1"/>
    <xf numFmtId="10" fontId="0" fillId="0" borderId="9" xfId="0" applyNumberFormat="1" applyFill="1" applyBorder="1"/>
    <xf numFmtId="1" fontId="0" fillId="0" borderId="9" xfId="0" applyNumberFormat="1" applyFill="1" applyBorder="1"/>
    <xf numFmtId="10" fontId="0" fillId="0" borderId="9" xfId="3" applyNumberFormat="1" applyFont="1" applyFill="1" applyBorder="1"/>
    <xf numFmtId="169" fontId="13" fillId="0" borderId="9" xfId="1" applyNumberFormat="1" applyFont="1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187" fontId="7" fillId="0" borderId="8" xfId="0" applyNumberFormat="1" applyFont="1" applyFill="1" applyBorder="1"/>
    <xf numFmtId="1" fontId="7" fillId="0" borderId="9" xfId="0" applyNumberFormat="1" applyFont="1" applyFill="1" applyBorder="1"/>
    <xf numFmtId="1" fontId="12" fillId="0" borderId="9" xfId="0" applyNumberFormat="1" applyFont="1" applyFill="1" applyBorder="1"/>
    <xf numFmtId="169" fontId="0" fillId="0" borderId="9" xfId="1" applyNumberFormat="1" applyFont="1" applyFill="1" applyBorder="1"/>
    <xf numFmtId="1" fontId="6" fillId="0" borderId="12" xfId="0" applyNumberFormat="1" applyFont="1" applyFill="1" applyBorder="1"/>
    <xf numFmtId="187" fontId="6" fillId="0" borderId="12" xfId="0" applyNumberFormat="1" applyFont="1" applyFill="1" applyBorder="1"/>
    <xf numFmtId="10" fontId="6" fillId="0" borderId="12" xfId="0" applyNumberFormat="1" applyFont="1" applyFill="1" applyBorder="1"/>
    <xf numFmtId="7" fontId="6" fillId="0" borderId="12" xfId="0" applyNumberFormat="1" applyFont="1" applyFill="1" applyBorder="1"/>
    <xf numFmtId="0" fontId="6" fillId="0" borderId="13" xfId="0" applyFont="1" applyFill="1" applyBorder="1"/>
    <xf numFmtId="15" fontId="0" fillId="0" borderId="6" xfId="0" applyNumberFormat="1" applyFill="1" applyBorder="1"/>
    <xf numFmtId="1" fontId="7" fillId="0" borderId="1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0" fontId="0" fillId="0" borderId="1" xfId="0" applyNumberFormat="1" applyFill="1" applyBorder="1"/>
    <xf numFmtId="1" fontId="0" fillId="0" borderId="1" xfId="0" applyNumberFormat="1" applyFill="1" applyBorder="1"/>
    <xf numFmtId="10" fontId="0" fillId="0" borderId="1" xfId="3" applyNumberFormat="1" applyFont="1" applyFill="1" applyBorder="1"/>
    <xf numFmtId="169" fontId="13" fillId="0" borderId="1" xfId="1" applyNumberFormat="1" applyFont="1" applyFill="1" applyBorder="1"/>
    <xf numFmtId="2" fontId="0" fillId="0" borderId="1" xfId="0" applyNumberFormat="1" applyFill="1" applyBorder="1"/>
    <xf numFmtId="165" fontId="11" fillId="0" borderId="1" xfId="0" applyNumberFormat="1" applyFont="1" applyFill="1" applyBorder="1"/>
    <xf numFmtId="165" fontId="11" fillId="0" borderId="0" xfId="0" applyNumberFormat="1" applyFont="1" applyFill="1" applyBorder="1"/>
    <xf numFmtId="165" fontId="11" fillId="0" borderId="9" xfId="0" applyNumberFormat="1" applyFont="1" applyFill="1" applyBorder="1"/>
    <xf numFmtId="0" fontId="15" fillId="0" borderId="14" xfId="0" applyFont="1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5" fontId="2" fillId="0" borderId="15" xfId="0" applyNumberFormat="1" applyFont="1" applyFill="1" applyBorder="1" applyAlignment="1">
      <alignment horizontal="center"/>
    </xf>
    <xf numFmtId="15" fontId="2" fillId="0" borderId="16" xfId="0" applyNumberFormat="1" applyFont="1" applyFill="1" applyBorder="1" applyAlignment="1">
      <alignment horizontal="center"/>
    </xf>
    <xf numFmtId="191" fontId="2" fillId="0" borderId="15" xfId="2" applyNumberFormat="1" applyFont="1" applyFill="1" applyBorder="1"/>
    <xf numFmtId="0" fontId="3" fillId="0" borderId="1" xfId="0" applyFont="1" applyFill="1" applyBorder="1"/>
    <xf numFmtId="3" fontId="2" fillId="0" borderId="9" xfId="2" applyNumberFormat="1" applyFont="1" applyFill="1" applyBorder="1"/>
    <xf numFmtId="44" fontId="0" fillId="3" borderId="15" xfId="2" applyFont="1" applyFill="1" applyBorder="1"/>
    <xf numFmtId="1" fontId="0" fillId="3" borderId="15" xfId="0" applyNumberFormat="1" applyFill="1" applyBorder="1"/>
    <xf numFmtId="0" fontId="0" fillId="4" borderId="17" xfId="0" applyFill="1" applyBorder="1"/>
    <xf numFmtId="0" fontId="0" fillId="4" borderId="16" xfId="0" applyFill="1" applyBorder="1"/>
    <xf numFmtId="0" fontId="2" fillId="4" borderId="17" xfId="0" applyFont="1" applyFill="1" applyBorder="1"/>
    <xf numFmtId="0" fontId="3" fillId="4" borderId="15" xfId="0" applyFont="1" applyFill="1" applyBorder="1"/>
    <xf numFmtId="3" fontId="0" fillId="2" borderId="0" xfId="0" applyNumberFormat="1" applyFill="1" applyBorder="1"/>
    <xf numFmtId="192" fontId="0" fillId="0" borderId="17" xfId="0" applyNumberFormat="1" applyFill="1" applyBorder="1"/>
    <xf numFmtId="192" fontId="0" fillId="0" borderId="15" xfId="0" applyNumberFormat="1" applyFill="1" applyBorder="1"/>
    <xf numFmtId="191" fontId="8" fillId="0" borderId="16" xfId="1" applyNumberFormat="1" applyFont="1" applyFill="1" applyBorder="1"/>
    <xf numFmtId="192" fontId="13" fillId="0" borderId="17" xfId="1" applyNumberFormat="1" applyFont="1" applyFill="1" applyBorder="1"/>
    <xf numFmtId="192" fontId="13" fillId="0" borderId="15" xfId="1" applyNumberFormat="1" applyFont="1" applyFill="1" applyBorder="1"/>
    <xf numFmtId="192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NOx Curve</a:t>
            </a:r>
          </a:p>
        </c:rich>
      </c:tx>
      <c:layout>
        <c:manualLayout>
          <c:xMode val="edge"/>
          <c:yMode val="edge"/>
          <c:x val="0.44032657554352811"/>
          <c:y val="0.10000316206016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893343118368349E-2"/>
          <c:y val="0.22917391305453572"/>
          <c:w val="0.8493410390484053"/>
          <c:h val="0.6000189723609662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Value!$E$9:$P$9</c:f>
              <c:numCache>
                <c:formatCode>d\-mmm\-yy</c:formatCode>
                <c:ptCount val="12"/>
                <c:pt idx="0">
                  <c:v>37347</c:v>
                </c:pt>
                <c:pt idx="1">
                  <c:v>37712</c:v>
                </c:pt>
                <c:pt idx="2">
                  <c:v>38078</c:v>
                </c:pt>
                <c:pt idx="3">
                  <c:v>38443</c:v>
                </c:pt>
                <c:pt idx="4">
                  <c:v>38808</c:v>
                </c:pt>
                <c:pt idx="5">
                  <c:v>39173</c:v>
                </c:pt>
                <c:pt idx="6">
                  <c:v>39539</c:v>
                </c:pt>
                <c:pt idx="7">
                  <c:v>39904</c:v>
                </c:pt>
                <c:pt idx="8">
                  <c:v>40269</c:v>
                </c:pt>
                <c:pt idx="9">
                  <c:v>40634</c:v>
                </c:pt>
                <c:pt idx="10">
                  <c:v>41000</c:v>
                </c:pt>
                <c:pt idx="11">
                  <c:v>41365</c:v>
                </c:pt>
              </c:numCache>
            </c:numRef>
          </c:cat>
          <c:val>
            <c:numRef>
              <c:f>Value!$E$10:$P$10</c:f>
              <c:numCache>
                <c:formatCode>0</c:formatCode>
                <c:ptCount val="12"/>
                <c:pt idx="0">
                  <c:v>1200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 formatCode="General">
                  <c:v>2500</c:v>
                </c:pt>
                <c:pt idx="6" formatCode="General">
                  <c:v>2500</c:v>
                </c:pt>
                <c:pt idx="7" formatCode="General">
                  <c:v>2500</c:v>
                </c:pt>
                <c:pt idx="8" formatCode="General">
                  <c:v>2500</c:v>
                </c:pt>
                <c:pt idx="9" formatCode="General">
                  <c:v>1000</c:v>
                </c:pt>
                <c:pt idx="10" formatCode="General">
                  <c:v>1000</c:v>
                </c:pt>
                <c:pt idx="11" formatCode="General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681-97AB-12BCBE16B9A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Value!$E$9:$P$9</c:f>
              <c:numCache>
                <c:formatCode>d\-mmm\-yy</c:formatCode>
                <c:ptCount val="12"/>
                <c:pt idx="0">
                  <c:v>37347</c:v>
                </c:pt>
                <c:pt idx="1">
                  <c:v>37712</c:v>
                </c:pt>
                <c:pt idx="2">
                  <c:v>38078</c:v>
                </c:pt>
                <c:pt idx="3">
                  <c:v>38443</c:v>
                </c:pt>
                <c:pt idx="4">
                  <c:v>38808</c:v>
                </c:pt>
                <c:pt idx="5">
                  <c:v>39173</c:v>
                </c:pt>
                <c:pt idx="6">
                  <c:v>39539</c:v>
                </c:pt>
                <c:pt idx="7">
                  <c:v>39904</c:v>
                </c:pt>
                <c:pt idx="8">
                  <c:v>40269</c:v>
                </c:pt>
                <c:pt idx="9">
                  <c:v>40634</c:v>
                </c:pt>
                <c:pt idx="10">
                  <c:v>41000</c:v>
                </c:pt>
                <c:pt idx="11">
                  <c:v>41365</c:v>
                </c:pt>
              </c:numCache>
            </c:numRef>
          </c:cat>
          <c:val>
            <c:numRef>
              <c:f>Value!$E$11:$P$11</c:f>
              <c:numCache>
                <c:formatCode>0</c:formatCode>
                <c:ptCount val="12"/>
                <c:pt idx="0">
                  <c:v>1200</c:v>
                </c:pt>
                <c:pt idx="1">
                  <c:v>5000</c:v>
                </c:pt>
                <c:pt idx="2">
                  <c:v>6500</c:v>
                </c:pt>
                <c:pt idx="3">
                  <c:v>6000</c:v>
                </c:pt>
                <c:pt idx="4">
                  <c:v>6000</c:v>
                </c:pt>
                <c:pt idx="5" formatCode="General">
                  <c:v>2500</c:v>
                </c:pt>
                <c:pt idx="6" formatCode="General">
                  <c:v>2500</c:v>
                </c:pt>
                <c:pt idx="7" formatCode="General">
                  <c:v>2500</c:v>
                </c:pt>
                <c:pt idx="8" formatCode="General">
                  <c:v>2500</c:v>
                </c:pt>
                <c:pt idx="9" formatCode="General">
                  <c:v>1000</c:v>
                </c:pt>
                <c:pt idx="10" formatCode="General">
                  <c:v>1000</c:v>
                </c:pt>
                <c:pt idx="11" formatCode="General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681-97AB-12BCBE16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32863"/>
        <c:axId val="1"/>
      </c:lineChart>
      <c:dateAx>
        <c:axId val="47163286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632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Treasury Yield Curve</a:t>
            </a:r>
          </a:p>
        </c:rich>
      </c:tx>
      <c:layout>
        <c:manualLayout>
          <c:xMode val="edge"/>
          <c:yMode val="edge"/>
          <c:x val="0.38133568140485291"/>
          <c:y val="0.10000316206016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5305182995799"/>
          <c:y val="0.22917391305453572"/>
          <c:w val="0.86384205379466683"/>
          <c:h val="0.60001897236096624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Value!$S$5:$S$20</c:f>
              <c:strCache>
                <c:ptCount val="16"/>
                <c:pt idx="0">
                  <c:v>O/N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30</c:v>
                </c:pt>
              </c:strCache>
            </c:strRef>
          </c:cat>
          <c:val>
            <c:numRef>
              <c:f>Value!$T$5:$T$20</c:f>
              <c:numCache>
                <c:formatCode>0.00%</c:formatCode>
                <c:ptCount val="16"/>
                <c:pt idx="0">
                  <c:v>6.5000000000000002E-2</c:v>
                </c:pt>
                <c:pt idx="1">
                  <c:v>6.4000000000000001E-2</c:v>
                </c:pt>
                <c:pt idx="2">
                  <c:v>6.3E-2</c:v>
                </c:pt>
                <c:pt idx="3">
                  <c:v>6.2E-2</c:v>
                </c:pt>
                <c:pt idx="4">
                  <c:v>6.0100000000000001E-2</c:v>
                </c:pt>
                <c:pt idx="5">
                  <c:v>5.9299999999999999E-2</c:v>
                </c:pt>
                <c:pt idx="6">
                  <c:v>5.8999999999999997E-2</c:v>
                </c:pt>
                <c:pt idx="7">
                  <c:v>5.8500000000000003E-2</c:v>
                </c:pt>
                <c:pt idx="8">
                  <c:v>5.8000000000000003E-2</c:v>
                </c:pt>
                <c:pt idx="9">
                  <c:v>5.79E-2</c:v>
                </c:pt>
                <c:pt idx="10">
                  <c:v>5.7799999999999997E-2</c:v>
                </c:pt>
                <c:pt idx="11">
                  <c:v>5.7799999999999997E-2</c:v>
                </c:pt>
                <c:pt idx="12">
                  <c:v>5.7700000000000001E-2</c:v>
                </c:pt>
                <c:pt idx="13">
                  <c:v>5.7299999999999997E-2</c:v>
                </c:pt>
                <c:pt idx="14">
                  <c:v>5.7200000000000001E-2</c:v>
                </c:pt>
                <c:pt idx="15">
                  <c:v>5.8200000000000002E-2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3-4DE7-BA32-D2EDD01AE98C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Value!$S$5:$S$20</c:f>
              <c:strCache>
                <c:ptCount val="16"/>
                <c:pt idx="0">
                  <c:v>O/N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30</c:v>
                </c:pt>
              </c:strCache>
            </c:strRef>
          </c:cat>
          <c:val>
            <c:numRef>
              <c:f>Value!$U$5:$U$20</c:f>
              <c:numCache>
                <c:formatCode>0.00%</c:formatCode>
                <c:ptCount val="16"/>
                <c:pt idx="0">
                  <c:v>6.4000000000000001E-2</c:v>
                </c:pt>
                <c:pt idx="1">
                  <c:v>6.3E-2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5.91E-2</c:v>
                </c:pt>
                <c:pt idx="5">
                  <c:v>5.8299999999999998E-2</c:v>
                </c:pt>
                <c:pt idx="6">
                  <c:v>5.8000000000000003E-2</c:v>
                </c:pt>
                <c:pt idx="7">
                  <c:v>5.7500000000000002E-2</c:v>
                </c:pt>
                <c:pt idx="8">
                  <c:v>5.7000000000000002E-2</c:v>
                </c:pt>
                <c:pt idx="9">
                  <c:v>5.6899999999999999E-2</c:v>
                </c:pt>
                <c:pt idx="10">
                  <c:v>5.6800000000000003E-2</c:v>
                </c:pt>
                <c:pt idx="11">
                  <c:v>5.6800000000000003E-2</c:v>
                </c:pt>
                <c:pt idx="12">
                  <c:v>5.67E-2</c:v>
                </c:pt>
                <c:pt idx="13">
                  <c:v>5.6300000000000003E-2</c:v>
                </c:pt>
                <c:pt idx="14">
                  <c:v>5.62E-2</c:v>
                </c:pt>
                <c:pt idx="15">
                  <c:v>5.7200000000000001E-2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3-4DE7-BA32-D2EDD01A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29615"/>
        <c:axId val="1"/>
      </c:lineChart>
      <c:catAx>
        <c:axId val="47162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629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27</xdr:row>
      <xdr:rowOff>0</xdr:rowOff>
    </xdr:from>
    <xdr:to>
      <xdr:col>10</xdr:col>
      <xdr:colOff>400050</xdr:colOff>
      <xdr:row>41</xdr:row>
      <xdr:rowOff>9525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313904A-4DFC-4092-2675-EAD43BC01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27</xdr:row>
      <xdr:rowOff>0</xdr:rowOff>
    </xdr:from>
    <xdr:to>
      <xdr:col>17</xdr:col>
      <xdr:colOff>142875</xdr:colOff>
      <xdr:row>41</xdr:row>
      <xdr:rowOff>9525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B11532B-F7B5-1EF9-EF88-388B862FF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opLeftCell="A3" zoomScale="92" workbookViewId="0">
      <selection activeCell="D9" sqref="D9"/>
    </sheetView>
  </sheetViews>
  <sheetFormatPr defaultRowHeight="12.75" x14ac:dyDescent="0.2"/>
  <cols>
    <col min="2" max="2" width="10" customWidth="1"/>
    <col min="3" max="3" width="10.85546875" customWidth="1"/>
    <col min="4" max="4" width="11.140625" customWidth="1"/>
    <col min="5" max="5" width="12.140625" customWidth="1"/>
    <col min="6" max="6" width="14" bestFit="1" customWidth="1"/>
    <col min="7" max="7" width="12.28515625" customWidth="1"/>
  </cols>
  <sheetData>
    <row r="3" spans="1:6" ht="15" x14ac:dyDescent="0.2">
      <c r="B3" s="9" t="s">
        <v>4</v>
      </c>
    </row>
    <row r="4" spans="1:6" x14ac:dyDescent="0.2">
      <c r="B4" t="s">
        <v>16</v>
      </c>
    </row>
    <row r="7" spans="1:6" x14ac:dyDescent="0.2">
      <c r="A7" s="11">
        <v>1</v>
      </c>
      <c r="B7" s="1" t="s">
        <v>2</v>
      </c>
      <c r="D7">
        <v>150</v>
      </c>
      <c r="F7" s="21"/>
    </row>
    <row r="8" spans="1:6" x14ac:dyDescent="0.2">
      <c r="A8" s="11">
        <v>2</v>
      </c>
      <c r="B8" s="1" t="s">
        <v>9</v>
      </c>
      <c r="D8" s="6">
        <v>10000</v>
      </c>
    </row>
    <row r="9" spans="1:6" x14ac:dyDescent="0.2">
      <c r="A9" s="11">
        <v>3</v>
      </c>
      <c r="B9" s="1" t="s">
        <v>10</v>
      </c>
      <c r="D9" s="2">
        <v>0.75</v>
      </c>
    </row>
    <row r="10" spans="1:6" x14ac:dyDescent="0.2">
      <c r="A10" s="11">
        <v>4</v>
      </c>
      <c r="B10" s="1" t="s">
        <v>11</v>
      </c>
      <c r="D10" s="6" t="s">
        <v>3</v>
      </c>
    </row>
    <row r="11" spans="1:6" x14ac:dyDescent="0.2">
      <c r="A11" s="11"/>
      <c r="B11" s="1"/>
      <c r="C11" s="8" t="s">
        <v>5</v>
      </c>
      <c r="D11" s="6">
        <f>D14*$D$8*1000/1000000</f>
        <v>9855000</v>
      </c>
    </row>
    <row r="12" spans="1:6" x14ac:dyDescent="0.2">
      <c r="A12" s="11"/>
      <c r="B12" s="7"/>
      <c r="C12" s="8" t="s">
        <v>6</v>
      </c>
      <c r="D12" s="6">
        <f>D15*$D$8*1000/1000000</f>
        <v>4106250</v>
      </c>
    </row>
    <row r="13" spans="1:6" x14ac:dyDescent="0.2">
      <c r="A13" s="11">
        <v>5</v>
      </c>
      <c r="B13" s="1" t="s">
        <v>12</v>
      </c>
      <c r="C13" s="8"/>
    </row>
    <row r="14" spans="1:6" x14ac:dyDescent="0.2">
      <c r="A14" s="11"/>
      <c r="B14" s="1"/>
      <c r="C14" s="8" t="s">
        <v>5</v>
      </c>
      <c r="D14" s="6">
        <f>($D$7*8760)*$D$9</f>
        <v>985500</v>
      </c>
    </row>
    <row r="15" spans="1:6" x14ac:dyDescent="0.2">
      <c r="A15" s="11"/>
      <c r="B15" s="7"/>
      <c r="C15" s="8" t="s">
        <v>6</v>
      </c>
      <c r="D15" s="6">
        <f>($D$14/12)*5</f>
        <v>410625</v>
      </c>
    </row>
    <row r="16" spans="1:6" x14ac:dyDescent="0.2">
      <c r="A16" s="11">
        <v>6</v>
      </c>
      <c r="B16" s="1" t="s">
        <v>13</v>
      </c>
      <c r="D16" s="6" t="s">
        <v>8</v>
      </c>
    </row>
    <row r="17" spans="1:8" x14ac:dyDescent="0.2">
      <c r="A17" s="11">
        <v>7</v>
      </c>
      <c r="B17" s="1" t="s">
        <v>14</v>
      </c>
      <c r="D17" s="2">
        <v>0.8</v>
      </c>
    </row>
    <row r="18" spans="1:8" x14ac:dyDescent="0.2">
      <c r="A18" s="11"/>
      <c r="C18" t="s">
        <v>3</v>
      </c>
      <c r="D18" s="3" t="s">
        <v>3</v>
      </c>
    </row>
    <row r="19" spans="1:8" x14ac:dyDescent="0.2">
      <c r="A19" s="11">
        <v>8</v>
      </c>
      <c r="B19" s="1" t="s">
        <v>18</v>
      </c>
      <c r="D19" s="2" t="s">
        <v>3</v>
      </c>
    </row>
    <row r="20" spans="1:8" x14ac:dyDescent="0.2">
      <c r="A20" s="11" t="s">
        <v>3</v>
      </c>
      <c r="B20" t="s">
        <v>3</v>
      </c>
      <c r="C20" s="8" t="s">
        <v>7</v>
      </c>
      <c r="D20" s="4">
        <v>0.45</v>
      </c>
    </row>
    <row r="21" spans="1:8" x14ac:dyDescent="0.2">
      <c r="A21" s="11"/>
      <c r="C21" s="8" t="s">
        <v>17</v>
      </c>
      <c r="D21" s="4">
        <f>$D$20*(1-$D$17)</f>
        <v>8.9999999999999983E-2</v>
      </c>
    </row>
    <row r="22" spans="1:8" ht="13.5" thickBot="1" x14ac:dyDescent="0.25">
      <c r="A22" s="11"/>
    </row>
    <row r="23" spans="1:8" ht="13.5" thickBot="1" x14ac:dyDescent="0.25">
      <c r="A23" s="11">
        <v>9</v>
      </c>
      <c r="B23" s="98" t="s">
        <v>19</v>
      </c>
      <c r="C23" s="97"/>
      <c r="D23" s="95">
        <f>(($D$12*$D$20)/2000)-(($D12*$D$21)/2000)</f>
        <v>739.125</v>
      </c>
      <c r="F23" s="5" t="s">
        <v>3</v>
      </c>
    </row>
    <row r="24" spans="1:8" ht="13.5" thickBot="1" x14ac:dyDescent="0.25">
      <c r="B24" s="99" t="s">
        <v>15</v>
      </c>
    </row>
    <row r="25" spans="1:8" x14ac:dyDescent="0.2">
      <c r="E25" s="22" t="s">
        <v>62</v>
      </c>
      <c r="F25" s="22" t="s">
        <v>62</v>
      </c>
      <c r="G25" s="22" t="s">
        <v>62</v>
      </c>
    </row>
    <row r="26" spans="1:8" x14ac:dyDescent="0.2">
      <c r="E26" s="106">
        <v>30</v>
      </c>
      <c r="F26" s="106">
        <v>45</v>
      </c>
      <c r="G26" s="106">
        <v>60</v>
      </c>
    </row>
    <row r="27" spans="1:8" ht="13.5" thickBot="1" x14ac:dyDescent="0.25">
      <c r="A27" s="1" t="s">
        <v>35</v>
      </c>
      <c r="E27" s="18">
        <f>$D$7*E26*1000</f>
        <v>4500000</v>
      </c>
      <c r="F27" s="18">
        <f>$D$7*F26*1000</f>
        <v>6750000</v>
      </c>
      <c r="G27" s="18">
        <f>$D$7*G26*1000</f>
        <v>9000000</v>
      </c>
    </row>
    <row r="28" spans="1:8" ht="13.5" thickBot="1" x14ac:dyDescent="0.25">
      <c r="A28" s="1" t="s">
        <v>36</v>
      </c>
      <c r="E28" s="10">
        <f>D12*B30*(C30-C32)+B32*D12*C32+D20*D12/2000*C31*B31</f>
        <v>528679.6875</v>
      </c>
      <c r="F28" s="94">
        <f>E28/D23</f>
        <v>715.27777777777783</v>
      </c>
      <c r="G28" s="96" t="s">
        <v>45</v>
      </c>
      <c r="H28" s="97"/>
    </row>
    <row r="29" spans="1:8" x14ac:dyDescent="0.2">
      <c r="A29" s="22" t="s">
        <v>37</v>
      </c>
      <c r="B29" s="22" t="s">
        <v>38</v>
      </c>
      <c r="C29" s="22" t="s">
        <v>39</v>
      </c>
    </row>
    <row r="30" spans="1:8" x14ac:dyDescent="0.2">
      <c r="A30" s="19"/>
      <c r="B30" s="20">
        <v>1.4999999999999999E-2</v>
      </c>
      <c r="C30" s="17">
        <v>4.5</v>
      </c>
      <c r="D30" t="s">
        <v>42</v>
      </c>
    </row>
    <row r="31" spans="1:8" x14ac:dyDescent="0.2">
      <c r="A31" t="s">
        <v>40</v>
      </c>
      <c r="B31">
        <v>1.65</v>
      </c>
      <c r="C31" s="17">
        <v>200</v>
      </c>
      <c r="D31" t="s">
        <v>43</v>
      </c>
    </row>
    <row r="32" spans="1:8" x14ac:dyDescent="0.2">
      <c r="A32" t="s">
        <v>41</v>
      </c>
      <c r="B32">
        <v>5.0000000000000001E-3</v>
      </c>
      <c r="C32" s="17">
        <v>1.3</v>
      </c>
      <c r="D32" t="s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topLeftCell="A6" zoomScale="75" workbookViewId="0">
      <pane xSplit="2550" ySplit="1110" topLeftCell="C1" activePane="bottomRight"/>
      <selection activeCell="B13" sqref="B13"/>
      <selection pane="topRight" activeCell="D6" sqref="D6"/>
      <selection pane="bottomLeft" activeCell="A28" sqref="A28:IV28"/>
      <selection pane="bottomRight" activeCell="M23" sqref="M23"/>
    </sheetView>
  </sheetViews>
  <sheetFormatPr defaultRowHeight="12.75" x14ac:dyDescent="0.2"/>
  <cols>
    <col min="1" max="1" width="5.28515625" style="12" customWidth="1"/>
    <col min="2" max="2" width="21.5703125" style="12" customWidth="1"/>
    <col min="3" max="3" width="10.85546875" style="12" bestFit="1" customWidth="1"/>
    <col min="4" max="4" width="16.85546875" style="12" customWidth="1"/>
    <col min="5" max="5" width="11" style="12" customWidth="1"/>
    <col min="6" max="6" width="13" style="12" bestFit="1" customWidth="1"/>
    <col min="7" max="7" width="15.28515625" style="12" customWidth="1"/>
    <col min="8" max="8" width="11.5703125" style="12" customWidth="1"/>
    <col min="9" max="9" width="16.7109375" style="12" customWidth="1"/>
    <col min="10" max="16" width="11.7109375" style="12" bestFit="1" customWidth="1"/>
    <col min="17" max="17" width="12.85546875" style="12" bestFit="1" customWidth="1"/>
    <col min="18" max="18" width="16.5703125" style="12" customWidth="1"/>
    <col min="19" max="19" width="4.85546875" style="12" customWidth="1"/>
    <col min="20" max="20" width="6.42578125" style="12" customWidth="1"/>
    <col min="21" max="21" width="6.85546875" style="12" customWidth="1"/>
    <col min="22" max="32" width="13.85546875" style="12" bestFit="1" customWidth="1"/>
    <col min="33" max="16384" width="9.140625" style="12"/>
  </cols>
  <sheetData>
    <row r="2" spans="1:22" x14ac:dyDescent="0.2">
      <c r="B2" s="13" t="s">
        <v>0</v>
      </c>
      <c r="R2" s="31">
        <f ca="1">TODAY()</f>
        <v>37116</v>
      </c>
      <c r="S2" s="13"/>
      <c r="U2" s="13"/>
    </row>
    <row r="3" spans="1:22" x14ac:dyDescent="0.2">
      <c r="B3" s="15" t="s">
        <v>1</v>
      </c>
      <c r="G3" s="12" t="s">
        <v>3</v>
      </c>
      <c r="H3" s="12" t="s">
        <v>3</v>
      </c>
      <c r="I3" s="14" t="s">
        <v>3</v>
      </c>
      <c r="R3" s="13" t="s">
        <v>25</v>
      </c>
      <c r="S3" s="13" t="s">
        <v>22</v>
      </c>
      <c r="T3" s="13" t="s">
        <v>23</v>
      </c>
      <c r="U3" s="13" t="s">
        <v>24</v>
      </c>
      <c r="V3" s="32">
        <v>36867</v>
      </c>
    </row>
    <row r="4" spans="1:22" x14ac:dyDescent="0.2">
      <c r="I4" s="14"/>
      <c r="J4" s="26"/>
    </row>
    <row r="5" spans="1:22" x14ac:dyDescent="0.2">
      <c r="B5" s="16">
        <f ca="1">TODAY()</f>
        <v>37116</v>
      </c>
      <c r="H5" s="24"/>
      <c r="I5" s="25"/>
      <c r="R5" s="33">
        <v>1</v>
      </c>
      <c r="S5" s="34" t="s">
        <v>26</v>
      </c>
      <c r="T5" s="35">
        <v>6.5000000000000002E-2</v>
      </c>
      <c r="U5" s="35">
        <v>6.4000000000000001E-2</v>
      </c>
    </row>
    <row r="6" spans="1:22" ht="13.5" thickBot="1" x14ac:dyDescent="0.25">
      <c r="I6" s="25"/>
      <c r="R6" s="33">
        <v>90</v>
      </c>
      <c r="S6" s="34" t="s">
        <v>27</v>
      </c>
      <c r="T6" s="36">
        <v>6.4000000000000001E-2</v>
      </c>
      <c r="U6" s="36">
        <v>6.3E-2</v>
      </c>
    </row>
    <row r="7" spans="1:22" x14ac:dyDescent="0.2">
      <c r="B7" s="42" t="s">
        <v>30</v>
      </c>
      <c r="C7" s="43"/>
      <c r="D7" s="63"/>
      <c r="E7" s="86">
        <v>2002</v>
      </c>
      <c r="F7" s="87">
        <f t="shared" ref="F7:P7" si="0">E7+1</f>
        <v>2003</v>
      </c>
      <c r="G7" s="87">
        <f t="shared" si="0"/>
        <v>2004</v>
      </c>
      <c r="H7" s="87">
        <f t="shared" si="0"/>
        <v>2005</v>
      </c>
      <c r="I7" s="87">
        <f t="shared" si="0"/>
        <v>2006</v>
      </c>
      <c r="J7" s="87">
        <f t="shared" si="0"/>
        <v>2007</v>
      </c>
      <c r="K7" s="87">
        <f t="shared" si="0"/>
        <v>2008</v>
      </c>
      <c r="L7" s="87">
        <f t="shared" si="0"/>
        <v>2009</v>
      </c>
      <c r="M7" s="87">
        <f t="shared" si="0"/>
        <v>2010</v>
      </c>
      <c r="N7" s="87">
        <f t="shared" si="0"/>
        <v>2011</v>
      </c>
      <c r="O7" s="87">
        <f t="shared" si="0"/>
        <v>2012</v>
      </c>
      <c r="P7" s="88">
        <f t="shared" si="0"/>
        <v>2013</v>
      </c>
      <c r="R7" s="37">
        <v>180</v>
      </c>
      <c r="S7" s="34" t="s">
        <v>28</v>
      </c>
      <c r="T7" s="36">
        <v>6.3E-2</v>
      </c>
      <c r="U7" s="36">
        <v>6.2E-2</v>
      </c>
    </row>
    <row r="8" spans="1:22" ht="13.5" thickBot="1" x14ac:dyDescent="0.25">
      <c r="B8" s="44" t="s">
        <v>3</v>
      </c>
      <c r="C8" s="29"/>
      <c r="D8" s="50"/>
      <c r="E8" s="73" t="s">
        <v>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45"/>
      <c r="R8" s="37">
        <v>270</v>
      </c>
      <c r="S8" s="34" t="s">
        <v>29</v>
      </c>
      <c r="T8" s="36">
        <v>6.2E-2</v>
      </c>
      <c r="U8" s="36">
        <v>6.0999999999999999E-2</v>
      </c>
    </row>
    <row r="9" spans="1:22" ht="13.5" thickBot="1" x14ac:dyDescent="0.25">
      <c r="A9" s="12" t="s">
        <v>34</v>
      </c>
      <c r="B9" s="42" t="s">
        <v>47</v>
      </c>
      <c r="C9" s="46"/>
      <c r="D9" s="64"/>
      <c r="E9" s="89">
        <v>37347</v>
      </c>
      <c r="F9" s="89">
        <v>37712</v>
      </c>
      <c r="G9" s="89">
        <v>38078</v>
      </c>
      <c r="H9" s="89">
        <v>38443</v>
      </c>
      <c r="I9" s="89">
        <v>38808</v>
      </c>
      <c r="J9" s="89">
        <v>39173</v>
      </c>
      <c r="K9" s="89">
        <v>39539</v>
      </c>
      <c r="L9" s="89">
        <v>39904</v>
      </c>
      <c r="M9" s="89">
        <v>40269</v>
      </c>
      <c r="N9" s="89">
        <v>40634</v>
      </c>
      <c r="O9" s="89">
        <v>41000</v>
      </c>
      <c r="P9" s="90">
        <v>41365</v>
      </c>
      <c r="R9" s="37">
        <v>360</v>
      </c>
      <c r="S9" s="34">
        <v>1</v>
      </c>
      <c r="T9" s="35">
        <v>6.0100000000000001E-2</v>
      </c>
      <c r="U9" s="35">
        <v>5.91E-2</v>
      </c>
    </row>
    <row r="10" spans="1:22" x14ac:dyDescent="0.2">
      <c r="A10" s="12" t="s">
        <v>3</v>
      </c>
      <c r="B10" s="47" t="s">
        <v>46</v>
      </c>
      <c r="C10" s="48" t="s">
        <v>20</v>
      </c>
      <c r="D10" s="65"/>
      <c r="E10" s="74">
        <v>1200</v>
      </c>
      <c r="F10" s="49">
        <v>4500</v>
      </c>
      <c r="G10" s="49">
        <v>4500</v>
      </c>
      <c r="H10" s="49">
        <v>4500</v>
      </c>
      <c r="I10" s="49">
        <v>4500</v>
      </c>
      <c r="J10" s="75">
        <v>2500</v>
      </c>
      <c r="K10" s="75">
        <v>2500</v>
      </c>
      <c r="L10" s="75">
        <v>2500</v>
      </c>
      <c r="M10" s="75">
        <v>2500</v>
      </c>
      <c r="N10" s="75">
        <v>1000</v>
      </c>
      <c r="O10" s="75">
        <v>1000</v>
      </c>
      <c r="P10" s="76">
        <v>1000</v>
      </c>
      <c r="R10" s="37">
        <f>360*S10</f>
        <v>720</v>
      </c>
      <c r="S10" s="34">
        <v>2</v>
      </c>
      <c r="T10" s="35">
        <v>5.9299999999999999E-2</v>
      </c>
      <c r="U10" s="35">
        <v>5.8299999999999998E-2</v>
      </c>
    </row>
    <row r="11" spans="1:22" x14ac:dyDescent="0.2">
      <c r="B11" s="47" t="s">
        <v>46</v>
      </c>
      <c r="C11" s="48" t="s">
        <v>21</v>
      </c>
      <c r="D11" s="65"/>
      <c r="E11" s="74">
        <v>1200</v>
      </c>
      <c r="F11" s="49">
        <v>5000</v>
      </c>
      <c r="G11" s="49">
        <v>6500</v>
      </c>
      <c r="H11" s="49">
        <v>6000</v>
      </c>
      <c r="I11" s="49">
        <v>6000</v>
      </c>
      <c r="J11" s="75">
        <v>2500</v>
      </c>
      <c r="K11" s="75">
        <v>2500</v>
      </c>
      <c r="L11" s="75">
        <v>2500</v>
      </c>
      <c r="M11" s="75">
        <v>2500</v>
      </c>
      <c r="N11" s="75">
        <v>1000</v>
      </c>
      <c r="O11" s="75">
        <v>1000</v>
      </c>
      <c r="P11" s="76">
        <v>1000</v>
      </c>
      <c r="R11" s="37">
        <f t="shared" ref="R11:R17" si="1">360*S11</f>
        <v>1080</v>
      </c>
      <c r="S11" s="34">
        <v>3</v>
      </c>
      <c r="T11" s="36">
        <v>5.8999999999999997E-2</v>
      </c>
      <c r="U11" s="36">
        <v>5.8000000000000003E-2</v>
      </c>
    </row>
    <row r="12" spans="1:22" x14ac:dyDescent="0.2">
      <c r="B12" s="47" t="s">
        <v>3</v>
      </c>
      <c r="C12" s="50" t="s">
        <v>3</v>
      </c>
      <c r="D12" s="56"/>
      <c r="E12" s="27"/>
      <c r="F12" s="28"/>
      <c r="G12" s="52" t="s">
        <v>3</v>
      </c>
      <c r="H12" s="28"/>
      <c r="I12" s="28"/>
      <c r="J12" s="28"/>
      <c r="K12" s="28"/>
      <c r="L12" s="28"/>
      <c r="M12" s="28"/>
      <c r="N12" s="28"/>
      <c r="O12" s="28"/>
      <c r="P12" s="50"/>
      <c r="R12" s="37">
        <f t="shared" si="1"/>
        <v>1440</v>
      </c>
      <c r="S12" s="34">
        <v>4</v>
      </c>
      <c r="T12" s="36">
        <v>5.8500000000000003E-2</v>
      </c>
      <c r="U12" s="36">
        <v>5.7500000000000002E-2</v>
      </c>
    </row>
    <row r="13" spans="1:22" x14ac:dyDescent="0.2">
      <c r="A13" s="12" t="s">
        <v>3</v>
      </c>
      <c r="B13" s="47" t="s">
        <v>48</v>
      </c>
      <c r="C13" s="50"/>
      <c r="D13" s="57"/>
      <c r="E13" s="77">
        <f t="shared" ref="E13:P13" si="2">$D$29</f>
        <v>0.2</v>
      </c>
      <c r="F13" s="54">
        <f t="shared" si="2"/>
        <v>0.2</v>
      </c>
      <c r="G13" s="54">
        <f t="shared" si="2"/>
        <v>0.2</v>
      </c>
      <c r="H13" s="54">
        <f t="shared" si="2"/>
        <v>0.2</v>
      </c>
      <c r="I13" s="54">
        <f t="shared" si="2"/>
        <v>0.2</v>
      </c>
      <c r="J13" s="54">
        <f t="shared" si="2"/>
        <v>0.2</v>
      </c>
      <c r="K13" s="54">
        <f t="shared" si="2"/>
        <v>0.2</v>
      </c>
      <c r="L13" s="54">
        <f t="shared" si="2"/>
        <v>0.2</v>
      </c>
      <c r="M13" s="54">
        <f t="shared" si="2"/>
        <v>0.2</v>
      </c>
      <c r="N13" s="54">
        <f t="shared" si="2"/>
        <v>0.2</v>
      </c>
      <c r="O13" s="54">
        <f t="shared" si="2"/>
        <v>0.2</v>
      </c>
      <c r="P13" s="55">
        <f t="shared" si="2"/>
        <v>0.2</v>
      </c>
      <c r="R13" s="37">
        <f t="shared" si="1"/>
        <v>1800</v>
      </c>
      <c r="S13" s="34">
        <v>5</v>
      </c>
      <c r="T13" s="35">
        <v>5.8000000000000003E-2</v>
      </c>
      <c r="U13" s="35">
        <v>5.7000000000000002E-2</v>
      </c>
    </row>
    <row r="14" spans="1:22" x14ac:dyDescent="0.2">
      <c r="B14" s="47" t="s">
        <v>49</v>
      </c>
      <c r="C14" s="50"/>
      <c r="D14" s="56"/>
      <c r="E14" s="78">
        <f t="shared" ref="E14:P14" si="3">$D$32</f>
        <v>739.125</v>
      </c>
      <c r="F14" s="51">
        <f t="shared" si="3"/>
        <v>739.125</v>
      </c>
      <c r="G14" s="51">
        <f t="shared" si="3"/>
        <v>739.125</v>
      </c>
      <c r="H14" s="51">
        <f t="shared" si="3"/>
        <v>739.125</v>
      </c>
      <c r="I14" s="51">
        <f t="shared" si="3"/>
        <v>739.125</v>
      </c>
      <c r="J14" s="51">
        <f t="shared" si="3"/>
        <v>739.125</v>
      </c>
      <c r="K14" s="51">
        <f t="shared" si="3"/>
        <v>739.125</v>
      </c>
      <c r="L14" s="51">
        <f t="shared" si="3"/>
        <v>739.125</v>
      </c>
      <c r="M14" s="51">
        <f t="shared" si="3"/>
        <v>739.125</v>
      </c>
      <c r="N14" s="51">
        <f t="shared" si="3"/>
        <v>739.125</v>
      </c>
      <c r="O14" s="51">
        <f t="shared" si="3"/>
        <v>739.125</v>
      </c>
      <c r="P14" s="56">
        <f t="shared" si="3"/>
        <v>739.125</v>
      </c>
      <c r="R14" s="37">
        <f t="shared" si="1"/>
        <v>2160</v>
      </c>
      <c r="S14" s="34">
        <v>6</v>
      </c>
      <c r="T14" s="36">
        <v>5.79E-2</v>
      </c>
      <c r="U14" s="36">
        <v>5.6899999999999999E-2</v>
      </c>
    </row>
    <row r="15" spans="1:22" x14ac:dyDescent="0.2">
      <c r="B15" s="47" t="s">
        <v>50</v>
      </c>
      <c r="C15" s="50"/>
      <c r="D15" s="56"/>
      <c r="E15" s="78">
        <f>E9-$D$28</f>
        <v>237</v>
      </c>
      <c r="F15" s="28">
        <f>E15+365</f>
        <v>602</v>
      </c>
      <c r="G15" s="28">
        <f>F15+365</f>
        <v>967</v>
      </c>
      <c r="H15" s="28">
        <f>G15+365</f>
        <v>1332</v>
      </c>
      <c r="I15" s="28">
        <f t="shared" ref="I15:P15" si="4">H15+365</f>
        <v>1697</v>
      </c>
      <c r="J15" s="28">
        <f t="shared" si="4"/>
        <v>2062</v>
      </c>
      <c r="K15" s="28">
        <f t="shared" si="4"/>
        <v>2427</v>
      </c>
      <c r="L15" s="28">
        <f t="shared" si="4"/>
        <v>2792</v>
      </c>
      <c r="M15" s="28">
        <f t="shared" si="4"/>
        <v>3157</v>
      </c>
      <c r="N15" s="28">
        <f t="shared" si="4"/>
        <v>3522</v>
      </c>
      <c r="O15" s="28">
        <f t="shared" si="4"/>
        <v>3887</v>
      </c>
      <c r="P15" s="50">
        <f t="shared" si="4"/>
        <v>4252</v>
      </c>
      <c r="R15" s="37">
        <f t="shared" si="1"/>
        <v>2520</v>
      </c>
      <c r="S15" s="34">
        <v>7</v>
      </c>
      <c r="T15" s="36">
        <v>5.7799999999999997E-2</v>
      </c>
      <c r="U15" s="36">
        <v>5.6800000000000003E-2</v>
      </c>
    </row>
    <row r="16" spans="1:22" x14ac:dyDescent="0.2">
      <c r="B16" s="47" t="s">
        <v>51</v>
      </c>
      <c r="C16" s="50"/>
      <c r="D16" s="66"/>
      <c r="E16" s="82">
        <f t="shared" ref="E16:P16" si="5">$D$30</f>
        <v>715.27777777777783</v>
      </c>
      <c r="F16" s="83">
        <f t="shared" si="5"/>
        <v>715.27777777777783</v>
      </c>
      <c r="G16" s="83">
        <f t="shared" si="5"/>
        <v>715.27777777777783</v>
      </c>
      <c r="H16" s="83">
        <f t="shared" si="5"/>
        <v>715.27777777777783</v>
      </c>
      <c r="I16" s="83">
        <f t="shared" si="5"/>
        <v>715.27777777777783</v>
      </c>
      <c r="J16" s="83">
        <f t="shared" si="5"/>
        <v>715.27777777777783</v>
      </c>
      <c r="K16" s="83">
        <f t="shared" si="5"/>
        <v>715.27777777777783</v>
      </c>
      <c r="L16" s="83">
        <f t="shared" si="5"/>
        <v>715.27777777777783</v>
      </c>
      <c r="M16" s="83">
        <f t="shared" si="5"/>
        <v>715.27777777777783</v>
      </c>
      <c r="N16" s="83">
        <f t="shared" si="5"/>
        <v>715.27777777777783</v>
      </c>
      <c r="O16" s="83">
        <f t="shared" si="5"/>
        <v>715.27777777777783</v>
      </c>
      <c r="P16" s="84">
        <f t="shared" si="5"/>
        <v>715.27777777777783</v>
      </c>
      <c r="R16" s="37">
        <f t="shared" si="1"/>
        <v>2880</v>
      </c>
      <c r="S16" s="34">
        <v>8</v>
      </c>
      <c r="T16" s="36">
        <v>5.7799999999999997E-2</v>
      </c>
      <c r="U16" s="36">
        <v>5.6800000000000003E-2</v>
      </c>
    </row>
    <row r="17" spans="2:21" x14ac:dyDescent="0.2">
      <c r="B17" s="47" t="s">
        <v>31</v>
      </c>
      <c r="C17" s="50"/>
      <c r="D17" s="57"/>
      <c r="E17" s="79">
        <f t="shared" ref="E17:P17" si="6">$D$31</f>
        <v>0.06</v>
      </c>
      <c r="F17" s="53">
        <f t="shared" si="6"/>
        <v>0.06</v>
      </c>
      <c r="G17" s="53">
        <f t="shared" si="6"/>
        <v>0.06</v>
      </c>
      <c r="H17" s="53">
        <f t="shared" si="6"/>
        <v>0.06</v>
      </c>
      <c r="I17" s="53">
        <f t="shared" si="6"/>
        <v>0.06</v>
      </c>
      <c r="J17" s="53">
        <f t="shared" si="6"/>
        <v>0.06</v>
      </c>
      <c r="K17" s="53">
        <f t="shared" si="6"/>
        <v>0.06</v>
      </c>
      <c r="L17" s="53">
        <f t="shared" si="6"/>
        <v>0.06</v>
      </c>
      <c r="M17" s="53">
        <f t="shared" si="6"/>
        <v>0.06</v>
      </c>
      <c r="N17" s="53">
        <f t="shared" si="6"/>
        <v>0.06</v>
      </c>
      <c r="O17" s="53">
        <f t="shared" si="6"/>
        <v>0.06</v>
      </c>
      <c r="P17" s="57">
        <f t="shared" si="6"/>
        <v>0.06</v>
      </c>
      <c r="R17" s="37">
        <f t="shared" si="1"/>
        <v>3600</v>
      </c>
      <c r="S17" s="34">
        <v>10</v>
      </c>
      <c r="T17" s="35">
        <v>5.7700000000000001E-2</v>
      </c>
      <c r="U17" s="35">
        <v>5.67E-2</v>
      </c>
    </row>
    <row r="18" spans="2:21" x14ac:dyDescent="0.2">
      <c r="B18" s="47"/>
      <c r="C18" s="50"/>
      <c r="D18" s="56"/>
      <c r="E18" s="27" t="s">
        <v>3</v>
      </c>
      <c r="F18" s="28" t="s">
        <v>3</v>
      </c>
      <c r="G18" s="28"/>
      <c r="H18" s="28"/>
      <c r="I18" s="28"/>
      <c r="J18" s="51"/>
      <c r="K18" s="51"/>
      <c r="L18" s="51"/>
      <c r="M18" s="51"/>
      <c r="N18" s="51"/>
      <c r="O18" s="51"/>
      <c r="P18" s="56"/>
      <c r="R18" s="37">
        <f>360*S18</f>
        <v>5040</v>
      </c>
      <c r="S18" s="34">
        <v>14</v>
      </c>
      <c r="T18" s="36">
        <v>5.7299999999999997E-2</v>
      </c>
      <c r="U18" s="36">
        <v>5.6300000000000003E-2</v>
      </c>
    </row>
    <row r="19" spans="2:21" ht="13.5" thickBot="1" x14ac:dyDescent="0.25">
      <c r="B19" s="47" t="s">
        <v>52</v>
      </c>
      <c r="C19" s="50"/>
      <c r="D19" s="58"/>
      <c r="E19" s="80">
        <f t="shared" ref="E19:P19" si="7">IF($D$33=0,($D30-E10)*$D$32,(E10-$D$30)*$D$32)</f>
        <v>358270.31249999994</v>
      </c>
      <c r="F19" s="23">
        <f t="shared" si="7"/>
        <v>2797382.8125</v>
      </c>
      <c r="G19" s="23">
        <f t="shared" si="7"/>
        <v>2797382.8125</v>
      </c>
      <c r="H19" s="23">
        <f t="shared" si="7"/>
        <v>2797382.8125</v>
      </c>
      <c r="I19" s="23">
        <f t="shared" si="7"/>
        <v>2797382.8125</v>
      </c>
      <c r="J19" s="23">
        <f t="shared" si="7"/>
        <v>1319132.8125</v>
      </c>
      <c r="K19" s="23">
        <f t="shared" si="7"/>
        <v>1319132.8125</v>
      </c>
      <c r="L19" s="23">
        <f t="shared" si="7"/>
        <v>1319132.8125</v>
      </c>
      <c r="M19" s="23">
        <f t="shared" si="7"/>
        <v>1319132.8125</v>
      </c>
      <c r="N19" s="23">
        <f t="shared" si="7"/>
        <v>210445.31249999997</v>
      </c>
      <c r="O19" s="23">
        <f t="shared" si="7"/>
        <v>210445.31249999997</v>
      </c>
      <c r="P19" s="58">
        <f t="shared" si="7"/>
        <v>210445.31249999997</v>
      </c>
      <c r="Q19" s="12" t="s">
        <v>3</v>
      </c>
      <c r="R19" s="37">
        <f>360*S19</f>
        <v>5400</v>
      </c>
      <c r="S19" s="34">
        <v>15</v>
      </c>
      <c r="T19" s="36">
        <v>5.7200000000000001E-2</v>
      </c>
      <c r="U19" s="36">
        <v>5.62E-2</v>
      </c>
    </row>
    <row r="20" spans="2:21" ht="13.5" thickBot="1" x14ac:dyDescent="0.25">
      <c r="B20" s="47" t="s">
        <v>33</v>
      </c>
      <c r="C20" s="50"/>
      <c r="D20" s="58"/>
      <c r="E20" s="104">
        <f>IF(AND(E7&gt;=$D$26,E7&lt;=$D$27),E19/((1+(E17))^(E15/360)),0)</f>
        <v>0</v>
      </c>
      <c r="F20" s="104">
        <f>IF(AND(F7&gt;=$D$26,F7&lt;=$D$27),F19/((1+(F17))^(F15/360)),0)</f>
        <v>2537668.4013162018</v>
      </c>
      <c r="G20" s="104">
        <f>IF(AND(G7&gt;=$D$26,G7&lt;=$D$27),G19/((1+(G17))^(G15/360)),0)</f>
        <v>2392090.1145891249</v>
      </c>
      <c r="H20" s="104">
        <f t="shared" ref="H20:P20" si="8">IF(AND(H7&gt;=$D$26,H7&lt;=$D$27),H19/((1+(H17))^(H15/360)),0)</f>
        <v>2254863.2096089306</v>
      </c>
      <c r="I20" s="104">
        <f t="shared" si="8"/>
        <v>2125508.5931080012</v>
      </c>
      <c r="J20" s="104">
        <f t="shared" si="8"/>
        <v>0</v>
      </c>
      <c r="K20" s="104">
        <f t="shared" si="8"/>
        <v>0</v>
      </c>
      <c r="L20" s="104">
        <f t="shared" si="8"/>
        <v>0</v>
      </c>
      <c r="M20" s="104">
        <f t="shared" si="8"/>
        <v>0</v>
      </c>
      <c r="N20" s="104">
        <f t="shared" si="8"/>
        <v>0</v>
      </c>
      <c r="O20" s="104">
        <f t="shared" si="8"/>
        <v>0</v>
      </c>
      <c r="P20" s="105">
        <f t="shared" si="8"/>
        <v>0</v>
      </c>
      <c r="R20" s="37">
        <f>360*S20</f>
        <v>10800</v>
      </c>
      <c r="S20" s="34">
        <v>30</v>
      </c>
      <c r="T20" s="35">
        <v>5.8200000000000002E-2</v>
      </c>
      <c r="U20" s="35">
        <v>5.7200000000000001E-2</v>
      </c>
    </row>
    <row r="21" spans="2:21" ht="13.5" thickBot="1" x14ac:dyDescent="0.25">
      <c r="B21" s="47" t="s">
        <v>59</v>
      </c>
      <c r="C21" s="50"/>
      <c r="D21" s="103">
        <f>SUM(E20:P20)</f>
        <v>9310130.3186222576</v>
      </c>
      <c r="E21" s="8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58"/>
    </row>
    <row r="22" spans="2:21" x14ac:dyDescent="0.2">
      <c r="B22" s="47"/>
      <c r="C22" s="50"/>
      <c r="D22" s="58"/>
      <c r="E22" s="8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58"/>
    </row>
    <row r="23" spans="2:21" ht="13.5" thickBot="1" x14ac:dyDescent="0.25">
      <c r="B23" s="47" t="s">
        <v>53</v>
      </c>
      <c r="C23" s="50"/>
      <c r="D23" s="60"/>
      <c r="E23" s="81">
        <f>_xll.AMER(E10,E16,$G$17,$G$17,$G$13,E15,$D$33,0)</f>
        <v>484.72222222222217</v>
      </c>
      <c r="F23" s="59">
        <f>_xll.AMER(F10,F16,$G$17,$G$17,$G$13,F15,$D$33,0)</f>
        <v>3784.7222222222222</v>
      </c>
      <c r="G23" s="59">
        <f>_xll.AMER(G10,G16,$G$17,$G$17,$G$13,G15,$D$33,0)</f>
        <v>3784.7222222222222</v>
      </c>
      <c r="H23" s="59">
        <f>_xll.AMER(H10,H16,$G$17,$G$17,$G$13,H15,$D$33,0)</f>
        <v>3784.7222222222222</v>
      </c>
      <c r="I23" s="59">
        <f>_xll.AMER(I10,I16,$G$17,$G$17,$G$13,I15,$D$33,0)</f>
        <v>3784.7222222222222</v>
      </c>
      <c r="J23" s="59">
        <f>_xll.AMER(J10,J16,$G$17,$G$17,$G$13,J15,$D$33,0)</f>
        <v>1784.7222222222222</v>
      </c>
      <c r="K23" s="59">
        <f>_xll.AMER(K10,K16,$G$17,$G$17,$G$13,K15,$D$33,0)</f>
        <v>1784.7222222222222</v>
      </c>
      <c r="L23" s="59">
        <f>_xll.AMER(L10,L16,$G$17,$G$17,$G$13,L15,$D$33,0)</f>
        <v>1784.7222222222222</v>
      </c>
      <c r="M23" s="59">
        <f>_xll.AMER(M10,M16,$G$17,$G$17,$G$13,M15,$D$33,0)</f>
        <v>1784.7222222222222</v>
      </c>
      <c r="N23" s="59">
        <f>_xll.AMER(N10,N16,$G$17,$G$17,$G$13,N15,$D$33,0)</f>
        <v>313.1942135697937</v>
      </c>
      <c r="O23" s="59">
        <f>_xll.AMER(O10,O16,$G$17,$G$17,$G$13,O15,$D$33,0)</f>
        <v>315.13761277779372</v>
      </c>
      <c r="P23" s="60">
        <f>_xll.AMER(P10,P16,$G$17,$G$17,$G$13,P15,$D$33,0)</f>
        <v>316.8212622419361</v>
      </c>
    </row>
    <row r="24" spans="2:21" ht="13.5" thickBot="1" x14ac:dyDescent="0.25">
      <c r="B24" s="47" t="s">
        <v>54</v>
      </c>
      <c r="C24" s="50"/>
      <c r="D24" s="67"/>
      <c r="E24" s="101">
        <f t="shared" ref="E24:P24" si="9">IF(AND(E7&gt;=$D$26,E7&lt;=$D$27),E23*E14,0)</f>
        <v>0</v>
      </c>
      <c r="F24" s="101">
        <f t="shared" si="9"/>
        <v>2797382.8125</v>
      </c>
      <c r="G24" s="101">
        <f t="shared" si="9"/>
        <v>2797382.8125</v>
      </c>
      <c r="H24" s="101">
        <f t="shared" si="9"/>
        <v>2797382.8125</v>
      </c>
      <c r="I24" s="101">
        <f t="shared" si="9"/>
        <v>2797382.8125</v>
      </c>
      <c r="J24" s="101">
        <f t="shared" si="9"/>
        <v>0</v>
      </c>
      <c r="K24" s="101">
        <f t="shared" si="9"/>
        <v>0</v>
      </c>
      <c r="L24" s="101">
        <f t="shared" si="9"/>
        <v>0</v>
      </c>
      <c r="M24" s="101">
        <f t="shared" si="9"/>
        <v>0</v>
      </c>
      <c r="N24" s="101">
        <f t="shared" si="9"/>
        <v>0</v>
      </c>
      <c r="O24" s="101">
        <f t="shared" si="9"/>
        <v>0</v>
      </c>
      <c r="P24" s="102">
        <f t="shared" si="9"/>
        <v>0</v>
      </c>
    </row>
    <row r="25" spans="2:21" ht="13.5" thickBot="1" x14ac:dyDescent="0.25">
      <c r="B25" s="44" t="s">
        <v>57</v>
      </c>
      <c r="C25" s="45"/>
      <c r="D25" s="91">
        <f>SUM(F24:P24)</f>
        <v>11189531.25</v>
      </c>
      <c r="E25" s="38"/>
      <c r="F25" s="38"/>
      <c r="S25" s="39"/>
      <c r="T25" s="40"/>
      <c r="U25" s="40"/>
    </row>
    <row r="26" spans="2:21" x14ac:dyDescent="0.2">
      <c r="B26" s="92" t="s">
        <v>61</v>
      </c>
      <c r="C26" s="50"/>
      <c r="D26" s="93">
        <v>2003</v>
      </c>
      <c r="E26" s="38"/>
      <c r="F26" s="38"/>
      <c r="S26" s="39"/>
      <c r="T26" s="40"/>
      <c r="U26" s="40"/>
    </row>
    <row r="27" spans="2:21" x14ac:dyDescent="0.2">
      <c r="B27" s="92" t="s">
        <v>60</v>
      </c>
      <c r="C27" s="50"/>
      <c r="D27" s="93">
        <v>2006</v>
      </c>
      <c r="E27" s="38"/>
      <c r="F27" s="38"/>
      <c r="S27" s="39"/>
      <c r="T27" s="40"/>
      <c r="U27" s="40"/>
    </row>
    <row r="28" spans="2:21" x14ac:dyDescent="0.2">
      <c r="B28" s="30" t="s">
        <v>56</v>
      </c>
      <c r="C28" s="61"/>
      <c r="D28" s="69">
        <v>37110</v>
      </c>
      <c r="E28" s="38"/>
      <c r="F28" s="38"/>
      <c r="I28" s="12" t="s">
        <v>3</v>
      </c>
    </row>
    <row r="29" spans="2:21" x14ac:dyDescent="0.2">
      <c r="B29" s="30" t="s">
        <v>32</v>
      </c>
      <c r="C29" s="61"/>
      <c r="D29" s="70">
        <v>0.2</v>
      </c>
      <c r="E29" s="38"/>
      <c r="F29" s="38"/>
      <c r="J29" s="12" t="s">
        <v>3</v>
      </c>
      <c r="P29" s="14" t="s">
        <v>3</v>
      </c>
      <c r="S29" s="39"/>
    </row>
    <row r="30" spans="2:21" x14ac:dyDescent="0.2">
      <c r="B30" s="30" t="s">
        <v>51</v>
      </c>
      <c r="C30" s="61"/>
      <c r="D30" s="71">
        <f>Assumptions!F28</f>
        <v>715.27777777777783</v>
      </c>
      <c r="E30" s="38"/>
      <c r="F30" s="38"/>
      <c r="P30" s="14"/>
    </row>
    <row r="31" spans="2:21" x14ac:dyDescent="0.2">
      <c r="B31" s="30" t="s">
        <v>31</v>
      </c>
      <c r="C31" s="61"/>
      <c r="D31" s="70">
        <v>0.06</v>
      </c>
      <c r="E31" s="38"/>
      <c r="F31" s="38"/>
      <c r="P31" s="14"/>
      <c r="S31" s="39"/>
    </row>
    <row r="32" spans="2:21" x14ac:dyDescent="0.2">
      <c r="B32" s="30" t="s">
        <v>55</v>
      </c>
      <c r="C32" s="61"/>
      <c r="D32" s="68">
        <f>Assumptions!D23</f>
        <v>739.125</v>
      </c>
      <c r="E32" s="38"/>
      <c r="F32" s="38"/>
    </row>
    <row r="33" spans="2:17" ht="13.5" thickBot="1" x14ac:dyDescent="0.25">
      <c r="B33" s="85" t="s">
        <v>58</v>
      </c>
      <c r="C33" s="62"/>
      <c r="D33" s="72">
        <v>1</v>
      </c>
      <c r="E33" s="38"/>
      <c r="F33" s="38"/>
      <c r="K33" s="12" t="s">
        <v>3</v>
      </c>
    </row>
    <row r="34" spans="2:17" x14ac:dyDescent="0.2">
      <c r="B34" s="38"/>
      <c r="C34" s="38"/>
      <c r="D34" s="38"/>
      <c r="E34" s="38"/>
      <c r="F34" s="38"/>
      <c r="K34" s="12" t="s">
        <v>3</v>
      </c>
    </row>
    <row r="35" spans="2:17" x14ac:dyDescent="0.2">
      <c r="B35" s="38"/>
      <c r="C35" s="38"/>
      <c r="D35" s="100"/>
      <c r="E35" s="38"/>
      <c r="F35" s="38"/>
      <c r="K35" s="12" t="s">
        <v>3</v>
      </c>
      <c r="M35" s="41" t="s">
        <v>3</v>
      </c>
    </row>
    <row r="36" spans="2:17" x14ac:dyDescent="0.2">
      <c r="D36" s="13"/>
      <c r="J36" s="12" t="s">
        <v>3</v>
      </c>
      <c r="L36" s="12" t="s">
        <v>3</v>
      </c>
    </row>
    <row r="43" spans="2:17" x14ac:dyDescent="0.2"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2:17" x14ac:dyDescent="0.2">
      <c r="E44" s="38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 x14ac:dyDescent="0.2">
      <c r="E45" s="38"/>
      <c r="F45" s="38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 x14ac:dyDescent="0.2">
      <c r="E46" s="38"/>
      <c r="F46" s="38"/>
      <c r="G46" s="38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 x14ac:dyDescent="0.2">
      <c r="E47" s="38"/>
      <c r="F47" s="38"/>
      <c r="G47" s="38"/>
      <c r="H47" s="38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 x14ac:dyDescent="0.2">
      <c r="E48" s="38"/>
      <c r="F48" s="38"/>
      <c r="G48" s="38"/>
      <c r="H48" s="38"/>
      <c r="I48" s="38"/>
      <c r="J48" s="100"/>
      <c r="K48" s="100"/>
      <c r="L48" s="100"/>
      <c r="M48" s="100"/>
      <c r="N48" s="100"/>
      <c r="O48" s="100"/>
      <c r="P48" s="100"/>
      <c r="Q48" s="100"/>
    </row>
    <row r="49" spans="5:17" x14ac:dyDescent="0.2">
      <c r="E49" s="38"/>
      <c r="F49" s="38"/>
      <c r="G49" s="38"/>
      <c r="H49" s="38"/>
      <c r="I49" s="38"/>
      <c r="J49" s="38"/>
      <c r="K49" s="100"/>
      <c r="L49" s="100"/>
      <c r="M49" s="100"/>
      <c r="N49" s="100"/>
      <c r="O49" s="100"/>
      <c r="P49" s="100"/>
      <c r="Q49" s="100"/>
    </row>
    <row r="50" spans="5:17" x14ac:dyDescent="0.2">
      <c r="E50" s="38"/>
      <c r="F50" s="38"/>
      <c r="G50" s="38"/>
      <c r="H50" s="38"/>
      <c r="I50" s="38"/>
      <c r="J50" s="38"/>
      <c r="K50" s="38"/>
      <c r="L50" s="100"/>
      <c r="M50" s="100"/>
      <c r="N50" s="100"/>
      <c r="O50" s="100"/>
      <c r="P50" s="100"/>
      <c r="Q50" s="100"/>
    </row>
    <row r="51" spans="5:17" x14ac:dyDescent="0.2">
      <c r="E51" s="38"/>
      <c r="F51" s="38"/>
      <c r="G51" s="38"/>
      <c r="H51" s="38"/>
      <c r="I51" s="38"/>
      <c r="J51" s="38"/>
      <c r="K51" s="38"/>
      <c r="L51" s="38"/>
      <c r="M51" s="100"/>
      <c r="N51" s="100"/>
      <c r="O51" s="100"/>
      <c r="P51" s="100"/>
      <c r="Q51" s="100"/>
    </row>
    <row r="52" spans="5:17" x14ac:dyDescent="0.2">
      <c r="E52" s="38"/>
      <c r="F52" s="38"/>
      <c r="G52" s="38"/>
      <c r="H52" s="38"/>
      <c r="I52" s="38"/>
      <c r="J52" s="38"/>
      <c r="K52" s="38"/>
      <c r="L52" s="38"/>
      <c r="M52" s="38"/>
      <c r="N52" s="100"/>
      <c r="O52" s="100"/>
      <c r="P52" s="100"/>
      <c r="Q52" s="100"/>
    </row>
    <row r="53" spans="5:17" x14ac:dyDescent="0.2"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100"/>
      <c r="P53" s="100"/>
      <c r="Q53" s="100"/>
    </row>
    <row r="54" spans="5:17" x14ac:dyDescent="0.2"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100"/>
      <c r="Q54" s="100"/>
    </row>
    <row r="55" spans="5:17" x14ac:dyDescent="0.2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00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Value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vwagner</dc:creator>
  <cp:lastModifiedBy>Jan Havlíček</cp:lastModifiedBy>
  <dcterms:created xsi:type="dcterms:W3CDTF">2000-10-04T14:11:42Z</dcterms:created>
  <dcterms:modified xsi:type="dcterms:W3CDTF">2023-09-11T09:36:29Z</dcterms:modified>
</cp:coreProperties>
</file>