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2EFFDA-085B-49CC-B869-F5F8DCDED462}" xr6:coauthVersionLast="47" xr6:coauthVersionMax="47" xr10:uidLastSave="{00000000-0000-0000-0000-000000000000}"/>
  <bookViews>
    <workbookView xWindow="-120" yWindow="-120" windowWidth="23280" windowHeight="12480" tabRatio="804" activeTab="12"/>
  </bookViews>
  <sheets>
    <sheet name="AL" sheetId="9" r:id="rId1"/>
    <sheet name="DE" sheetId="8" r:id="rId2"/>
    <sheet name="IL" sheetId="1" r:id="rId3"/>
    <sheet name="MD" sheetId="5" r:id="rId4"/>
    <sheet name="MA" sheetId="7" r:id="rId5"/>
    <sheet name="NJ" sheetId="6" r:id="rId6"/>
    <sheet name="NY" sheetId="10" r:id="rId7"/>
    <sheet name="NC" sheetId="4" r:id="rId8"/>
    <sheet name="OH" sheetId="12" r:id="rId9"/>
    <sheet name="PA" sheetId="2" r:id="rId10"/>
    <sheet name="RI" sheetId="11" r:id="rId11"/>
    <sheet name="SC" sheetId="13" r:id="rId12"/>
    <sheet name="VA" sheetId="3" r:id="rId13"/>
  </sheets>
  <definedNames>
    <definedName name="_xlnm.Print_Area" localSheetId="6">NY!$A$1:$AJ$384</definedName>
    <definedName name="_xlnm.Print_Area">NY!$A$1:$J$362</definedName>
    <definedName name="_xlnm.Print_Titles" localSheetId="6">NY!$1:$2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B81" i="5"/>
  <c r="F82" i="4"/>
  <c r="G82" i="4"/>
  <c r="F83" i="4"/>
  <c r="AL2" i="10"/>
  <c r="C4" i="10"/>
  <c r="C5" i="10"/>
  <c r="C6" i="10"/>
  <c r="C8" i="10"/>
  <c r="C10" i="10"/>
  <c r="C13" i="10"/>
  <c r="T15" i="10"/>
  <c r="S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L16" i="10"/>
  <c r="S17" i="10"/>
  <c r="Y17" i="10"/>
  <c r="AA17" i="10"/>
  <c r="AC17" i="10"/>
  <c r="AE17" i="10"/>
  <c r="AG17" i="10"/>
  <c r="AI17" i="10"/>
  <c r="S18" i="10"/>
  <c r="D19" i="10"/>
  <c r="S19" i="10"/>
  <c r="U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Q20" i="10"/>
  <c r="S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Q21" i="10"/>
  <c r="S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D22" i="10"/>
  <c r="K22" i="10"/>
  <c r="L22" i="10"/>
  <c r="M22" i="10"/>
  <c r="N22" i="10"/>
  <c r="O22" i="10"/>
  <c r="Q22" i="10"/>
  <c r="S22" i="10"/>
  <c r="U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L22" i="10"/>
  <c r="D23" i="10"/>
  <c r="O23" i="10"/>
  <c r="Q23" i="10"/>
  <c r="S23" i="10"/>
  <c r="U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D24" i="10"/>
  <c r="Q24" i="10"/>
  <c r="S24" i="10"/>
  <c r="U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D25" i="10"/>
  <c r="Q25" i="10"/>
  <c r="S25" i="10"/>
  <c r="U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D26" i="10"/>
  <c r="K26" i="10"/>
  <c r="L26" i="10"/>
  <c r="M26" i="10"/>
  <c r="N26" i="10"/>
  <c r="O26" i="10"/>
  <c r="S26" i="10"/>
  <c r="U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D27" i="10"/>
  <c r="K27" i="10"/>
  <c r="L27" i="10"/>
  <c r="M27" i="10"/>
  <c r="N27" i="10"/>
  <c r="O27" i="10"/>
  <c r="S27" i="10"/>
  <c r="U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D28" i="10"/>
  <c r="K28" i="10"/>
  <c r="L28" i="10"/>
  <c r="M28" i="10"/>
  <c r="N28" i="10"/>
  <c r="O28" i="10"/>
  <c r="S28" i="10"/>
  <c r="U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D29" i="10"/>
  <c r="K29" i="10"/>
  <c r="L29" i="10"/>
  <c r="M29" i="10"/>
  <c r="N29" i="10"/>
  <c r="O29" i="10"/>
  <c r="S29" i="10"/>
  <c r="U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K30" i="10"/>
  <c r="L30" i="10"/>
  <c r="M30" i="10"/>
  <c r="N30" i="10"/>
  <c r="O30" i="10"/>
  <c r="S30" i="10"/>
  <c r="U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Q31" i="10"/>
  <c r="S31" i="10"/>
  <c r="U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D32" i="10"/>
  <c r="K32" i="10"/>
  <c r="L32" i="10"/>
  <c r="M32" i="10"/>
  <c r="N32" i="10"/>
  <c r="S32" i="10"/>
  <c r="U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D33" i="10"/>
  <c r="K33" i="10"/>
  <c r="L33" i="10"/>
  <c r="M33" i="10"/>
  <c r="N33" i="10"/>
  <c r="S33" i="10"/>
  <c r="U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D34" i="10"/>
  <c r="Q34" i="10"/>
  <c r="S34" i="10"/>
  <c r="U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D35" i="10"/>
  <c r="Q35" i="10"/>
  <c r="S35" i="10"/>
  <c r="U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D36" i="10"/>
  <c r="S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D37" i="10"/>
  <c r="Q37" i="10"/>
  <c r="S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D38" i="10"/>
  <c r="Q38" i="10"/>
  <c r="S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D39" i="10"/>
  <c r="Q39" i="10"/>
  <c r="S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D40" i="10"/>
  <c r="Q40" i="10"/>
  <c r="S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D41" i="10"/>
  <c r="Q41" i="10"/>
  <c r="S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D42" i="10"/>
  <c r="K42" i="10"/>
  <c r="L42" i="10"/>
  <c r="M42" i="10"/>
  <c r="N42" i="10"/>
  <c r="O42" i="10"/>
  <c r="Q42" i="10"/>
  <c r="S42" i="10"/>
  <c r="U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D43" i="10"/>
  <c r="K43" i="10"/>
  <c r="L43" i="10"/>
  <c r="M43" i="10"/>
  <c r="N43" i="10"/>
  <c r="O43" i="10"/>
  <c r="Q43" i="10"/>
  <c r="S43" i="10"/>
  <c r="U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D44" i="10"/>
  <c r="K44" i="10"/>
  <c r="L44" i="10"/>
  <c r="M44" i="10"/>
  <c r="N44" i="10"/>
  <c r="O44" i="10"/>
  <c r="Q44" i="10"/>
  <c r="S44" i="10"/>
  <c r="U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D45" i="10"/>
  <c r="Q45" i="10"/>
  <c r="S45" i="10"/>
  <c r="U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D46" i="10"/>
  <c r="Q46" i="10"/>
  <c r="S46" i="10"/>
  <c r="U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D47" i="10"/>
  <c r="Q47" i="10"/>
  <c r="S47" i="10"/>
  <c r="U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D48" i="10"/>
  <c r="Q48" i="10"/>
  <c r="S48" i="10"/>
  <c r="U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D49" i="10"/>
  <c r="Q49" i="10"/>
  <c r="S49" i="10"/>
  <c r="U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D50" i="10"/>
  <c r="Q50" i="10"/>
  <c r="S50" i="10"/>
  <c r="U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D51" i="10"/>
  <c r="S51" i="10"/>
  <c r="U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S52" i="10"/>
  <c r="U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D53" i="10"/>
  <c r="Q53" i="10"/>
  <c r="S53" i="10"/>
  <c r="U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D54" i="10"/>
  <c r="Q54" i="10"/>
  <c r="S54" i="10"/>
  <c r="U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55" i="10"/>
  <c r="Q55" i="10"/>
  <c r="S55" i="10"/>
  <c r="U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D56" i="10"/>
  <c r="Q56" i="10"/>
  <c r="S56" i="10"/>
  <c r="U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D57" i="10"/>
  <c r="Q57" i="10"/>
  <c r="S57" i="10"/>
  <c r="U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D58" i="10"/>
  <c r="Q58" i="10"/>
  <c r="S58" i="10"/>
  <c r="U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D59" i="10"/>
  <c r="Q59" i="10"/>
  <c r="S59" i="10"/>
  <c r="U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D60" i="10"/>
  <c r="S60" i="10"/>
  <c r="U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D61" i="10"/>
  <c r="S61" i="10"/>
  <c r="U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D62" i="10"/>
  <c r="Q62" i="10"/>
  <c r="S62" i="10"/>
  <c r="U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D63" i="10"/>
  <c r="K63" i="10"/>
  <c r="L63" i="10"/>
  <c r="M63" i="10"/>
  <c r="N63" i="10"/>
  <c r="Q63" i="10"/>
  <c r="S63" i="10"/>
  <c r="U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K64" i="10"/>
  <c r="L64" i="10"/>
  <c r="M64" i="10"/>
  <c r="N64" i="10"/>
  <c r="Q64" i="10"/>
  <c r="S64" i="10"/>
  <c r="U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K65" i="10"/>
  <c r="L65" i="10"/>
  <c r="M65" i="10"/>
  <c r="N65" i="10"/>
  <c r="Q65" i="10"/>
  <c r="S65" i="10"/>
  <c r="U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K66" i="10"/>
  <c r="L66" i="10"/>
  <c r="M66" i="10"/>
  <c r="N66" i="10"/>
  <c r="Q66" i="10"/>
  <c r="S66" i="10"/>
  <c r="U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D67" i="10"/>
  <c r="Q67" i="10"/>
  <c r="S67" i="10"/>
  <c r="U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D68" i="10"/>
  <c r="Q68" i="10"/>
  <c r="S68" i="10"/>
  <c r="U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D69" i="10"/>
  <c r="S69" i="10"/>
  <c r="U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S70" i="10"/>
  <c r="U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D71" i="10"/>
  <c r="Q71" i="10"/>
  <c r="S71" i="10"/>
  <c r="U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D72" i="10"/>
  <c r="Q72" i="10"/>
  <c r="S72" i="10"/>
  <c r="U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D73" i="10"/>
  <c r="K73" i="10"/>
  <c r="L73" i="10"/>
  <c r="M73" i="10"/>
  <c r="N73" i="10"/>
  <c r="O73" i="10"/>
  <c r="S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K74" i="10"/>
  <c r="L74" i="10"/>
  <c r="M74" i="10"/>
  <c r="N74" i="10"/>
  <c r="O74" i="10"/>
  <c r="S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D75" i="10"/>
  <c r="Q75" i="10"/>
  <c r="S75" i="10"/>
  <c r="U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D76" i="10"/>
  <c r="Q76" i="10"/>
  <c r="S76" i="10"/>
  <c r="U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D77" i="10"/>
  <c r="Q77" i="10"/>
  <c r="S77" i="10"/>
  <c r="U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S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K78" i="10"/>
  <c r="AL78" i="10"/>
  <c r="S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K79" i="10"/>
  <c r="AL79" i="10"/>
  <c r="S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K80" i="10"/>
  <c r="AL80" i="10"/>
  <c r="S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K81" i="10"/>
  <c r="AL81" i="10"/>
  <c r="S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K82" i="10"/>
  <c r="AL82" i="10"/>
  <c r="S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K83" i="10"/>
  <c r="AL83" i="10"/>
  <c r="D84" i="10"/>
  <c r="Q84" i="10"/>
  <c r="S84" i="10"/>
  <c r="U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D85" i="10"/>
  <c r="Q85" i="10"/>
  <c r="S85" i="10"/>
  <c r="U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D86" i="10"/>
  <c r="Q86" i="10"/>
  <c r="S86" i="10"/>
  <c r="U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D87" i="10"/>
  <c r="Q87" i="10"/>
  <c r="S87" i="10"/>
  <c r="U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D88" i="10"/>
  <c r="Q88" i="10"/>
  <c r="S88" i="10"/>
  <c r="U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D89" i="10"/>
  <c r="Q89" i="10"/>
  <c r="S89" i="10"/>
  <c r="U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S90" i="10"/>
  <c r="U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J90" i="10"/>
  <c r="AL90" i="10"/>
  <c r="S91" i="10"/>
  <c r="U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J91" i="10"/>
  <c r="AL91" i="10"/>
  <c r="S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K92" i="10"/>
  <c r="AL92" i="10"/>
  <c r="S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K93" i="10"/>
  <c r="AL93" i="10"/>
  <c r="D94" i="10"/>
  <c r="Q94" i="10"/>
  <c r="S94" i="10"/>
  <c r="U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D95" i="10"/>
  <c r="Q95" i="10"/>
  <c r="S95" i="10"/>
  <c r="U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D96" i="10"/>
  <c r="S96" i="10"/>
  <c r="U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D97" i="10"/>
  <c r="Q97" i="10"/>
  <c r="S97" i="10"/>
  <c r="U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D98" i="10"/>
  <c r="Q98" i="10"/>
  <c r="S98" i="10"/>
  <c r="U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D99" i="10"/>
  <c r="Q99" i="10"/>
  <c r="S99" i="10"/>
  <c r="U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D100" i="10"/>
  <c r="S100" i="10"/>
  <c r="U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D101" i="10"/>
  <c r="S101" i="10"/>
  <c r="U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D102" i="10"/>
  <c r="Q102" i="10"/>
  <c r="S102" i="10"/>
  <c r="U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D103" i="10"/>
  <c r="Q103" i="10"/>
  <c r="S103" i="10"/>
  <c r="U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D104" i="10"/>
  <c r="S104" i="10"/>
  <c r="U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D105" i="10"/>
  <c r="Q105" i="10"/>
  <c r="S105" i="10"/>
  <c r="U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D106" i="10"/>
  <c r="Q106" i="10"/>
  <c r="S106" i="10"/>
  <c r="U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D107" i="10"/>
  <c r="Q107" i="10"/>
  <c r="S107" i="10"/>
  <c r="U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D108" i="10"/>
  <c r="S108" i="10"/>
  <c r="U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D109" i="10"/>
  <c r="Q109" i="10"/>
  <c r="S109" i="10"/>
  <c r="U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D110" i="10"/>
  <c r="Q110" i="10"/>
  <c r="S110" i="10"/>
  <c r="U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D111" i="10"/>
  <c r="Q111" i="10"/>
  <c r="S111" i="10"/>
  <c r="U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D112" i="10"/>
  <c r="Q112" i="10"/>
  <c r="S112" i="10"/>
  <c r="U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D113" i="10"/>
  <c r="Q113" i="10"/>
  <c r="S113" i="10"/>
  <c r="U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D114" i="10"/>
  <c r="Q114" i="10"/>
  <c r="S114" i="10"/>
  <c r="U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D115" i="10"/>
  <c r="Q115" i="10"/>
  <c r="S115" i="10"/>
  <c r="U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D116" i="10"/>
  <c r="Q116" i="10"/>
  <c r="S116" i="10"/>
  <c r="U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D117" i="10"/>
  <c r="Q117" i="10"/>
  <c r="S117" i="10"/>
  <c r="U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D118" i="10"/>
  <c r="Q118" i="10"/>
  <c r="S118" i="10"/>
  <c r="U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D119" i="10"/>
  <c r="Q119" i="10"/>
  <c r="S119" i="10"/>
  <c r="U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D120" i="10"/>
  <c r="Q120" i="10"/>
  <c r="S120" i="10"/>
  <c r="U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D121" i="10"/>
  <c r="S121" i="10"/>
  <c r="U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D122" i="10"/>
  <c r="S122" i="10"/>
  <c r="U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D123" i="10"/>
  <c r="S123" i="10"/>
  <c r="U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D124" i="10"/>
  <c r="S124" i="10"/>
  <c r="U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D125" i="10"/>
  <c r="S125" i="10"/>
  <c r="U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D126" i="10"/>
  <c r="S126" i="10"/>
  <c r="U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D127" i="10"/>
  <c r="S127" i="10"/>
  <c r="U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D128" i="10"/>
  <c r="S128" i="10"/>
  <c r="U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D129" i="10"/>
  <c r="Q129" i="10"/>
  <c r="S129" i="10"/>
  <c r="U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D130" i="10"/>
  <c r="Q130" i="10"/>
  <c r="S130" i="10"/>
  <c r="U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D131" i="10"/>
  <c r="S131" i="10"/>
  <c r="U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D132" i="10"/>
  <c r="S132" i="10"/>
  <c r="U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D133" i="10"/>
  <c r="S133" i="10"/>
  <c r="U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D134" i="10"/>
  <c r="S134" i="10"/>
  <c r="U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D135" i="10"/>
  <c r="S135" i="10"/>
  <c r="U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D136" i="10"/>
  <c r="S136" i="10"/>
  <c r="U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D137" i="10"/>
  <c r="S137" i="10"/>
  <c r="U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D138" i="10"/>
  <c r="S138" i="10"/>
  <c r="U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D139" i="10"/>
  <c r="S139" i="10"/>
  <c r="U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D140" i="10"/>
  <c r="S140" i="10"/>
  <c r="U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D141" i="10"/>
  <c r="S141" i="10"/>
  <c r="U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D142" i="10"/>
  <c r="S142" i="10"/>
  <c r="U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D143" i="10"/>
  <c r="S143" i="10"/>
  <c r="U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D144" i="10"/>
  <c r="S144" i="10"/>
  <c r="U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D145" i="10"/>
  <c r="S145" i="10"/>
  <c r="U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D146" i="10"/>
  <c r="S146" i="10"/>
  <c r="U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D147" i="10"/>
  <c r="S147" i="10"/>
  <c r="U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D148" i="10"/>
  <c r="S148" i="10"/>
  <c r="U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D149" i="10"/>
  <c r="S149" i="10"/>
  <c r="U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D150" i="10"/>
  <c r="S150" i="10"/>
  <c r="U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D151" i="10"/>
  <c r="S151" i="10"/>
  <c r="U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D152" i="10"/>
  <c r="S152" i="10"/>
  <c r="U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D153" i="10"/>
  <c r="S153" i="10"/>
  <c r="U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D154" i="10"/>
  <c r="S154" i="10"/>
  <c r="U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D155" i="10"/>
  <c r="S155" i="10"/>
  <c r="U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D156" i="10"/>
  <c r="S156" i="10"/>
  <c r="U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D157" i="10"/>
  <c r="S157" i="10"/>
  <c r="U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D158" i="10"/>
  <c r="S158" i="10"/>
  <c r="U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D159" i="10"/>
  <c r="S159" i="10"/>
  <c r="U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D160" i="10"/>
  <c r="S160" i="10"/>
  <c r="U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D161" i="10"/>
  <c r="S161" i="10"/>
  <c r="U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D162" i="10"/>
  <c r="S162" i="10"/>
  <c r="U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D163" i="10"/>
  <c r="S163" i="10"/>
  <c r="U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D164" i="10"/>
  <c r="S164" i="10"/>
  <c r="U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D165" i="10"/>
  <c r="S165" i="10"/>
  <c r="U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D166" i="10"/>
  <c r="S166" i="10"/>
  <c r="U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D167" i="10"/>
  <c r="S167" i="10"/>
  <c r="U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D168" i="10"/>
  <c r="S168" i="10"/>
  <c r="U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D169" i="10"/>
  <c r="Q169" i="10"/>
  <c r="S169" i="10"/>
  <c r="U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D170" i="10"/>
  <c r="Q170" i="10"/>
  <c r="S170" i="10"/>
  <c r="U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D171" i="10"/>
  <c r="Q171" i="10"/>
  <c r="S171" i="10"/>
  <c r="U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D172" i="10"/>
  <c r="S172" i="10"/>
  <c r="U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D173" i="10"/>
  <c r="Q173" i="10"/>
  <c r="S173" i="10"/>
  <c r="U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D174" i="10"/>
  <c r="Q174" i="10"/>
  <c r="S174" i="10"/>
  <c r="U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D175" i="10"/>
  <c r="Q175" i="10"/>
  <c r="S175" i="10"/>
  <c r="U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D176" i="10"/>
  <c r="Q176" i="10"/>
  <c r="S176" i="10"/>
  <c r="U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D177" i="10"/>
  <c r="Q177" i="10"/>
  <c r="S177" i="10"/>
  <c r="U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D178" i="10"/>
  <c r="Q178" i="10"/>
  <c r="S178" i="10"/>
  <c r="U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D179" i="10"/>
  <c r="Q179" i="10"/>
  <c r="S179" i="10"/>
  <c r="U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D180" i="10"/>
  <c r="Q180" i="10"/>
  <c r="S180" i="10"/>
  <c r="U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D181" i="10"/>
  <c r="S181" i="10"/>
  <c r="U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D182" i="10"/>
  <c r="S182" i="10"/>
  <c r="U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D183" i="10"/>
  <c r="S183" i="10"/>
  <c r="U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D184" i="10"/>
  <c r="S184" i="10"/>
  <c r="U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D185" i="10"/>
  <c r="S185" i="10"/>
  <c r="U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D186" i="10"/>
  <c r="S186" i="10"/>
  <c r="U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D187" i="10"/>
  <c r="S187" i="10"/>
  <c r="U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D188" i="10"/>
  <c r="S188" i="10"/>
  <c r="U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D189" i="10"/>
  <c r="Q189" i="10"/>
  <c r="S189" i="10"/>
  <c r="U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D190" i="10"/>
  <c r="Q190" i="10"/>
  <c r="S190" i="10"/>
  <c r="U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D191" i="10"/>
  <c r="Q191" i="10"/>
  <c r="S191" i="10"/>
  <c r="U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D192" i="10"/>
  <c r="Q192" i="10"/>
  <c r="S192" i="10"/>
  <c r="U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D193" i="10"/>
  <c r="S193" i="10"/>
  <c r="U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D194" i="10"/>
  <c r="S194" i="10"/>
  <c r="U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D195" i="10"/>
  <c r="S195" i="10"/>
  <c r="U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D196" i="10"/>
  <c r="S196" i="10"/>
  <c r="U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D197" i="10"/>
  <c r="S197" i="10"/>
  <c r="U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D198" i="10"/>
  <c r="S198" i="10"/>
  <c r="U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D199" i="10"/>
  <c r="S199" i="10"/>
  <c r="U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D200" i="10"/>
  <c r="S200" i="10"/>
  <c r="U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D201" i="10"/>
  <c r="S201" i="10"/>
  <c r="U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D202" i="10"/>
  <c r="S202" i="10"/>
  <c r="U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D203" i="10"/>
  <c r="S203" i="10"/>
  <c r="U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D204" i="10"/>
  <c r="S204" i="10"/>
  <c r="U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D205" i="10"/>
  <c r="S205" i="10"/>
  <c r="U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D206" i="10"/>
  <c r="S206" i="10"/>
  <c r="U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D207" i="10"/>
  <c r="S207" i="10"/>
  <c r="U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D208" i="10"/>
  <c r="S208" i="10"/>
  <c r="U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S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K209" i="10"/>
  <c r="AL209" i="10"/>
  <c r="S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K210" i="10"/>
  <c r="AL210" i="10"/>
  <c r="S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K211" i="10"/>
  <c r="AL211" i="10"/>
  <c r="D212" i="10"/>
  <c r="Q212" i="10"/>
  <c r="S212" i="10"/>
  <c r="U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D213" i="10"/>
  <c r="Q213" i="10"/>
  <c r="S213" i="10"/>
  <c r="U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D214" i="10"/>
  <c r="S214" i="10"/>
  <c r="U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D215" i="10"/>
  <c r="S215" i="10"/>
  <c r="U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D216" i="10"/>
  <c r="S216" i="10"/>
  <c r="U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D217" i="10"/>
  <c r="S217" i="10"/>
  <c r="U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D218" i="10"/>
  <c r="S218" i="10"/>
  <c r="U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D219" i="10"/>
  <c r="S219" i="10"/>
  <c r="U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D220" i="10"/>
  <c r="S220" i="10"/>
  <c r="U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D221" i="10"/>
  <c r="S221" i="10"/>
  <c r="U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D222" i="10"/>
  <c r="S222" i="10"/>
  <c r="U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D223" i="10"/>
  <c r="S223" i="10"/>
  <c r="U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D224" i="10"/>
  <c r="S224" i="10"/>
  <c r="U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D225" i="10"/>
  <c r="S225" i="10"/>
  <c r="U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D226" i="10"/>
  <c r="S226" i="10"/>
  <c r="U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D227" i="10"/>
  <c r="S227" i="10"/>
  <c r="U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D228" i="10"/>
  <c r="S228" i="10"/>
  <c r="U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D229" i="10"/>
  <c r="S229" i="10"/>
  <c r="U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D230" i="10"/>
  <c r="S230" i="10"/>
  <c r="U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D231" i="10"/>
  <c r="Q231" i="10"/>
  <c r="S231" i="10"/>
  <c r="U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S232" i="10"/>
  <c r="U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D233" i="10"/>
  <c r="Q233" i="10"/>
  <c r="S233" i="10"/>
  <c r="U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D234" i="10"/>
  <c r="Q234" i="10"/>
  <c r="S234" i="10"/>
  <c r="U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D235" i="10"/>
  <c r="Q235" i="10"/>
  <c r="S235" i="10"/>
  <c r="U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D236" i="10"/>
  <c r="Q236" i="10"/>
  <c r="S236" i="10"/>
  <c r="U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D237" i="10"/>
  <c r="S237" i="10"/>
  <c r="U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D238" i="10"/>
  <c r="S238" i="10"/>
  <c r="U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D239" i="10"/>
  <c r="S239" i="10"/>
  <c r="U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D240" i="10"/>
  <c r="S240" i="10"/>
  <c r="U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D241" i="10"/>
  <c r="S241" i="10"/>
  <c r="U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D242" i="10"/>
  <c r="S242" i="10"/>
  <c r="U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D243" i="10"/>
  <c r="S243" i="10"/>
  <c r="U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D244" i="10"/>
  <c r="S244" i="10"/>
  <c r="U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D245" i="10"/>
  <c r="S245" i="10"/>
  <c r="U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D246" i="10"/>
  <c r="S246" i="10"/>
  <c r="U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D247" i="10"/>
  <c r="S247" i="10"/>
  <c r="U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D248" i="10"/>
  <c r="S248" i="10"/>
  <c r="U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D249" i="10"/>
  <c r="S249" i="10"/>
  <c r="U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D250" i="10"/>
  <c r="S250" i="10"/>
  <c r="U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D251" i="10"/>
  <c r="S251" i="10"/>
  <c r="U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D252" i="10"/>
  <c r="S252" i="10"/>
  <c r="U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D253" i="10"/>
  <c r="S253" i="10"/>
  <c r="U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D254" i="10"/>
  <c r="S254" i="10"/>
  <c r="U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D255" i="10"/>
  <c r="S255" i="10"/>
  <c r="U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D256" i="10"/>
  <c r="S256" i="10"/>
  <c r="U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D257" i="10"/>
  <c r="S257" i="10"/>
  <c r="U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D258" i="10"/>
  <c r="Q258" i="10"/>
  <c r="S258" i="10"/>
  <c r="U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D259" i="10"/>
  <c r="Q259" i="10"/>
  <c r="S259" i="10"/>
  <c r="U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D260" i="10"/>
  <c r="Q260" i="10"/>
  <c r="S260" i="10"/>
  <c r="U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D261" i="10"/>
  <c r="Q261" i="10"/>
  <c r="S261" i="10"/>
  <c r="U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D262" i="10"/>
  <c r="S262" i="10"/>
  <c r="U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D263" i="10"/>
  <c r="Q263" i="10"/>
  <c r="S263" i="10"/>
  <c r="U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D264" i="10"/>
  <c r="Q264" i="10"/>
  <c r="S264" i="10"/>
  <c r="U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D265" i="10"/>
  <c r="Q265" i="10"/>
  <c r="S265" i="10"/>
  <c r="U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D266" i="10"/>
  <c r="S266" i="10"/>
  <c r="U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D267" i="10"/>
  <c r="Q267" i="10"/>
  <c r="S267" i="10"/>
  <c r="U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D268" i="10"/>
  <c r="S268" i="10"/>
  <c r="U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D269" i="10"/>
  <c r="Q269" i="10"/>
  <c r="S269" i="10"/>
  <c r="U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D270" i="10"/>
  <c r="Q270" i="10"/>
  <c r="S270" i="10"/>
  <c r="U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D271" i="10"/>
  <c r="Q271" i="10"/>
  <c r="S271" i="10"/>
  <c r="U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S272" i="10"/>
  <c r="U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S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K273" i="10"/>
  <c r="AL273" i="10"/>
  <c r="S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K274" i="10"/>
  <c r="AL274" i="10"/>
  <c r="D275" i="10"/>
  <c r="Q275" i="10"/>
  <c r="S275" i="10"/>
  <c r="U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D276" i="10"/>
  <c r="Q276" i="10"/>
  <c r="S276" i="10"/>
  <c r="U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D277" i="10"/>
  <c r="Q277" i="10"/>
  <c r="S277" i="10"/>
  <c r="U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D278" i="10"/>
  <c r="Q278" i="10"/>
  <c r="S278" i="10"/>
  <c r="U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D279" i="10"/>
  <c r="Q279" i="10"/>
  <c r="S279" i="10"/>
  <c r="U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D280" i="10"/>
  <c r="Q280" i="10"/>
  <c r="S280" i="10"/>
  <c r="U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Q281" i="10"/>
  <c r="S281" i="10"/>
  <c r="U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D282" i="10"/>
  <c r="Q282" i="10"/>
  <c r="S282" i="10"/>
  <c r="U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Q283" i="10"/>
  <c r="S283" i="10"/>
  <c r="U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Q284" i="10"/>
  <c r="S284" i="10"/>
  <c r="U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Q285" i="10"/>
  <c r="S285" i="10"/>
  <c r="U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Q286" i="10"/>
  <c r="S286" i="10"/>
  <c r="U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D287" i="10"/>
  <c r="Q287" i="10"/>
  <c r="S287" i="10"/>
  <c r="U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D288" i="10"/>
  <c r="Q288" i="10"/>
  <c r="S288" i="10"/>
  <c r="U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Z289" i="10"/>
  <c r="AB289" i="10"/>
  <c r="AD289" i="10"/>
  <c r="AF289" i="10"/>
  <c r="AH289" i="10"/>
  <c r="AJ289" i="10"/>
  <c r="AL289" i="10"/>
  <c r="Z290" i="10"/>
  <c r="AB290" i="10"/>
  <c r="AD290" i="10"/>
  <c r="AF290" i="10"/>
  <c r="AH290" i="10"/>
  <c r="AJ290" i="10"/>
  <c r="AL290" i="10"/>
  <c r="D291" i="10"/>
  <c r="Q291" i="10"/>
  <c r="S291" i="10"/>
  <c r="U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D292" i="10"/>
  <c r="Q292" i="10"/>
  <c r="S292" i="10"/>
  <c r="U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S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K293" i="10"/>
  <c r="AL293" i="10"/>
  <c r="S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K294" i="10"/>
  <c r="AL294" i="10"/>
  <c r="D295" i="10"/>
  <c r="Q295" i="10"/>
  <c r="S295" i="10"/>
  <c r="U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D296" i="10"/>
  <c r="Q296" i="10"/>
  <c r="S296" i="10"/>
  <c r="U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Q297" i="10"/>
  <c r="S297" i="10"/>
  <c r="U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D298" i="10"/>
  <c r="Q298" i="10"/>
  <c r="S298" i="10"/>
  <c r="U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D299" i="10"/>
  <c r="Q299" i="10"/>
  <c r="S299" i="10"/>
  <c r="U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Q300" i="10"/>
  <c r="S300" i="10"/>
  <c r="U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D301" i="10"/>
  <c r="Q301" i="10"/>
  <c r="S301" i="10"/>
  <c r="U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D302" i="10"/>
  <c r="Q302" i="10"/>
  <c r="S302" i="10"/>
  <c r="U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Q303" i="10"/>
  <c r="S303" i="10"/>
  <c r="U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Q304" i="10"/>
  <c r="S304" i="10"/>
  <c r="U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D305" i="10"/>
  <c r="Q305" i="10"/>
  <c r="S305" i="10"/>
  <c r="U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D306" i="10"/>
  <c r="Q306" i="10"/>
  <c r="S306" i="10"/>
  <c r="U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Q307" i="10"/>
  <c r="S307" i="10"/>
  <c r="U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Q308" i="10"/>
  <c r="S308" i="10"/>
  <c r="U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D309" i="10"/>
  <c r="Q309" i="10"/>
  <c r="S309" i="10"/>
  <c r="U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D310" i="10"/>
  <c r="Q310" i="10"/>
  <c r="S310" i="10"/>
  <c r="U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D311" i="10"/>
  <c r="Q311" i="10"/>
  <c r="S311" i="10"/>
  <c r="U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S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K312" i="10"/>
  <c r="AL312" i="10"/>
  <c r="S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K313" i="10"/>
  <c r="AL313" i="10"/>
  <c r="D314" i="10"/>
  <c r="Q314" i="10"/>
  <c r="S314" i="10"/>
  <c r="U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D315" i="10"/>
  <c r="Q315" i="10"/>
  <c r="S315" i="10"/>
  <c r="U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D316" i="10"/>
  <c r="Q316" i="10"/>
  <c r="S316" i="10"/>
  <c r="U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D317" i="10"/>
  <c r="Q317" i="10"/>
  <c r="S317" i="10"/>
  <c r="U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D318" i="10"/>
  <c r="Q318" i="10"/>
  <c r="S318" i="10"/>
  <c r="U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D319" i="10"/>
  <c r="Q319" i="10"/>
  <c r="S319" i="10"/>
  <c r="U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D320" i="10"/>
  <c r="Q320" i="10"/>
  <c r="S320" i="10"/>
  <c r="U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S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K321" i="10"/>
  <c r="AL321" i="10"/>
  <c r="S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K322" i="10"/>
  <c r="AL322" i="10"/>
  <c r="D323" i="10"/>
  <c r="Q323" i="10"/>
  <c r="S323" i="10"/>
  <c r="U323" i="10"/>
  <c r="W323" i="10"/>
  <c r="X323" i="10"/>
  <c r="Y323" i="10"/>
  <c r="Z323" i="10"/>
  <c r="AA323" i="10"/>
  <c r="AB323" i="10"/>
  <c r="AC323" i="10"/>
  <c r="AD323" i="10"/>
  <c r="AE323" i="10"/>
  <c r="AF323" i="10"/>
  <c r="AG323" i="10"/>
  <c r="AH323" i="10"/>
  <c r="AI323" i="10"/>
  <c r="AJ323" i="10"/>
  <c r="AK323" i="10"/>
  <c r="AL323" i="10"/>
  <c r="D324" i="10"/>
  <c r="Q324" i="10"/>
  <c r="S324" i="10"/>
  <c r="U324" i="10"/>
  <c r="W324" i="10"/>
  <c r="X324" i="10"/>
  <c r="Y324" i="10"/>
  <c r="Z324" i="10"/>
  <c r="AA324" i="10"/>
  <c r="AB324" i="10"/>
  <c r="AC324" i="10"/>
  <c r="AD324" i="10"/>
  <c r="AE324" i="10"/>
  <c r="AF324" i="10"/>
  <c r="AG324" i="10"/>
  <c r="AH324" i="10"/>
  <c r="AI324" i="10"/>
  <c r="AJ324" i="10"/>
  <c r="AK324" i="10"/>
  <c r="AL324" i="10"/>
  <c r="S325" i="10"/>
  <c r="W325" i="10"/>
  <c r="X325" i="10"/>
  <c r="Y325" i="10"/>
  <c r="Z325" i="10"/>
  <c r="AA325" i="10"/>
  <c r="AB325" i="10"/>
  <c r="AC325" i="10"/>
  <c r="AD325" i="10"/>
  <c r="AE325" i="10"/>
  <c r="AF325" i="10"/>
  <c r="AG325" i="10"/>
  <c r="AH325" i="10"/>
  <c r="AI325" i="10"/>
  <c r="AK325" i="10"/>
  <c r="AL325" i="10"/>
  <c r="S326" i="10"/>
  <c r="W326" i="10"/>
  <c r="X326" i="10"/>
  <c r="Y326" i="10"/>
  <c r="Z326" i="10"/>
  <c r="AA326" i="10"/>
  <c r="AB326" i="10"/>
  <c r="AC326" i="10"/>
  <c r="AD326" i="10"/>
  <c r="AE326" i="10"/>
  <c r="AF326" i="10"/>
  <c r="AG326" i="10"/>
  <c r="AH326" i="10"/>
  <c r="AI326" i="10"/>
  <c r="AK326" i="10"/>
  <c r="AL326" i="10"/>
  <c r="D327" i="10"/>
  <c r="Q327" i="10"/>
  <c r="S327" i="10"/>
  <c r="U327" i="10"/>
  <c r="W327" i="10"/>
  <c r="X327" i="10"/>
  <c r="Y327" i="10"/>
  <c r="Z327" i="10"/>
  <c r="AA327" i="10"/>
  <c r="AB327" i="10"/>
  <c r="AC327" i="10"/>
  <c r="AD327" i="10"/>
  <c r="AE327" i="10"/>
  <c r="AF327" i="10"/>
  <c r="AG327" i="10"/>
  <c r="AH327" i="10"/>
  <c r="AI327" i="10"/>
  <c r="AJ327" i="10"/>
  <c r="AK327" i="10"/>
  <c r="AL327" i="10"/>
  <c r="D328" i="10"/>
  <c r="Q328" i="10"/>
  <c r="S328" i="10"/>
  <c r="U328" i="10"/>
  <c r="W328" i="10"/>
  <c r="X328" i="10"/>
  <c r="Y328" i="10"/>
  <c r="Z328" i="10"/>
  <c r="AA328" i="10"/>
  <c r="AB328" i="10"/>
  <c r="AC328" i="10"/>
  <c r="AD328" i="10"/>
  <c r="AE328" i="10"/>
  <c r="AF328" i="10"/>
  <c r="AG328" i="10"/>
  <c r="AH328" i="10"/>
  <c r="AI328" i="10"/>
  <c r="AJ328" i="10"/>
  <c r="AK328" i="10"/>
  <c r="AL328" i="10"/>
  <c r="D329" i="10"/>
  <c r="Q329" i="10"/>
  <c r="S329" i="10"/>
  <c r="U329" i="10"/>
  <c r="W329" i="10"/>
  <c r="X329" i="10"/>
  <c r="Y329" i="10"/>
  <c r="Z329" i="10"/>
  <c r="AA329" i="10"/>
  <c r="AB329" i="10"/>
  <c r="AC329" i="10"/>
  <c r="AD329" i="10"/>
  <c r="AE329" i="10"/>
  <c r="AF329" i="10"/>
  <c r="AG329" i="10"/>
  <c r="AH329" i="10"/>
  <c r="AI329" i="10"/>
  <c r="AJ329" i="10"/>
  <c r="AK329" i="10"/>
  <c r="AL329" i="10"/>
  <c r="D330" i="10"/>
  <c r="Q330" i="10"/>
  <c r="S330" i="10"/>
  <c r="U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D331" i="10"/>
  <c r="Q331" i="10"/>
  <c r="S331" i="10"/>
  <c r="U331" i="10"/>
  <c r="W331" i="10"/>
  <c r="X331" i="10"/>
  <c r="Y331" i="10"/>
  <c r="Z331" i="10"/>
  <c r="AA331" i="10"/>
  <c r="AB331" i="10"/>
  <c r="AC331" i="10"/>
  <c r="AD331" i="10"/>
  <c r="AE331" i="10"/>
  <c r="AF331" i="10"/>
  <c r="AG331" i="10"/>
  <c r="AH331" i="10"/>
  <c r="AI331" i="10"/>
  <c r="AJ331" i="10"/>
  <c r="AK331" i="10"/>
  <c r="AL331" i="10"/>
  <c r="S332" i="10"/>
  <c r="Z332" i="10"/>
  <c r="AB332" i="10"/>
  <c r="AD332" i="10"/>
  <c r="AF332" i="10"/>
  <c r="AH332" i="10"/>
  <c r="AL332" i="10"/>
  <c r="S333" i="10"/>
  <c r="U333" i="10"/>
  <c r="W333" i="10"/>
  <c r="X333" i="10"/>
  <c r="Y333" i="10"/>
  <c r="Z333" i="10"/>
  <c r="AA333" i="10"/>
  <c r="AB333" i="10"/>
  <c r="AC333" i="10"/>
  <c r="AD333" i="10"/>
  <c r="AE333" i="10"/>
  <c r="AF333" i="10"/>
  <c r="AG333" i="10"/>
  <c r="AH333" i="10"/>
  <c r="AI333" i="10"/>
  <c r="AJ333" i="10"/>
  <c r="AK333" i="10"/>
  <c r="AL333" i="10"/>
  <c r="Q335" i="10"/>
  <c r="S335" i="10"/>
  <c r="X335" i="10"/>
  <c r="Y335" i="10"/>
  <c r="AA335" i="10"/>
  <c r="AC335" i="10"/>
  <c r="AD335" i="10"/>
  <c r="AE335" i="10"/>
  <c r="AF335" i="10"/>
  <c r="AG335" i="10"/>
  <c r="AH335" i="10"/>
  <c r="AI335" i="10"/>
  <c r="AK335" i="10"/>
  <c r="Q336" i="10"/>
  <c r="S336" i="10"/>
  <c r="X336" i="10"/>
  <c r="Y336" i="10"/>
  <c r="AA336" i="10"/>
  <c r="AC336" i="10"/>
  <c r="AE336" i="10"/>
  <c r="AF336" i="10"/>
  <c r="AG336" i="10"/>
  <c r="AH336" i="10"/>
  <c r="AI336" i="10"/>
  <c r="AK336" i="10"/>
  <c r="Q337" i="10"/>
  <c r="S337" i="10"/>
  <c r="X337" i="10"/>
  <c r="Y337" i="10"/>
  <c r="AA337" i="10"/>
  <c r="AC337" i="10"/>
  <c r="AD337" i="10"/>
  <c r="AE337" i="10"/>
  <c r="AF337" i="10"/>
  <c r="AG337" i="10"/>
  <c r="AH337" i="10"/>
  <c r="AI337" i="10"/>
  <c r="AK337" i="10"/>
  <c r="Q338" i="10"/>
  <c r="S338" i="10"/>
  <c r="X338" i="10"/>
  <c r="Y338" i="10"/>
  <c r="AA338" i="10"/>
  <c r="AC338" i="10"/>
  <c r="AD338" i="10"/>
  <c r="AE338" i="10"/>
  <c r="AF338" i="10"/>
  <c r="AG338" i="10"/>
  <c r="AH338" i="10"/>
  <c r="AI338" i="10"/>
  <c r="AK338" i="10"/>
  <c r="X339" i="10"/>
  <c r="Y339" i="10"/>
  <c r="Z339" i="10"/>
  <c r="AA339" i="10"/>
  <c r="AC339" i="10"/>
  <c r="AD339" i="10"/>
  <c r="AE339" i="10"/>
  <c r="AF339" i="10"/>
  <c r="AK339" i="10"/>
  <c r="W340" i="10"/>
  <c r="X340" i="10"/>
  <c r="Y340" i="10"/>
  <c r="Z340" i="10"/>
  <c r="AA340" i="10"/>
  <c r="AB340" i="10"/>
  <c r="AC340" i="10"/>
  <c r="AD340" i="10"/>
  <c r="AE340" i="10"/>
  <c r="AF340" i="10"/>
  <c r="AK340" i="10"/>
  <c r="Q346" i="10"/>
  <c r="Q347" i="10"/>
  <c r="Q348" i="10"/>
  <c r="Q353" i="10"/>
  <c r="Q354" i="10"/>
  <c r="Q355" i="10"/>
  <c r="Q356" i="10"/>
  <c r="Q357" i="10"/>
  <c r="Q358" i="10"/>
  <c r="Q359" i="10"/>
  <c r="Q360" i="10"/>
  <c r="Q361" i="10"/>
  <c r="Q362" i="10"/>
  <c r="D365" i="10"/>
  <c r="Q365" i="10"/>
  <c r="D366" i="10"/>
  <c r="Q366" i="10"/>
  <c r="D367" i="10"/>
  <c r="Q367" i="10"/>
  <c r="D368" i="10"/>
  <c r="Q368" i="10"/>
  <c r="D370" i="10"/>
  <c r="Q370" i="10"/>
  <c r="D371" i="10"/>
  <c r="Q371" i="10"/>
  <c r="D372" i="10"/>
  <c r="Q372" i="10"/>
  <c r="D373" i="10"/>
  <c r="Q373" i="10"/>
  <c r="U374" i="10"/>
  <c r="W374" i="10"/>
  <c r="X374" i="10"/>
  <c r="Y374" i="10"/>
  <c r="Z374" i="10"/>
  <c r="AA374" i="10"/>
  <c r="AB374" i="10"/>
  <c r="AC374" i="10"/>
  <c r="AD374" i="10"/>
  <c r="AE374" i="10"/>
  <c r="AF374" i="10"/>
  <c r="AG374" i="10"/>
  <c r="AH374" i="10"/>
  <c r="AI374" i="10"/>
  <c r="AL374" i="10"/>
  <c r="AM374" i="10"/>
  <c r="AN374" i="10"/>
  <c r="AO374" i="10"/>
  <c r="AP374" i="10"/>
  <c r="AQ374" i="10"/>
  <c r="AR374" i="10"/>
  <c r="AS374" i="10"/>
  <c r="AT374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BF374" i="10"/>
  <c r="BG374" i="10"/>
  <c r="BH374" i="10"/>
  <c r="BI374" i="10"/>
  <c r="BJ374" i="10"/>
  <c r="BK374" i="10"/>
  <c r="BL374" i="10"/>
  <c r="BM374" i="10"/>
  <c r="BN374" i="10"/>
  <c r="BO374" i="10"/>
  <c r="BP374" i="10"/>
  <c r="BQ374" i="10"/>
  <c r="BR374" i="10"/>
  <c r="BS374" i="10"/>
  <c r="BT374" i="10"/>
  <c r="BU374" i="10"/>
  <c r="BV374" i="10"/>
  <c r="BW374" i="10"/>
  <c r="BX374" i="10"/>
  <c r="BY374" i="10"/>
  <c r="BZ374" i="10"/>
  <c r="CA374" i="10"/>
  <c r="CB374" i="10"/>
  <c r="CC374" i="10"/>
  <c r="CD374" i="10"/>
  <c r="CE374" i="10"/>
  <c r="CF374" i="10"/>
  <c r="CG374" i="10"/>
  <c r="CH374" i="10"/>
  <c r="CI374" i="10"/>
  <c r="CJ374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AG375" i="10"/>
  <c r="AH375" i="10"/>
  <c r="AI375" i="10"/>
  <c r="AJ375" i="10"/>
  <c r="AL375" i="10"/>
  <c r="AM375" i="10"/>
  <c r="AN375" i="10"/>
  <c r="AO375" i="10"/>
  <c r="AP375" i="10"/>
  <c r="AQ375" i="10"/>
  <c r="AR375" i="10"/>
  <c r="AS375" i="10"/>
  <c r="AT375" i="10"/>
  <c r="AU375" i="10"/>
  <c r="AV375" i="10"/>
  <c r="AW375" i="10"/>
  <c r="AX375" i="10"/>
  <c r="AY375" i="10"/>
  <c r="AZ375" i="10"/>
  <c r="BA375" i="10"/>
  <c r="BB375" i="10"/>
  <c r="BC375" i="10"/>
  <c r="BD375" i="10"/>
  <c r="BE375" i="10"/>
  <c r="BF375" i="10"/>
  <c r="BG375" i="10"/>
  <c r="BH375" i="10"/>
  <c r="BI375" i="10"/>
  <c r="BJ375" i="10"/>
  <c r="BK375" i="10"/>
  <c r="BL375" i="10"/>
  <c r="BM375" i="10"/>
  <c r="BN375" i="10"/>
  <c r="BO375" i="10"/>
  <c r="BP375" i="10"/>
  <c r="BQ375" i="10"/>
  <c r="BR375" i="10"/>
  <c r="BS375" i="10"/>
  <c r="BT375" i="10"/>
  <c r="BU375" i="10"/>
  <c r="BV375" i="10"/>
  <c r="BW375" i="10"/>
  <c r="BX375" i="10"/>
  <c r="BY375" i="10"/>
  <c r="BZ375" i="10"/>
  <c r="CA375" i="10"/>
  <c r="CB375" i="10"/>
  <c r="CC375" i="10"/>
  <c r="CD375" i="10"/>
  <c r="CE375" i="10"/>
  <c r="CF375" i="10"/>
  <c r="CG375" i="10"/>
  <c r="CH375" i="10"/>
  <c r="CI375" i="10"/>
  <c r="CJ375" i="10"/>
  <c r="R376" i="10"/>
  <c r="S376" i="10"/>
  <c r="U376" i="10"/>
  <c r="W376" i="10"/>
  <c r="X376" i="10"/>
  <c r="Y376" i="10"/>
  <c r="Z376" i="10"/>
  <c r="AA376" i="10"/>
  <c r="AB376" i="10"/>
  <c r="AC376" i="10"/>
  <c r="AD376" i="10"/>
  <c r="AE376" i="10"/>
  <c r="AF376" i="10"/>
  <c r="AG376" i="10"/>
  <c r="AH376" i="10"/>
  <c r="AI376" i="10"/>
  <c r="AJ376" i="10"/>
  <c r="AL376" i="10"/>
  <c r="AM376" i="10"/>
  <c r="AN376" i="10"/>
  <c r="AO376" i="10"/>
  <c r="AP376" i="10"/>
  <c r="AQ376" i="10"/>
  <c r="AR376" i="10"/>
  <c r="AS376" i="10"/>
  <c r="AT376" i="10"/>
  <c r="AU376" i="10"/>
  <c r="AV376" i="10"/>
  <c r="AW376" i="10"/>
  <c r="AX376" i="10"/>
  <c r="AY376" i="10"/>
  <c r="AZ376" i="10"/>
  <c r="BA376" i="10"/>
  <c r="BB376" i="10"/>
  <c r="BC376" i="10"/>
  <c r="BD376" i="10"/>
  <c r="BE376" i="10"/>
  <c r="BF376" i="10"/>
  <c r="BG376" i="10"/>
  <c r="BH376" i="10"/>
  <c r="BI376" i="10"/>
  <c r="BJ376" i="10"/>
  <c r="BK376" i="10"/>
  <c r="BL376" i="10"/>
  <c r="BM376" i="10"/>
  <c r="BN376" i="10"/>
  <c r="BO376" i="10"/>
  <c r="BP376" i="10"/>
  <c r="BQ376" i="10"/>
  <c r="BR376" i="10"/>
  <c r="BS376" i="10"/>
  <c r="BT376" i="10"/>
  <c r="BU376" i="10"/>
  <c r="BV376" i="10"/>
  <c r="BW376" i="10"/>
  <c r="BX376" i="10"/>
  <c r="BY376" i="10"/>
  <c r="BZ376" i="10"/>
  <c r="CA376" i="10"/>
  <c r="CB376" i="10"/>
  <c r="CC376" i="10"/>
  <c r="CD376" i="10"/>
  <c r="CE376" i="10"/>
  <c r="CF376" i="10"/>
  <c r="CG376" i="10"/>
  <c r="CH376" i="10"/>
  <c r="CI376" i="10"/>
  <c r="CJ376" i="10"/>
  <c r="S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AG377" i="10"/>
  <c r="AH377" i="10"/>
  <c r="AI377" i="10"/>
  <c r="AJ377" i="10"/>
  <c r="AL377" i="10"/>
  <c r="AM377" i="10"/>
  <c r="AN377" i="10"/>
  <c r="AO377" i="10"/>
  <c r="AP377" i="10"/>
  <c r="AQ377" i="10"/>
  <c r="AR377" i="10"/>
  <c r="AS377" i="10"/>
  <c r="AT377" i="10"/>
  <c r="AU377" i="10"/>
  <c r="AV377" i="10"/>
  <c r="AW377" i="10"/>
  <c r="AX377" i="10"/>
  <c r="AY377" i="10"/>
  <c r="AZ377" i="10"/>
  <c r="BA377" i="10"/>
  <c r="BB377" i="10"/>
  <c r="BC377" i="10"/>
  <c r="BD377" i="10"/>
  <c r="BE377" i="10"/>
  <c r="BF377" i="10"/>
  <c r="BG377" i="10"/>
  <c r="BH377" i="10"/>
  <c r="BI377" i="10"/>
  <c r="BJ377" i="10"/>
  <c r="BK377" i="10"/>
  <c r="BL377" i="10"/>
  <c r="BM377" i="10"/>
  <c r="BN377" i="10"/>
  <c r="BO377" i="10"/>
  <c r="BP377" i="10"/>
  <c r="BQ377" i="10"/>
  <c r="BR377" i="10"/>
  <c r="BS377" i="10"/>
  <c r="BT377" i="10"/>
  <c r="BU377" i="10"/>
  <c r="BV377" i="10"/>
  <c r="BW377" i="10"/>
  <c r="BX377" i="10"/>
  <c r="BY377" i="10"/>
  <c r="BZ377" i="10"/>
  <c r="CA377" i="10"/>
  <c r="CB377" i="10"/>
  <c r="CC377" i="10"/>
  <c r="CD377" i="10"/>
  <c r="CE377" i="10"/>
  <c r="CF377" i="10"/>
  <c r="CG377" i="10"/>
  <c r="CH377" i="10"/>
  <c r="CI377" i="10"/>
  <c r="CJ377" i="10"/>
  <c r="Y378" i="10"/>
  <c r="AA378" i="10"/>
  <c r="AB378" i="10"/>
  <c r="AJ379" i="10"/>
  <c r="AJ380" i="10"/>
  <c r="AJ381" i="10"/>
  <c r="AJ382" i="10"/>
  <c r="AJ383" i="10"/>
  <c r="AJ384" i="10"/>
  <c r="C106" i="12"/>
  <c r="C107" i="12"/>
  <c r="C108" i="12"/>
  <c r="C109" i="12"/>
  <c r="C110" i="12"/>
  <c r="C111" i="12"/>
  <c r="D112" i="12"/>
  <c r="D150" i="12"/>
  <c r="E150" i="12"/>
  <c r="D126" i="2"/>
  <c r="E178" i="2"/>
  <c r="F178" i="2"/>
  <c r="B6" i="11"/>
  <c r="Q56" i="13"/>
  <c r="T80" i="13"/>
  <c r="E11" i="3"/>
  <c r="E27" i="3"/>
  <c r="E28" i="3"/>
  <c r="E29" i="3"/>
  <c r="E30" i="3"/>
  <c r="E40" i="3"/>
  <c r="E41" i="3"/>
  <c r="E42" i="3"/>
  <c r="E43" i="3"/>
  <c r="F66" i="3"/>
  <c r="D84" i="3"/>
  <c r="E84" i="3"/>
</calcChain>
</file>

<file path=xl/sharedStrings.xml><?xml version="1.0" encoding="utf-8"?>
<sst xmlns="http://schemas.openxmlformats.org/spreadsheetml/2006/main" count="4602" uniqueCount="2154">
  <si>
    <t>Hickling Station</t>
  </si>
  <si>
    <t>Hickling Boiler 2</t>
  </si>
  <si>
    <t>002529000002</t>
  </si>
  <si>
    <t>Hickling Boiler 3</t>
  </si>
  <si>
    <t>002529000003</t>
  </si>
  <si>
    <t>Hickling Boiler 4</t>
  </si>
  <si>
    <t>002529000004</t>
  </si>
  <si>
    <t>Jennison Boiler 1</t>
  </si>
  <si>
    <t>002531000001</t>
  </si>
  <si>
    <t>002531</t>
  </si>
  <si>
    <t>Jennison Station</t>
  </si>
  <si>
    <t>Jennison Boiler 2</t>
  </si>
  <si>
    <t>002531000002</t>
  </si>
  <si>
    <t>Jennison Boiler 3</t>
  </si>
  <si>
    <t>002531000003</t>
  </si>
  <si>
    <t>Jennison Boiler 4</t>
  </si>
  <si>
    <t>002531000004</t>
  </si>
  <si>
    <t>Kintigh</t>
  </si>
  <si>
    <t>006082000001</t>
  </si>
  <si>
    <t>006082</t>
  </si>
  <si>
    <t>Kintigh (Somerset)</t>
  </si>
  <si>
    <t>Milliken Boiler 1</t>
  </si>
  <si>
    <t>002535000001</t>
  </si>
  <si>
    <t>002535</t>
  </si>
  <si>
    <t>Milliken Station</t>
  </si>
  <si>
    <t>Milliken Boiler 2</t>
  </si>
  <si>
    <t>002535000002</t>
  </si>
  <si>
    <t>Orange &amp; Rockland</t>
  </si>
  <si>
    <t>Bowline 1</t>
  </si>
  <si>
    <t>002625000001</t>
  </si>
  <si>
    <t>002625</t>
  </si>
  <si>
    <t>Bowline Point</t>
  </si>
  <si>
    <t>Bowline 2</t>
  </si>
  <si>
    <t>002625000002</t>
  </si>
  <si>
    <t>Hillburn</t>
  </si>
  <si>
    <t>002628000GT1</t>
  </si>
  <si>
    <t>002628</t>
  </si>
  <si>
    <t>Lovet 3</t>
  </si>
  <si>
    <t>002629000003</t>
  </si>
  <si>
    <t>002629</t>
  </si>
  <si>
    <t>Lovet Generating Station</t>
  </si>
  <si>
    <t>Lovet 4</t>
  </si>
  <si>
    <t>002629000004</t>
  </si>
  <si>
    <t>Lovet 5</t>
  </si>
  <si>
    <t>002629000005</t>
  </si>
  <si>
    <t>Shoemaker</t>
  </si>
  <si>
    <t>002632000GT1</t>
  </si>
  <si>
    <t>002632</t>
  </si>
  <si>
    <t>Power Authority of the State of New York</t>
  </si>
  <si>
    <t>Flynn Combined Cycle Unit</t>
  </si>
  <si>
    <t>007314000001</t>
  </si>
  <si>
    <t>007314</t>
  </si>
  <si>
    <t xml:space="preserve">Richard M Flynn (Holtsville) </t>
  </si>
  <si>
    <t>Charles Poletti Power Project</t>
  </si>
  <si>
    <t>002491000001</t>
  </si>
  <si>
    <t>002491</t>
  </si>
  <si>
    <t>001</t>
  </si>
  <si>
    <t>Charles Poletti Power</t>
  </si>
  <si>
    <t>Rochester Gas &amp; Electric</t>
  </si>
  <si>
    <t>Rochester 3 (Beebee)</t>
  </si>
  <si>
    <t>002640000012</t>
  </si>
  <si>
    <t>002640</t>
  </si>
  <si>
    <t>Rochester 3 (Beebee Station)</t>
  </si>
  <si>
    <t>Rochester 7 (Russell 001)</t>
  </si>
  <si>
    <t>002642000001</t>
  </si>
  <si>
    <t>002642</t>
  </si>
  <si>
    <t>Rochester 7 (Russell Station)</t>
  </si>
  <si>
    <t>002642000002</t>
  </si>
  <si>
    <t>Rochester 7 (Russell 002)</t>
  </si>
  <si>
    <t>002642000003</t>
  </si>
  <si>
    <t>002642000004</t>
  </si>
  <si>
    <t>American Ref-fuel</t>
  </si>
  <si>
    <t>0504720R1B01</t>
  </si>
  <si>
    <t>050472</t>
  </si>
  <si>
    <t>R1B01</t>
  </si>
  <si>
    <t>American Ref-fuel Niagara</t>
  </si>
  <si>
    <t>Jamestown BPU</t>
  </si>
  <si>
    <t>002682000009</t>
  </si>
  <si>
    <t>002682</t>
  </si>
  <si>
    <t>S A Carlson</t>
  </si>
  <si>
    <t>002682000010</t>
  </si>
  <si>
    <t>002682000011</t>
  </si>
  <si>
    <t>002682000012</t>
  </si>
  <si>
    <t>NON-EGU</t>
  </si>
  <si>
    <t>International Paper</t>
  </si>
  <si>
    <t>0540880N01PB</t>
  </si>
  <si>
    <t>054088</t>
  </si>
  <si>
    <t>N01PB</t>
  </si>
  <si>
    <t>Hudson River Mill</t>
  </si>
  <si>
    <t>Ticonderoga</t>
  </si>
  <si>
    <t>054099000044</t>
  </si>
  <si>
    <t>054099</t>
  </si>
  <si>
    <t>Ticonderoga Mill</t>
  </si>
  <si>
    <t>880024U28006</t>
  </si>
  <si>
    <t>U28006</t>
  </si>
  <si>
    <t>GE Silicones - Waterford</t>
  </si>
  <si>
    <t>Kodak</t>
  </si>
  <si>
    <t>01002500001E</t>
  </si>
  <si>
    <t>010025</t>
  </si>
  <si>
    <t>1E</t>
  </si>
  <si>
    <t>Kodak Park Div</t>
  </si>
  <si>
    <t>01002500001F</t>
  </si>
  <si>
    <t>1F</t>
  </si>
  <si>
    <t>01002500002C</t>
  </si>
  <si>
    <t>2C</t>
  </si>
  <si>
    <t>01002500002D</t>
  </si>
  <si>
    <t>2D</t>
  </si>
  <si>
    <t>01002500003A</t>
  </si>
  <si>
    <t>3A</t>
  </si>
  <si>
    <t>01002500003B</t>
  </si>
  <si>
    <t>3B</t>
  </si>
  <si>
    <t>01002500004A</t>
  </si>
  <si>
    <t>4A</t>
  </si>
  <si>
    <t>01002500004B</t>
  </si>
  <si>
    <t>4B</t>
  </si>
  <si>
    <t>Hudson Ave. - Boiler 71  EP1</t>
  </si>
  <si>
    <t>002496BLR071</t>
  </si>
  <si>
    <t>BLR071</t>
  </si>
  <si>
    <t>Hudson Avenue Steam Station</t>
  </si>
  <si>
    <t>Hudson Ave. - Boiler 72  EP1</t>
  </si>
  <si>
    <t>002496BLR072</t>
  </si>
  <si>
    <t>BLR072</t>
  </si>
  <si>
    <t>Hudson Ave. - Boiler 81  EP1</t>
  </si>
  <si>
    <t>002496BLR081</t>
  </si>
  <si>
    <t>BLR081</t>
  </si>
  <si>
    <t>Hudson Ave. - Boiler 82  EP1</t>
  </si>
  <si>
    <t>002496BLR082</t>
  </si>
  <si>
    <t>BLR082</t>
  </si>
  <si>
    <t>Ravenswood "A" Boiler 1 EP A1</t>
  </si>
  <si>
    <t>002500BLR001</t>
  </si>
  <si>
    <t>BLR001</t>
  </si>
  <si>
    <t>Ravenswood Steam Station</t>
  </si>
  <si>
    <t>Ravenswood "A" Boiler 3 EP A1</t>
  </si>
  <si>
    <t>002500BLR003</t>
  </si>
  <si>
    <t>BLR003</t>
  </si>
  <si>
    <t>Allegheny</t>
  </si>
  <si>
    <t>LTVSTEELCOMPANY-PITTSBURGHWORKS</t>
  </si>
  <si>
    <t>SHENANGOIRON&amp;COKEWORKS</t>
  </si>
  <si>
    <t>Armstrong</t>
  </si>
  <si>
    <t>BMGASPHALTCO</t>
  </si>
  <si>
    <t>Beaver</t>
  </si>
  <si>
    <t>ZINCCORPORATIONOFAMERICA</t>
  </si>
  <si>
    <t>Berks</t>
  </si>
  <si>
    <t>TEXASEASTERNGASPIPELINECOMPANY</t>
  </si>
  <si>
    <t>Bucks</t>
  </si>
  <si>
    <t>PECO</t>
  </si>
  <si>
    <t>Clinton</t>
  </si>
  <si>
    <t>INTERNATIONALPAPER:LOCKHAVEN</t>
  </si>
  <si>
    <t>Delaware</t>
  </si>
  <si>
    <t>KIMBERLYCLARK(FORMERLYSCOTTPAPERCO</t>
  </si>
  <si>
    <t>SUNREFINING&amp;MARKETINGCO</t>
  </si>
  <si>
    <t>TOSCOREFINING(FORMERLYBPOIL,INC</t>
  </si>
  <si>
    <t>Elk</t>
  </si>
  <si>
    <t>WILLAMETTEINDUSTRIES(FORMERLYPENNTECHPAPERS,INC</t>
  </si>
  <si>
    <t>Erie</t>
  </si>
  <si>
    <t>GENERALELECTRIC</t>
  </si>
  <si>
    <t>Montgomery</t>
  </si>
  <si>
    <t>MERCKSHARP&amp;DOHME</t>
  </si>
  <si>
    <t>Northampton</t>
  </si>
  <si>
    <t>BETHLEHEMSTEELCORP</t>
  </si>
  <si>
    <t>Perry</t>
  </si>
  <si>
    <t>Philadelphia</t>
  </si>
  <si>
    <t>SUNREFININGANDMARKETING1O</t>
  </si>
  <si>
    <t>SUNOCO(FORMERLYALLIEDCHEMICALCorp)</t>
  </si>
  <si>
    <t>US Navel Base</t>
  </si>
  <si>
    <t>Westmoreland</t>
  </si>
  <si>
    <t>MONESSENINC</t>
  </si>
  <si>
    <t>Wyoming</t>
  </si>
  <si>
    <t>PROCTER&amp;GAMBLECO</t>
  </si>
  <si>
    <t>York</t>
  </si>
  <si>
    <t>GLATFELTER,PH Co</t>
  </si>
  <si>
    <t>Allocations</t>
  </si>
  <si>
    <t>County</t>
  </si>
  <si>
    <t xml:space="preserve"> AES BEAVER VALLEY </t>
  </si>
  <si>
    <t xml:space="preserve"> ARMSTRONG </t>
  </si>
  <si>
    <t xml:space="preserve"> BRUCE MANSFIELD </t>
  </si>
  <si>
    <t xml:space="preserve"> BRUNNER ISLAND </t>
  </si>
  <si>
    <t xml:space="preserve"> BRUNOT ISLAND </t>
  </si>
  <si>
    <t>2A</t>
  </si>
  <si>
    <t xml:space="preserve"> 2B </t>
  </si>
  <si>
    <t xml:space="preserve"> CAMBRIA COGEN </t>
  </si>
  <si>
    <t xml:space="preserve"> CHESWICK </t>
  </si>
  <si>
    <t xml:space="preserve"> COLVER POWER PROJECT </t>
  </si>
  <si>
    <t xml:space="preserve"> CONEMAUGH </t>
  </si>
  <si>
    <t xml:space="preserve"> CROMBY </t>
  </si>
  <si>
    <t xml:space="preserve"> DELAWARE </t>
  </si>
  <si>
    <t xml:space="preserve"> EBENSBURG POWER </t>
  </si>
  <si>
    <t xml:space="preserve"> EDDYSTONE </t>
  </si>
  <si>
    <t xml:space="preserve"> ELRAMA </t>
  </si>
  <si>
    <t xml:space="preserve"> FOSTER WHEELER MT. CARMEL</t>
  </si>
  <si>
    <t xml:space="preserve">ABl NUG </t>
  </si>
  <si>
    <t xml:space="preserve"> GILBERTON POWER NUG </t>
  </si>
  <si>
    <t xml:space="preserve"> ABl NUG </t>
  </si>
  <si>
    <t xml:space="preserve"> GPU GENCO WAYNE </t>
  </si>
  <si>
    <t xml:space="preserve"> HATFIELD'S FERRY </t>
  </si>
  <si>
    <t xml:space="preserve"> HOLTWOOD </t>
  </si>
  <si>
    <t xml:space="preserve"> HOMER CITY </t>
  </si>
  <si>
    <t xml:space="preserve"> HUNLOCK PWR STATION </t>
  </si>
  <si>
    <t xml:space="preserve"> KEYSTONE </t>
  </si>
  <si>
    <t xml:space="preserve"> KIMBERLY-CLARK </t>
  </si>
  <si>
    <t xml:space="preserve"> MARTINS CREEK </t>
  </si>
  <si>
    <t xml:space="preserve"> MITCHELL </t>
  </si>
  <si>
    <t xml:space="preserve"> MONTOUR </t>
  </si>
  <si>
    <t xml:space="preserve"> MOUNTAIN </t>
  </si>
  <si>
    <t xml:space="preserve"> NEW CASTLE </t>
  </si>
  <si>
    <t xml:space="preserve"> NORCON POWER PARTNERS LP </t>
  </si>
  <si>
    <t xml:space="preserve"> NORTHAMPTION GENERATING </t>
  </si>
  <si>
    <t xml:space="preserve"> NORTHEASTERN POWER </t>
  </si>
  <si>
    <t xml:space="preserve"> PANTHER CREEK </t>
  </si>
  <si>
    <t xml:space="preserve"> PECO ENERGY CROYDEN </t>
  </si>
  <si>
    <t xml:space="preserve"> PECO ENERGY RICHMOND </t>
  </si>
  <si>
    <t xml:space="preserve"> PHILLIPS POWER STATION </t>
  </si>
  <si>
    <t xml:space="preserve"> PINEY CREEK </t>
  </si>
  <si>
    <t xml:space="preserve"> PORTLAND </t>
  </si>
  <si>
    <t xml:space="preserve"> SCHUYLKILL </t>
  </si>
  <si>
    <t xml:space="preserve"> SCHUYLKILL ENERGY RESOURCES </t>
  </si>
  <si>
    <t xml:space="preserve"> SCHUYLKILL STATION (TURBI </t>
  </si>
  <si>
    <t xml:space="preserve"> SCRUBGRASS GENERATING PLANT </t>
  </si>
  <si>
    <t xml:space="preserve"> SEWARD </t>
  </si>
  <si>
    <t xml:space="preserve"> SHAWVILLE </t>
  </si>
  <si>
    <t xml:space="preserve"> SUNBURY </t>
  </si>
  <si>
    <t xml:space="preserve">1A </t>
  </si>
  <si>
    <t xml:space="preserve">2B </t>
  </si>
  <si>
    <t xml:space="preserve"> TITUS </t>
  </si>
  <si>
    <t xml:space="preserve"> TOLNA </t>
  </si>
  <si>
    <t xml:space="preserve"> TRIGEN ENERGY SANSOM </t>
  </si>
  <si>
    <t xml:space="preserve"> WARREN </t>
  </si>
  <si>
    <t xml:space="preserve"> WESTWOOD ENERGY PROPERTIE </t>
  </si>
  <si>
    <t xml:space="preserve"> WHEELABRATOR FRACKVILLE E </t>
  </si>
  <si>
    <t>GEN1</t>
  </si>
  <si>
    <t xml:space="preserve"> WILLIAMS GEN-HAZELTON </t>
  </si>
  <si>
    <t xml:space="preserve">HRSG </t>
  </si>
  <si>
    <t xml:space="preserve">TURBN </t>
  </si>
  <si>
    <t>NON-EUGs</t>
  </si>
  <si>
    <t>Ravenswood "A" Boiler 2 EP A2</t>
  </si>
  <si>
    <t>002500BLR002</t>
  </si>
  <si>
    <t>BLR002</t>
  </si>
  <si>
    <t>Ravenswood "A" Boiler 4 EP A2</t>
  </si>
  <si>
    <t>002500BLR004</t>
  </si>
  <si>
    <t>BLR004</t>
  </si>
  <si>
    <t>St. Lawrence Cement</t>
  </si>
  <si>
    <t>STLAWCEM</t>
  </si>
  <si>
    <t>Blue Circle Cement</t>
  </si>
  <si>
    <t>BLUECIRCEM</t>
  </si>
  <si>
    <t>Glens Falls Cement</t>
  </si>
  <si>
    <t>GLENFLSCEM</t>
  </si>
  <si>
    <t>Glens Falls Lehigh Cement Company</t>
  </si>
  <si>
    <t>NY00000EGUNS</t>
  </si>
  <si>
    <t xml:space="preserve">New York EGU New Source Account </t>
  </si>
  <si>
    <t>NY00NONEGUNS</t>
  </si>
  <si>
    <t>New York Non-EGU New Source Acct</t>
  </si>
  <si>
    <t>NY00000EGUEE</t>
  </si>
  <si>
    <t>New York EGU Energy Efficiency Acct</t>
  </si>
  <si>
    <t>NY00NONEGUEE</t>
  </si>
  <si>
    <t>New York Non-EGU Energy Efficiency Acct</t>
  </si>
  <si>
    <t>NY00000CEMNS</t>
  </si>
  <si>
    <t>New York Cement New Source Account</t>
  </si>
  <si>
    <t>NY00000CEMEE</t>
  </si>
  <si>
    <t>New York Cement Energy Efficiency Acct</t>
  </si>
  <si>
    <t>`</t>
  </si>
  <si>
    <t>2004 Allocations</t>
  </si>
  <si>
    <t>2005 Allocations</t>
  </si>
  <si>
    <t>2006 Allocations</t>
  </si>
  <si>
    <t>Butler Warner Generating, Cumberland Co</t>
  </si>
  <si>
    <t>Cogentrix-Rocky Mount, Edgecombe Co</t>
  </si>
  <si>
    <t xml:space="preserve">Boiler </t>
  </si>
  <si>
    <t>Cogentrix-Elizabethtown, Bladen Co</t>
  </si>
  <si>
    <t xml:space="preserve">Coal boiler </t>
  </si>
  <si>
    <t>Cogentrix-Kenansville, Duplin Co</t>
  </si>
  <si>
    <t xml:space="preserve">Stoker boiler </t>
  </si>
  <si>
    <t>Cogentrix-Lumberton, Robeson Co</t>
  </si>
  <si>
    <t>Cogentrix-Roxboro, Person Co</t>
  </si>
  <si>
    <t>Cogentrix-Southport, Brunswick Co</t>
  </si>
  <si>
    <t>Fayetteville, Cumberland Co</t>
  </si>
  <si>
    <t>Duke Power, Lincoln</t>
  </si>
  <si>
    <t xml:space="preserve"> Combustion Turbine </t>
  </si>
  <si>
    <t xml:space="preserve"> Combustion Turbine</t>
  </si>
  <si>
    <t>Panda-Rosemary, Halifax Co</t>
  </si>
  <si>
    <t>Roanoke Valley, Halifax Co</t>
  </si>
  <si>
    <t>RJ Reynolds Tobbaccoville Facility, Forsyth Co</t>
  </si>
  <si>
    <t xml:space="preserve">Boiler 1 </t>
  </si>
  <si>
    <t xml:space="preserve">Boiler 2 </t>
  </si>
  <si>
    <t xml:space="preserve">Boiler 3 </t>
  </si>
  <si>
    <t xml:space="preserve">Boiler 4 </t>
  </si>
  <si>
    <t>UNC-CH, Orange Co</t>
  </si>
  <si>
    <t>boiler no 5, 6, and 7</t>
  </si>
  <si>
    <t xml:space="preserve">Boiler no 8 </t>
  </si>
  <si>
    <t>CP&amp;L, Lee Plant, Wayne County</t>
  </si>
  <si>
    <t xml:space="preserve"> Combustion  Turbine</t>
  </si>
  <si>
    <t xml:space="preserve"> Combustion  Turbine </t>
  </si>
  <si>
    <t xml:space="preserve">CP&amp;L, Mark's Creek, Richmond County </t>
  </si>
  <si>
    <t xml:space="preserve"> Combustion Turbine7 </t>
  </si>
  <si>
    <t xml:space="preserve">CP&amp;L, Asheville, Buncombe County </t>
  </si>
  <si>
    <t>NON-EGUS</t>
  </si>
  <si>
    <t>Weyerhaeuser Paper Co, Martin Co</t>
  </si>
  <si>
    <t>Riley boiler</t>
  </si>
  <si>
    <t>Package boiler</t>
  </si>
  <si>
    <t>Blue Ridge Paper Products, Haywood Co</t>
  </si>
  <si>
    <t>Pulverized coal dry bottom boiler</t>
  </si>
  <si>
    <t>Pulverized coal, wet bottom boiler</t>
  </si>
  <si>
    <t>Boiler</t>
  </si>
  <si>
    <t>International Paper Corp, Halifax Co</t>
  </si>
  <si>
    <t>Wood/bark-fired boiler-no 6 oil-fired boiler-pulverized coal, dry bottom boiler</t>
  </si>
  <si>
    <t>Weyerhaeuser Co New Bern Mill, Craven Co</t>
  </si>
  <si>
    <t>#1 power boiler</t>
  </si>
  <si>
    <t>#2 power boiler</t>
  </si>
  <si>
    <t>International Paper, Columbus Co</t>
  </si>
  <si>
    <t>No 3 Power Boiler</t>
  </si>
  <si>
    <t>No 4 Power Boiler</t>
  </si>
  <si>
    <t>Fieldcrest-Cannon, Plant 1 Cabarrus Co</t>
  </si>
  <si>
    <t>Transcontinental Gas Pipeline Station 160, Rockingham Co</t>
  </si>
  <si>
    <t>Mainline engine #11</t>
  </si>
  <si>
    <t>Mainline engine #12</t>
  </si>
  <si>
    <t>Mainline engine #13</t>
  </si>
  <si>
    <t>Mainline engine #14</t>
  </si>
  <si>
    <t>Mainline engine #15</t>
  </si>
  <si>
    <t>Transcontinental Gas Pipeline Station 150, Iredell Co</t>
  </si>
  <si>
    <t>Transcontinental Gas Pipeline Station 155, Davidson Co</t>
  </si>
  <si>
    <t>Mainline engine #2</t>
  </si>
  <si>
    <t>Mainline engine #3</t>
  </si>
  <si>
    <t>Mainline engine #4</t>
  </si>
  <si>
    <t>Mainline engine #5</t>
  </si>
  <si>
    <t>Mainline engine #6</t>
  </si>
  <si>
    <t>Plant ID</t>
  </si>
  <si>
    <t>Point ID</t>
  </si>
  <si>
    <t>June-Sept 2004-2007 Allocations</t>
  </si>
  <si>
    <t>Ashtabula</t>
  </si>
  <si>
    <t>AvonLake</t>
  </si>
  <si>
    <t>BayShore</t>
  </si>
  <si>
    <t>Cardinal</t>
  </si>
  <si>
    <t>Conesville</t>
  </si>
  <si>
    <t>DicksCreek</t>
  </si>
  <si>
    <t>Eastlake</t>
  </si>
  <si>
    <t>Edgewater</t>
  </si>
  <si>
    <t>FrankM.Tait</t>
  </si>
  <si>
    <t>Hamilton</t>
  </si>
  <si>
    <t>J.M.Stuart</t>
  </si>
  <si>
    <t>KillenStation</t>
  </si>
  <si>
    <t>KygerCreek</t>
  </si>
  <si>
    <t>LakeShore</t>
  </si>
  <si>
    <t>MadRiver</t>
  </si>
  <si>
    <t>MiamiFort</t>
  </si>
  <si>
    <t>Niles</t>
  </si>
  <si>
    <t>O.H.Hutchings</t>
  </si>
  <si>
    <t>H-1</t>
  </si>
  <si>
    <t>H-2</t>
  </si>
  <si>
    <t>H-3</t>
  </si>
  <si>
    <t>H-4</t>
  </si>
  <si>
    <t>H-5</t>
  </si>
  <si>
    <t>H-6</t>
  </si>
  <si>
    <t>H-7</t>
  </si>
  <si>
    <t>Picway</t>
  </si>
  <si>
    <t>R.E.Burger</t>
  </si>
  <si>
    <t>R.EBurger</t>
  </si>
  <si>
    <t>RichardGorsuch</t>
  </si>
  <si>
    <t>W.H.Sammis</t>
  </si>
  <si>
    <t>W.HSammis</t>
  </si>
  <si>
    <t>W.H.Zimmer</t>
  </si>
  <si>
    <t>WalterC.Beckjord</t>
  </si>
  <si>
    <t>WestLorain</t>
  </si>
  <si>
    <t>1A</t>
  </si>
  <si>
    <t>1B</t>
  </si>
  <si>
    <t>Woodsdale</t>
  </si>
  <si>
    <t>GeneralJ.M. Gavin</t>
  </si>
  <si>
    <t>Muskingum River</t>
  </si>
  <si>
    <t>2003-2005 Allowances</t>
  </si>
  <si>
    <t xml:space="preserve">Ocean State Power </t>
  </si>
  <si>
    <t xml:space="preserve">Pawtucket Power Associates </t>
  </si>
  <si>
    <t xml:space="preserve">Manchester Street Station </t>
  </si>
  <si>
    <t xml:space="preserve">Tiverton Power Associates </t>
  </si>
  <si>
    <t>Co. Code</t>
  </si>
  <si>
    <t>Permit #</t>
  </si>
  <si>
    <t>Point No</t>
  </si>
  <si>
    <t>Description</t>
  </si>
  <si>
    <t>Type</t>
  </si>
  <si>
    <t>Capacity</t>
  </si>
  <si>
    <t>1995 Heat Input</t>
  </si>
  <si>
    <t>1996 Heat Input</t>
  </si>
  <si>
    <t>1997 Heat Input</t>
  </si>
  <si>
    <t>1998 Heat Input</t>
  </si>
  <si>
    <t>1999 Heat Input</t>
  </si>
  <si>
    <t>1st Highest Heat Input</t>
  </si>
  <si>
    <t>2nd Hightest Heat Input</t>
  </si>
  <si>
    <t>Average High Heat Input</t>
  </si>
  <si>
    <t>2004-2006 Allocations</t>
  </si>
  <si>
    <t>Allocations by Company</t>
  </si>
  <si>
    <t>Cherokee Cogen</t>
  </si>
  <si>
    <t>0600-0080</t>
  </si>
  <si>
    <t>0CA</t>
  </si>
  <si>
    <t>TURBINE</t>
  </si>
  <si>
    <t>76.8MW</t>
  </si>
  <si>
    <t>NewUnit</t>
  </si>
  <si>
    <t>CP&amp;L:ROBINSON</t>
  </si>
  <si>
    <t>0820-0002</t>
  </si>
  <si>
    <t>Unit1</t>
  </si>
  <si>
    <t>174MW</t>
  </si>
  <si>
    <t>CP&amp;L:ROBINSON(Darlington)</t>
  </si>
  <si>
    <t>COMBTURB</t>
  </si>
  <si>
    <t>84MW</t>
  </si>
  <si>
    <t>0820-0033</t>
  </si>
  <si>
    <t>CT11</t>
  </si>
  <si>
    <t>CT12</t>
  </si>
  <si>
    <t>158MW</t>
  </si>
  <si>
    <t>CommercialDate1997</t>
  </si>
  <si>
    <t>CT13</t>
  </si>
  <si>
    <t>DUKEENERGY:LEE</t>
  </si>
  <si>
    <t>0200-0004</t>
  </si>
  <si>
    <t>105MW</t>
  </si>
  <si>
    <t>175MW</t>
  </si>
  <si>
    <t>TURBINE4C</t>
  </si>
  <si>
    <t>30MW</t>
  </si>
  <si>
    <t>No Data</t>
  </si>
  <si>
    <t>TURBINE5C</t>
  </si>
  <si>
    <t>-30MW</t>
  </si>
  <si>
    <t>TURBINE6C</t>
  </si>
  <si>
    <t>SANTEECOOPER:CROSS</t>
  </si>
  <si>
    <t>0420-0030</t>
  </si>
  <si>
    <t>UNIT1</t>
  </si>
  <si>
    <t>540MW</t>
  </si>
  <si>
    <t>UNIT2</t>
  </si>
  <si>
    <t>SANTEECOOPER:GRAINGER</t>
  </si>
  <si>
    <t>1340-0003</t>
  </si>
  <si>
    <t>85MW</t>
  </si>
  <si>
    <t>SANTEECOOPER:HILTONHEAD</t>
  </si>
  <si>
    <t>0360-0006</t>
  </si>
  <si>
    <t>TURBINE1</t>
  </si>
  <si>
    <t>27MW</t>
  </si>
  <si>
    <t>TURBINE2</t>
  </si>
  <si>
    <t>TURBINE3</t>
  </si>
  <si>
    <t>57MW</t>
  </si>
  <si>
    <t>SANTEECOOPER:JEFFRIES</t>
  </si>
  <si>
    <t>0420-0003</t>
  </si>
  <si>
    <t>46MW</t>
  </si>
  <si>
    <t>UNIT3</t>
  </si>
  <si>
    <t>153MW</t>
  </si>
  <si>
    <t>UNIT4</t>
  </si>
  <si>
    <t>SANTEECOOPER:MYRTLEBEACH</t>
  </si>
  <si>
    <t>1340-0021</t>
  </si>
  <si>
    <t>NoData</t>
  </si>
  <si>
    <t>SANTEECOOPER:MYRTLE</t>
  </si>
  <si>
    <t>UNIT5</t>
  </si>
  <si>
    <t>SANTEECOOPER:WINYAH</t>
  </si>
  <si>
    <t>1140-0005</t>
  </si>
  <si>
    <t>315MW</t>
  </si>
  <si>
    <t>315 MW</t>
  </si>
  <si>
    <t>SCE&amp;G:CANADYS</t>
  </si>
  <si>
    <t>0740-0002</t>
  </si>
  <si>
    <t>UNIT#1-</t>
  </si>
  <si>
    <t>125MW</t>
  </si>
  <si>
    <t>UNIT#2-</t>
  </si>
  <si>
    <t>UNIT#3-</t>
  </si>
  <si>
    <t>200MW</t>
  </si>
  <si>
    <t>SCE&amp;G:COPE</t>
  </si>
  <si>
    <t>1860-0044</t>
  </si>
  <si>
    <t>40MW</t>
  </si>
  <si>
    <t>SCE&amp;G:HAGOOD</t>
  </si>
  <si>
    <t>0560-0029</t>
  </si>
  <si>
    <t>ICTURB</t>
  </si>
  <si>
    <t>110MW</t>
  </si>
  <si>
    <t>SCE&amp;G:MCMEEKIN</t>
  </si>
  <si>
    <t>1560-0003</t>
  </si>
  <si>
    <t>SCE&amp;G:URQUHART</t>
  </si>
  <si>
    <t>0080-0011</t>
  </si>
  <si>
    <t>75MW</t>
  </si>
  <si>
    <t>100MW</t>
  </si>
  <si>
    <t>SCE&amp;G:WATEREE</t>
  </si>
  <si>
    <t>1900-0013</t>
  </si>
  <si>
    <t>360MW</t>
  </si>
  <si>
    <t>SCE&amp;G:WILLIAMS</t>
  </si>
  <si>
    <t>0420-0006</t>
  </si>
  <si>
    <t>600MW</t>
  </si>
  <si>
    <t>TURBINEA</t>
  </si>
  <si>
    <t>TURBINEB</t>
  </si>
  <si>
    <t>Point #</t>
  </si>
  <si>
    <t>Point Description</t>
  </si>
  <si>
    <t>Comments</t>
  </si>
  <si>
    <t>2000 Heat Input</t>
  </si>
  <si>
    <t>BOWATERINC</t>
  </si>
  <si>
    <t>2440-0005</t>
  </si>
  <si>
    <t>PWRBLR#1</t>
  </si>
  <si>
    <t>CAROLINAEASTMANCO</t>
  </si>
  <si>
    <t>1560-0008</t>
  </si>
  <si>
    <t>N01</t>
  </si>
  <si>
    <t>BLR 1</t>
  </si>
  <si>
    <t>N03</t>
  </si>
  <si>
    <t>BLR 3</t>
  </si>
  <si>
    <t>N04</t>
  </si>
  <si>
    <t>N05</t>
  </si>
  <si>
    <t>BLR 5</t>
  </si>
  <si>
    <t>CELANESEACETATE:ROCKHILL</t>
  </si>
  <si>
    <t>2440-0010</t>
  </si>
  <si>
    <t>006BLR</t>
  </si>
  <si>
    <t>BLR 6</t>
  </si>
  <si>
    <t>DUPONT,EI:MAYPLANT</t>
  </si>
  <si>
    <t>1380-0003</t>
  </si>
  <si>
    <t>SESBLR#3</t>
  </si>
  <si>
    <t>SESBLR#4</t>
  </si>
  <si>
    <t>INTERNATIONALPAPER:EASTOVER</t>
  </si>
  <si>
    <t>1900-0046</t>
  </si>
  <si>
    <t>#1POWERBLR</t>
  </si>
  <si>
    <t>SONOCO:HARTSVILLE</t>
  </si>
  <si>
    <t>0820-0012</t>
  </si>
  <si>
    <t>Changed to size L</t>
  </si>
  <si>
    <t>SPRINGSIND:GRACE</t>
  </si>
  <si>
    <t>1460-0003</t>
  </si>
  <si>
    <t>STONECONTAINER:FLORENCE</t>
  </si>
  <si>
    <t>1040-0003</t>
  </si>
  <si>
    <t>Moved from EGU</t>
  </si>
  <si>
    <t>COGENSOUTH</t>
  </si>
  <si>
    <t>0560-0244</t>
  </si>
  <si>
    <t>B002S</t>
  </si>
  <si>
    <t>AUX BLR 1</t>
  </si>
  <si>
    <t>AUX BLR 2</t>
  </si>
  <si>
    <t>AUX BLR 3</t>
  </si>
  <si>
    <t>B001S</t>
  </si>
  <si>
    <t>MAIN BLR</t>
  </si>
  <si>
    <t>WILLAMETTE:BENNETTSVILLE</t>
  </si>
  <si>
    <t>1680-0043</t>
  </si>
  <si>
    <t>PACKGE BLR</t>
  </si>
  <si>
    <t>Plant_id</t>
  </si>
  <si>
    <t>Point_id</t>
  </si>
  <si>
    <t>NOX Allocation</t>
  </si>
  <si>
    <t>VA POWER - BELLEMEADE</t>
  </si>
  <si>
    <t>VA POWER - BREMO BLUFF</t>
  </si>
  <si>
    <t>VA POWER - CHESAPEAKE</t>
  </si>
  <si>
    <t>ST. LAURENT PAPER</t>
  </si>
  <si>
    <t>ST_rp.</t>
  </si>
  <si>
    <t>VA POWER - CHESTERFIELD</t>
  </si>
  <si>
    <t>AEP - CLINCH RIVER</t>
  </si>
  <si>
    <t>VA POWER - CLOVER</t>
  </si>
  <si>
    <t>COGENTRIX - HOPEWELL</t>
  </si>
  <si>
    <t>ST_ell</t>
  </si>
  <si>
    <t>COGENTRIX - PORTSMOUTH</t>
  </si>
  <si>
    <t>ST_uth</t>
  </si>
  <si>
    <t>COGENTRIX RICHMOND 1</t>
  </si>
  <si>
    <t>ST_d 1</t>
  </si>
  <si>
    <t>COGENTRIX RICHMOND 2</t>
  </si>
  <si>
    <t>ST_d 2</t>
  </si>
  <si>
    <t>COMMONWEALTH ATLANTIC LP</t>
  </si>
  <si>
    <t>GT_LP</t>
  </si>
  <si>
    <t>VA POWER - DARBYTOWN</t>
  </si>
  <si>
    <t>DOSWELL #1</t>
  </si>
  <si>
    <t>CA_#1</t>
  </si>
  <si>
    <t>CT_#1</t>
  </si>
  <si>
    <t>DOSWELL #2</t>
  </si>
  <si>
    <t>CA_#2</t>
  </si>
  <si>
    <t>CT_#2</t>
  </si>
  <si>
    <t>AEP - GLEN LYN</t>
  </si>
  <si>
    <t>GORDONSVILLE ENERGY 1</t>
  </si>
  <si>
    <t>CA_e 1</t>
  </si>
  <si>
    <t>GORDONSVILLE ENERGY 2</t>
  </si>
  <si>
    <t>CA_e 2</t>
  </si>
  <si>
    <t>VA POWER - GRAVEL NECK</t>
  </si>
  <si>
    <t>HOPEWELL COGEN, INC.</t>
  </si>
  <si>
    <t>CT_nc.</t>
  </si>
  <si>
    <t>CW_nc.</t>
  </si>
  <si>
    <t>LG&amp;E-WESTMORELAND ALTAVISTA</t>
  </si>
  <si>
    <t>LG&amp;E-WESTMORELAND HOPEWELL</t>
  </si>
  <si>
    <t>LG&amp;E-WESTMORELAND SOUTHAMPTON</t>
  </si>
  <si>
    <t>MECKLENBURG COGEN</t>
  </si>
  <si>
    <t>ST_urg</t>
  </si>
  <si>
    <t>VA POWER - POSSUM POINT</t>
  </si>
  <si>
    <t>PEPCO -POTOMAC RIVER</t>
  </si>
  <si>
    <t>PEPCO - POTOMAC RIVER</t>
  </si>
  <si>
    <t>SEI BIRCHWOOD</t>
  </si>
  <si>
    <t>DELMARVA P&amp;L - TASLEY</t>
  </si>
  <si>
    <t>VA POWER - YORKTOWN</t>
  </si>
  <si>
    <t>CELANESE ACETATE LLC (FORMERLY HOECHST CELANESE CORP)</t>
  </si>
  <si>
    <t>DAN RIVER INC (SCHOOLFIELD DIV)</t>
  </si>
  <si>
    <t>GEORGIA-PACIFIC - BIG ISLAND MILL</t>
  </si>
  <si>
    <t>HONEYWELL INTERNATIONAL INC</t>
  </si>
  <si>
    <t>10B</t>
  </si>
  <si>
    <t>10C</t>
  </si>
  <si>
    <t>INTERNATIONAL PAPER - FRANKLIN (FORMERLY UNION CAMP CORP/FINE PAPER DIV)</t>
  </si>
  <si>
    <t>ST. LAURENT PAPER PRODUCTS CORP.</t>
  </si>
  <si>
    <t>WESTVACO CORP</t>
  </si>
  <si>
    <t>NOX AllocationS</t>
  </si>
  <si>
    <t>Facility No.</t>
  </si>
  <si>
    <t>Fips County Code</t>
  </si>
  <si>
    <t>Oris Plant Id</t>
  </si>
  <si>
    <t>AIRS Plant Id</t>
  </si>
  <si>
    <t>Plant Name</t>
  </si>
  <si>
    <t>Oris Boiler Id</t>
  </si>
  <si>
    <t>AIRS Point Id</t>
  </si>
  <si>
    <t>State Unit No</t>
  </si>
  <si>
    <t>State Local Unit Description</t>
  </si>
  <si>
    <t>Allocation (Tons)</t>
  </si>
  <si>
    <t>104-0003</t>
  </si>
  <si>
    <t>NA</t>
  </si>
  <si>
    <t>International Paper Co. Riverdale Mill</t>
  </si>
  <si>
    <t>X026</t>
  </si>
  <si>
    <t>40MW Stationary Gas Turbine w/ HSRG</t>
  </si>
  <si>
    <t>Z007</t>
  </si>
  <si>
    <t>No. 1 Power Boiler</t>
  </si>
  <si>
    <t>201-0001</t>
  </si>
  <si>
    <t>International Paper - Prattville Mill</t>
  </si>
  <si>
    <t>Z006</t>
  </si>
  <si>
    <t>Z008</t>
  </si>
  <si>
    <t>No. 2 Power Boiler</t>
  </si>
  <si>
    <t>201-0008</t>
  </si>
  <si>
    <t>***</t>
  </si>
  <si>
    <t>Tenaska Alabama Generating Station</t>
  </si>
  <si>
    <t xml:space="preserve">X001A </t>
  </si>
  <si>
    <t>Combined Cycle Unit No. 1</t>
  </si>
  <si>
    <t xml:space="preserve">X001B </t>
  </si>
  <si>
    <t>Combined Cycle Unit No. 2</t>
  </si>
  <si>
    <t xml:space="preserve">X001C </t>
  </si>
  <si>
    <t>Combined Cycle Unit No. 3</t>
  </si>
  <si>
    <t>201-0009</t>
  </si>
  <si>
    <t>Tenaska Alabama II Partners LP</t>
  </si>
  <si>
    <t>Combined Cycle Unit 1</t>
  </si>
  <si>
    <t>Combined Cycle Unit 2</t>
  </si>
  <si>
    <t>Combined Cycle Unit 3</t>
  </si>
  <si>
    <t>201-0010</t>
  </si>
  <si>
    <t>Alabama Power Co. - Autaugaville Combined Cycle Power Plant</t>
  </si>
  <si>
    <t>Unit 1A</t>
  </si>
  <si>
    <t>Unit 1B</t>
  </si>
  <si>
    <t>Unit 2A</t>
  </si>
  <si>
    <t xml:space="preserve">X001D </t>
  </si>
  <si>
    <t>Unit 2B</t>
  </si>
  <si>
    <t>206-0030</t>
  </si>
  <si>
    <t>South Eastern Electric Development Corp</t>
  </si>
  <si>
    <t>X001-1A</t>
  </si>
  <si>
    <t>Turbine Unit 1A</t>
  </si>
  <si>
    <t>X001-1B</t>
  </si>
  <si>
    <t>Turbine Unit 1B</t>
  </si>
  <si>
    <t>X001-2A</t>
  </si>
  <si>
    <t>Turbine Unit 2A</t>
  </si>
  <si>
    <t>X001-2B</t>
  </si>
  <si>
    <t>Turbine Unit 2B</t>
  </si>
  <si>
    <t>206-0036</t>
  </si>
  <si>
    <t>Georgia Power Company - Goat Rock Combined Cycle Plant</t>
  </si>
  <si>
    <t>Combined Cycle Unit 1A</t>
  </si>
  <si>
    <t>Combined Cylce Unit 1B</t>
  </si>
  <si>
    <t>Combined Cycle Unit 2A</t>
  </si>
  <si>
    <t>Combined Cycle Unit 2B</t>
  </si>
  <si>
    <t>X001-3A</t>
  </si>
  <si>
    <t>Combined Cycle Unit 3A</t>
  </si>
  <si>
    <t>X001-3B</t>
  </si>
  <si>
    <t>Combined Cycle Unit 3B</t>
  </si>
  <si>
    <t>X001-4A</t>
  </si>
  <si>
    <t>Combined Cycle Unit 4A</t>
  </si>
  <si>
    <t>X001-4B</t>
  </si>
  <si>
    <t>Combined Cycle Unit 4B</t>
  </si>
  <si>
    <t>211-0004</t>
  </si>
  <si>
    <t>Mead Coated Board Inc</t>
  </si>
  <si>
    <t>X008</t>
  </si>
  <si>
    <t>301-0073</t>
  </si>
  <si>
    <t>Calhoun Power Company I, LLC Generating Station</t>
  </si>
  <si>
    <t>Simple Cycle Combustion Turbine No. 1</t>
  </si>
  <si>
    <t>Simple Cycle Combustion Turbine No. 2</t>
  </si>
  <si>
    <t>Simple Cycle Combustion Turbine No. 3</t>
  </si>
  <si>
    <t>Simple Cycle Combustion Turbine No. 4</t>
  </si>
  <si>
    <t>306-0043</t>
  </si>
  <si>
    <t>Tenaska Alabama III Generating Station</t>
  </si>
  <si>
    <t>Simple Cycle Unit 1</t>
  </si>
  <si>
    <t>Simple Cycle Unit 2</t>
  </si>
  <si>
    <t>Simple Cycle Unit 3</t>
  </si>
  <si>
    <t>307-0002</t>
  </si>
  <si>
    <t>Alabama Power Company - Gadsden</t>
  </si>
  <si>
    <t>X001</t>
  </si>
  <si>
    <t>Boiler Unit No 1</t>
  </si>
  <si>
    <t>X002</t>
  </si>
  <si>
    <t>Boiler Unit No 2</t>
  </si>
  <si>
    <t>307-0008</t>
  </si>
  <si>
    <t>Gulf States Steel Inc</t>
  </si>
  <si>
    <t>X035</t>
  </si>
  <si>
    <t>Boiler #9</t>
  </si>
  <si>
    <t>308-0024</t>
  </si>
  <si>
    <t>South Eastern Energy Corporation</t>
  </si>
  <si>
    <t>X001CC1</t>
  </si>
  <si>
    <t>X001CC2</t>
  </si>
  <si>
    <t>X001CC3</t>
  </si>
  <si>
    <t>X001CC4</t>
  </si>
  <si>
    <t>Combined Cycle Unit 4</t>
  </si>
  <si>
    <t>X001CC5</t>
  </si>
  <si>
    <t>Combined Cycle Unit 5</t>
  </si>
  <si>
    <t>X001CC6</t>
  </si>
  <si>
    <t>Combined Cycle Unit 6</t>
  </si>
  <si>
    <t>309-0006</t>
  </si>
  <si>
    <t>U. S. Alliance Coosa Pines Corporation</t>
  </si>
  <si>
    <t>X025</t>
  </si>
  <si>
    <t>No. 1 AOW Power Boiler</t>
  </si>
  <si>
    <t>No. 2 AOW Power Boiler</t>
  </si>
  <si>
    <t>X027</t>
  </si>
  <si>
    <t>No. 3 AOW Power Boiler</t>
  </si>
  <si>
    <t>X028</t>
  </si>
  <si>
    <t>No. 4 AOW Power Boiler</t>
  </si>
  <si>
    <t>310-0019</t>
  </si>
  <si>
    <t>Calpine Construction Finance Corp., L.C. - Hillabee Energy Center</t>
  </si>
  <si>
    <t>Combined Cycle Unit 1B</t>
  </si>
  <si>
    <t>310-0020</t>
  </si>
  <si>
    <t>Duke Energy Alexander City, LLC</t>
  </si>
  <si>
    <t xml:space="preserve">X003A </t>
  </si>
  <si>
    <t>Simple Cycle Unit 3A</t>
  </si>
  <si>
    <t xml:space="preserve">X003B </t>
  </si>
  <si>
    <t>Simple Cycle Unit 3B</t>
  </si>
  <si>
    <t xml:space="preserve">X003C </t>
  </si>
  <si>
    <t>Simple Cycle Unit 3C</t>
  </si>
  <si>
    <t xml:space="preserve">X003D </t>
  </si>
  <si>
    <t>Simple Cycle Unit 3D</t>
  </si>
  <si>
    <t xml:space="preserve">X003E </t>
  </si>
  <si>
    <t>Simple Cycle Unit 3E</t>
  </si>
  <si>
    <t xml:space="preserve">X003F </t>
  </si>
  <si>
    <t>Simple Cycle Unit 3F</t>
  </si>
  <si>
    <t xml:space="preserve">X003G </t>
  </si>
  <si>
    <t>Simple Cycle Unit 3G</t>
  </si>
  <si>
    <t xml:space="preserve">X003H </t>
  </si>
  <si>
    <t>Simple Cycle Unit 3H</t>
  </si>
  <si>
    <t>402-0010</t>
  </si>
  <si>
    <t>Blount County Energy, LLC - BMW</t>
  </si>
  <si>
    <t>Combined Cycle Combustion Turbine No. 1</t>
  </si>
  <si>
    <t>Combined Cycle Combustion Turbine No. 2</t>
  </si>
  <si>
    <t>Combined Cycle Combustion Turbine No. 3</t>
  </si>
  <si>
    <t>405-0001</t>
  </si>
  <si>
    <t>Alabama Power Company - Greene County</t>
  </si>
  <si>
    <t>CT2</t>
  </si>
  <si>
    <t>X003</t>
  </si>
  <si>
    <t>80 MW Turbine (CT2)</t>
  </si>
  <si>
    <t>CT3</t>
  </si>
  <si>
    <t>X004</t>
  </si>
  <si>
    <t>80 MW Turbine (CT3)</t>
  </si>
  <si>
    <t>CT4</t>
  </si>
  <si>
    <t>X005</t>
  </si>
  <si>
    <t>80 MW Turbine (CT4)</t>
  </si>
  <si>
    <t>CT5</t>
  </si>
  <si>
    <t>X006</t>
  </si>
  <si>
    <t>80 MW Turbine (CT5)</t>
  </si>
  <si>
    <t>CT6</t>
  </si>
  <si>
    <t>X007</t>
  </si>
  <si>
    <t>80 MW Turbine (CT6)</t>
  </si>
  <si>
    <t>CT7</t>
  </si>
  <si>
    <t>80 MW Turbine (CT7)</t>
  </si>
  <si>
    <t>CT8</t>
  </si>
  <si>
    <t>X009</t>
  </si>
  <si>
    <t>80 MW Turbine (CT8)</t>
  </si>
  <si>
    <t>CT9</t>
  </si>
  <si>
    <t>X010</t>
  </si>
  <si>
    <t>80 MW Turbine (CT9)</t>
  </si>
  <si>
    <t>CT10</t>
  </si>
  <si>
    <t>X011</t>
  </si>
  <si>
    <t>80 MW Turbine (CT10)</t>
  </si>
  <si>
    <t>407-0011</t>
  </si>
  <si>
    <t>Alabama Power Company - Miller</t>
  </si>
  <si>
    <t>Unit No 1 Coal Fired Boiler with ESP</t>
  </si>
  <si>
    <t>Unit No 2 Coal Fired Boiler with ESP</t>
  </si>
  <si>
    <t>Unit No 3 Coal Fired Boiler with ESP</t>
  </si>
  <si>
    <t>Unit No 4 Coal Fired Boiler with ESP</t>
  </si>
  <si>
    <t>407-0370</t>
  </si>
  <si>
    <t xml:space="preserve">U.S. Steel - Fairfield </t>
  </si>
  <si>
    <t>Boiler 5</t>
  </si>
  <si>
    <t>Boiler 8</t>
  </si>
  <si>
    <t>Boiler 9</t>
  </si>
  <si>
    <t>Boiler 10</t>
  </si>
  <si>
    <t>411-0005</t>
  </si>
  <si>
    <t>Alabama Power Company - EC Gaston</t>
  </si>
  <si>
    <t>Unit No 1</t>
  </si>
  <si>
    <t>Unit No 2</t>
  </si>
  <si>
    <t>Unit No 3</t>
  </si>
  <si>
    <t>Unit No 4</t>
  </si>
  <si>
    <t>Unit No 5</t>
  </si>
  <si>
    <t>414-0001</t>
  </si>
  <si>
    <t>Alabama Power Company - Gorgas</t>
  </si>
  <si>
    <t>Unit No. 7</t>
  </si>
  <si>
    <t>Unit No. 8</t>
  </si>
  <si>
    <t>Unit No. 9</t>
  </si>
  <si>
    <t>Unit No. 10</t>
  </si>
  <si>
    <t>Unit No. 6</t>
  </si>
  <si>
    <t>414-0014</t>
  </si>
  <si>
    <t>GenPower Kelley, LLC</t>
  </si>
  <si>
    <t>Combined Cycle Unit No. 4</t>
  </si>
  <si>
    <t>701-0010</t>
  </si>
  <si>
    <t>TVA - Colbert</t>
  </si>
  <si>
    <t>CT1</t>
  </si>
  <si>
    <t>Combustion Turbine No. 1</t>
  </si>
  <si>
    <t>Combustion Turbine No. 2</t>
  </si>
  <si>
    <t>Combustion Turbine No. 3</t>
  </si>
  <si>
    <t>Combustion Turbine No. 4</t>
  </si>
  <si>
    <t>Combustion Turbine No. 5</t>
  </si>
  <si>
    <t>Combustion Turbine No. 6</t>
  </si>
  <si>
    <t>Combustion Turbine No. 7</t>
  </si>
  <si>
    <t>Combustion Turbine No. 8</t>
  </si>
  <si>
    <t xml:space="preserve">X009 </t>
  </si>
  <si>
    <t>Boiler #1</t>
  </si>
  <si>
    <t xml:space="preserve">X010 </t>
  </si>
  <si>
    <t>Boiler #2</t>
  </si>
  <si>
    <t xml:space="preserve">X011 </t>
  </si>
  <si>
    <t>Boiler #3</t>
  </si>
  <si>
    <t xml:space="preserve">X012 </t>
  </si>
  <si>
    <t>Boiler #4</t>
  </si>
  <si>
    <t xml:space="preserve">X013 </t>
  </si>
  <si>
    <t>Boiler #5</t>
  </si>
  <si>
    <t>705-0008</t>
  </si>
  <si>
    <t>TVA - Widows Creek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</si>
  <si>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</si>
  <si>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</si>
  <si>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</si>
  <si>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</si>
  <si>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</si>
  <si>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</si>
  <si>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</si>
  <si>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</si>
  <si>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707-0001</t>
  </si>
  <si>
    <t>International Paper - Courtland Mill</t>
  </si>
  <si>
    <t>Package Boiler</t>
  </si>
  <si>
    <t>X017</t>
  </si>
  <si>
    <t>Gas Turbine Duct Brn</t>
  </si>
  <si>
    <t>712-0002</t>
  </si>
  <si>
    <t>Amoco Chemicals</t>
  </si>
  <si>
    <t>Boiler #AB 4302</t>
  </si>
  <si>
    <t>X076</t>
  </si>
  <si>
    <t>400 MMBtu/hr Boiler</t>
  </si>
  <si>
    <t>712-0010</t>
  </si>
  <si>
    <t>Solutia, Inc. - Decatur Plant</t>
  </si>
  <si>
    <t>X015</t>
  </si>
  <si>
    <t>536.1 MMBTU/hr Coal and PN Fired Boiler w/ ESP-No. 7 Boiler</t>
  </si>
  <si>
    <t>X053</t>
  </si>
  <si>
    <t>267 MMBtu/hr Boiler No. 8 Boiler (began operating in 1997)</t>
  </si>
  <si>
    <t>Z004</t>
  </si>
  <si>
    <t>290 MMBTU/hr Coal Fired Boiler with ESP - No. 4 Boiler</t>
  </si>
  <si>
    <t>Z005</t>
  </si>
  <si>
    <t>290 MMBTU/hr Coal Fired Boiler with ESP - No. 5 Boiler</t>
  </si>
  <si>
    <t>320 MMBTU/hr Coal Fired Boiler with ESP - No. 6 Boiler</t>
  </si>
  <si>
    <t>712-0079</t>
  </si>
  <si>
    <t>Calpine Construction Finance Corp., L.P. - Decatur Energy Center</t>
  </si>
  <si>
    <t>Combined Cycle Unit 1C</t>
  </si>
  <si>
    <t>712-0080</t>
  </si>
  <si>
    <t>Calpine Construction Finance Corp., L.P. - Morgan Energy Center</t>
  </si>
  <si>
    <t>Total Allocations=</t>
  </si>
  <si>
    <t>Operator</t>
  </si>
  <si>
    <t>Plant</t>
  </si>
  <si>
    <t>Unit</t>
  </si>
  <si>
    <t>1995 Heat Input (MMBTU)</t>
  </si>
  <si>
    <t>1996 Heat Input (MMBTU)</t>
  </si>
  <si>
    <t>1997 Heat Input (MMBtu)</t>
  </si>
  <si>
    <t>1998 Heat Input (MMBtu)</t>
  </si>
  <si>
    <t>NOx Emission Rate (lb/MMBtu)</t>
  </si>
  <si>
    <t>Allocations 2003-2005</t>
  </si>
  <si>
    <t>D-FD</t>
  </si>
  <si>
    <t>MCKEERUN</t>
  </si>
  <si>
    <t>VANSANT</t>
  </si>
  <si>
    <t>FIRSTSTATE</t>
  </si>
  <si>
    <t>CONECTIV</t>
  </si>
  <si>
    <t>CHRISTIANASUB</t>
  </si>
  <si>
    <t>DELAWARECITY</t>
  </si>
  <si>
    <t>EDGEMOOR</t>
  </si>
  <si>
    <t>MADISONSTREET</t>
  </si>
  <si>
    <t>WESTSUBSTATION</t>
  </si>
  <si>
    <t>HAYROAD</t>
  </si>
  <si>
    <t>MOTIVA</t>
  </si>
  <si>
    <t>CT</t>
  </si>
  <si>
    <t>INDIANRIVER</t>
  </si>
  <si>
    <t>Total</t>
  </si>
  <si>
    <t>Company Name ID #</t>
  </si>
  <si>
    <t>Generating Unit Designation</t>
  </si>
  <si>
    <t>EGU Designation</t>
  </si>
  <si>
    <t xml:space="preserve">NOx Budget Allowances
</t>
  </si>
  <si>
    <t>80% of NOx Budget Allowances</t>
  </si>
  <si>
    <t>50% of NOx Budget Allowances</t>
  </si>
  <si>
    <t>2003-2005</t>
  </si>
  <si>
    <t>2006-2007</t>
  </si>
  <si>
    <t>2008-2009</t>
  </si>
  <si>
    <t>5% NSSA</t>
  </si>
  <si>
    <t>2% NSSA</t>
  </si>
  <si>
    <t>Ameren Energy Generating Company</t>
  </si>
  <si>
    <t>135803AAA</t>
  </si>
  <si>
    <t>Coffeen 1</t>
  </si>
  <si>
    <t>Coffeen 2</t>
  </si>
  <si>
    <t>077806AAA</t>
  </si>
  <si>
    <t>G. Tower 3</t>
  </si>
  <si>
    <t>Boiler 7</t>
  </si>
  <si>
    <t>G. Tower 4</t>
  </si>
  <si>
    <t>033801AAA</t>
  </si>
  <si>
    <t>Hutsonville 3</t>
  </si>
  <si>
    <t>Hutsonville 4</t>
  </si>
  <si>
    <t>Boiler 6</t>
  </si>
  <si>
    <t>135805AAA</t>
  </si>
  <si>
    <t>Meredosia 1</t>
  </si>
  <si>
    <t>Boiler 1</t>
  </si>
  <si>
    <t>Boiler 2</t>
  </si>
  <si>
    <t>Meredosia 2</t>
  </si>
  <si>
    <t>Boiler 3</t>
  </si>
  <si>
    <t>Boiler 4</t>
  </si>
  <si>
    <t>Meredosia 3</t>
  </si>
  <si>
    <t>Meredosia 4</t>
  </si>
  <si>
    <t>079808AAA</t>
  </si>
  <si>
    <t>Newton 1</t>
  </si>
  <si>
    <t>Newton 2</t>
  </si>
  <si>
    <t>Ameren Eng. Gen. Co. Totals</t>
  </si>
  <si>
    <t>AES</t>
  </si>
  <si>
    <t>057801AAA</t>
  </si>
  <si>
    <t>D. Creek</t>
  </si>
  <si>
    <t>143805AAG</t>
  </si>
  <si>
    <t>Edwards 1</t>
  </si>
  <si>
    <t>Edwards 2</t>
  </si>
  <si>
    <t>Edwards 3</t>
  </si>
  <si>
    <t>AES Totals</t>
  </si>
  <si>
    <t>CWLP</t>
  </si>
  <si>
    <t>167120AAO</t>
  </si>
  <si>
    <t>Dallman 1</t>
  </si>
  <si>
    <t>Boiler 31</t>
  </si>
  <si>
    <t>Dallman 2</t>
  </si>
  <si>
    <t>Boiler 32</t>
  </si>
  <si>
    <t>Dallman 3</t>
  </si>
  <si>
    <t>Boiler 33</t>
  </si>
  <si>
    <t>167120AGQ</t>
  </si>
  <si>
    <t>G. Turbine #2</t>
  </si>
  <si>
    <t>Lakeside 7</t>
  </si>
  <si>
    <t>Lakeside 8</t>
  </si>
  <si>
    <t>CWLP Totals</t>
  </si>
  <si>
    <t>Midwest Generation</t>
  </si>
  <si>
    <t>063806AAF</t>
  </si>
  <si>
    <t>Collins 1</t>
  </si>
  <si>
    <t>Collins 2</t>
  </si>
  <si>
    <t>Collins 3</t>
  </si>
  <si>
    <t>Collins 4</t>
  </si>
  <si>
    <t>Collins 5</t>
  </si>
  <si>
    <t>031600AIN</t>
  </si>
  <si>
    <t>Crawford 7</t>
  </si>
  <si>
    <t>Crawford 8</t>
  </si>
  <si>
    <t>031600AMI</t>
  </si>
  <si>
    <t>Fisk 19</t>
  </si>
  <si>
    <t>Fisk Peaker</t>
  </si>
  <si>
    <t>GT 31-1</t>
  </si>
  <si>
    <t>GT 31-2</t>
  </si>
  <si>
    <t>GT 32-1</t>
  </si>
  <si>
    <t>GT 32-2</t>
  </si>
  <si>
    <t>GT 33-1</t>
  </si>
  <si>
    <t>GT 33-2</t>
  </si>
  <si>
    <t>GT 34-1</t>
  </si>
  <si>
    <t>GT 34-2</t>
  </si>
  <si>
    <t>197809AAO</t>
  </si>
  <si>
    <t>Joliet 6</t>
  </si>
  <si>
    <t>Joliet 7</t>
  </si>
  <si>
    <t>Boiler 71</t>
  </si>
  <si>
    <t>Boiler 72</t>
  </si>
  <si>
    <t>Joliet 8</t>
  </si>
  <si>
    <t>Boiler 81</t>
  </si>
  <si>
    <t>Boiler 82</t>
  </si>
  <si>
    <t>179801AAA</t>
  </si>
  <si>
    <t>Powerton 5</t>
  </si>
  <si>
    <t>Boiler 52</t>
  </si>
  <si>
    <t>Boiler 51</t>
  </si>
  <si>
    <t>Powerton 6</t>
  </si>
  <si>
    <t>Boiler 61</t>
  </si>
  <si>
    <t>Boiler 62</t>
  </si>
  <si>
    <t>097190AAC</t>
  </si>
  <si>
    <t>Waukegan 6</t>
  </si>
  <si>
    <t>Boiler 17</t>
  </si>
  <si>
    <t>Waukegan 7</t>
  </si>
  <si>
    <t>Waukegan 8</t>
  </si>
  <si>
    <t>Peaker</t>
  </si>
  <si>
    <t>197810AAK</t>
  </si>
  <si>
    <t>Will County 1</t>
  </si>
  <si>
    <t>Will County 2</t>
  </si>
  <si>
    <t>Will County 3</t>
  </si>
  <si>
    <t>Will County 4</t>
  </si>
  <si>
    <t>Midwest Generation Totals</t>
  </si>
  <si>
    <t>Dom. Energy</t>
  </si>
  <si>
    <t>021814AAB</t>
  </si>
  <si>
    <t>Kincaid 1</t>
  </si>
  <si>
    <t>Kincaid 2</t>
  </si>
  <si>
    <t>Dom. Energy Totals</t>
  </si>
  <si>
    <t>El. Energy Inc.</t>
  </si>
  <si>
    <t>127855AAC</t>
  </si>
  <si>
    <t>Joppa 1</t>
  </si>
  <si>
    <t>Joppa 2</t>
  </si>
  <si>
    <t>Joppa 3</t>
  </si>
  <si>
    <t>Joppa 4</t>
  </si>
  <si>
    <t>Joppa 5</t>
  </si>
  <si>
    <t>Joppa 6</t>
  </si>
  <si>
    <t>El. Energy Inc. Totals</t>
  </si>
  <si>
    <t>DMG</t>
  </si>
  <si>
    <t>157851AAA</t>
  </si>
  <si>
    <t>Baldwin 1</t>
  </si>
  <si>
    <t>Baldwin 2</t>
  </si>
  <si>
    <t>Baldwin 3</t>
  </si>
  <si>
    <t>125804AAB</t>
  </si>
  <si>
    <t>Havana 1-5</t>
  </si>
  <si>
    <t>Havana 6</t>
  </si>
  <si>
    <t>155010AAA</t>
  </si>
  <si>
    <t>Hennepin 1</t>
  </si>
  <si>
    <t>Hennepin 2</t>
  </si>
  <si>
    <t>183814AAA</t>
  </si>
  <si>
    <t>Vermilion 1</t>
  </si>
  <si>
    <t>Vermilion 2</t>
  </si>
  <si>
    <t>119020AAE</t>
  </si>
  <si>
    <t>Wood River 1</t>
  </si>
  <si>
    <t>Wood River 2</t>
  </si>
  <si>
    <t>Wood River 3</t>
  </si>
  <si>
    <t>Wood River 4</t>
  </si>
  <si>
    <t>Wood River 5</t>
  </si>
  <si>
    <t>DMG Totals</t>
  </si>
  <si>
    <t>SIPCO</t>
  </si>
  <si>
    <t>199856AAC</t>
  </si>
  <si>
    <t>Marion 1</t>
  </si>
  <si>
    <t>Marion 2</t>
  </si>
  <si>
    <t>Marion 3</t>
  </si>
  <si>
    <t>Marion 4</t>
  </si>
  <si>
    <t>SIPCO Totals</t>
  </si>
  <si>
    <t>Union Electric</t>
  </si>
  <si>
    <t>119105AAA</t>
  </si>
  <si>
    <t>Turbine</t>
  </si>
  <si>
    <t>Venice 1</t>
  </si>
  <si>
    <t>Venice 2</t>
  </si>
  <si>
    <t>Venice 3</t>
  </si>
  <si>
    <t>Venice 4</t>
  </si>
  <si>
    <t>Venice 5</t>
  </si>
  <si>
    <t>Venice 6</t>
  </si>
  <si>
    <t>Venice 7</t>
  </si>
  <si>
    <t>Venice 8</t>
  </si>
  <si>
    <t>Union Electric Totals</t>
  </si>
  <si>
    <t>TOTAL</t>
  </si>
  <si>
    <t>UNIT</t>
  </si>
  <si>
    <t>2003-2005 ALLOCATION</t>
  </si>
  <si>
    <t>Allegany County</t>
  </si>
  <si>
    <t xml:space="preserve"> </t>
  </si>
  <si>
    <t xml:space="preserve">Westvaco </t>
  </si>
  <si>
    <t xml:space="preserve"> Unit 24     </t>
  </si>
  <si>
    <t xml:space="preserve"> Unit 25      </t>
  </si>
  <si>
    <t xml:space="preserve"> Unit 26       </t>
  </si>
  <si>
    <t xml:space="preserve"> Warrior Run (AES) </t>
  </si>
  <si>
    <t xml:space="preserve">Anne Arundel County </t>
  </si>
  <si>
    <t xml:space="preserve"> BGE Wagner </t>
  </si>
  <si>
    <t xml:space="preserve"> Unit 1             </t>
  </si>
  <si>
    <t xml:space="preserve">        </t>
  </si>
  <si>
    <t xml:space="preserve">Unit 2               </t>
  </si>
  <si>
    <t xml:space="preserve">Unit 3                </t>
  </si>
  <si>
    <t xml:space="preserve">Unit 4                 </t>
  </si>
  <si>
    <t xml:space="preserve">BGE Brandon Shores </t>
  </si>
  <si>
    <t xml:space="preserve">Unit 1                           </t>
  </si>
  <si>
    <t xml:space="preserve">Unit 2                            </t>
  </si>
  <si>
    <t xml:space="preserve">Baltimore City </t>
  </si>
  <si>
    <t>BGE Westport</t>
  </si>
  <si>
    <t xml:space="preserve">CT5 </t>
  </si>
  <si>
    <t xml:space="preserve">BGE Gould Street </t>
  </si>
  <si>
    <t xml:space="preserve">Unit 3 </t>
  </si>
  <si>
    <t xml:space="preserve">Baltimore County </t>
  </si>
  <si>
    <t xml:space="preserve">BGE Riverside </t>
  </si>
  <si>
    <t xml:space="preserve"> Unit 4 </t>
  </si>
  <si>
    <t xml:space="preserve"> CT6 </t>
  </si>
  <si>
    <t xml:space="preserve"> BGE Crane </t>
  </si>
  <si>
    <t xml:space="preserve"> Unit 1 </t>
  </si>
  <si>
    <t xml:space="preserve">  Unit 2 </t>
  </si>
  <si>
    <t xml:space="preserve">Charles County </t>
  </si>
  <si>
    <t xml:space="preserve"> PEPCO Morgantown </t>
  </si>
  <si>
    <t xml:space="preserve"> Unit 2 </t>
  </si>
  <si>
    <t xml:space="preserve"> CT3 </t>
  </si>
  <si>
    <t xml:space="preserve"> CT4 </t>
  </si>
  <si>
    <t xml:space="preserve">Dorchester County </t>
  </si>
  <si>
    <t xml:space="preserve">Delmarva Vienna </t>
  </si>
  <si>
    <t xml:space="preserve">Unit 8 </t>
  </si>
  <si>
    <t xml:space="preserve">Harford County </t>
  </si>
  <si>
    <t xml:space="preserve"> BGE Perryman </t>
  </si>
  <si>
    <t xml:space="preserve">  CT1 </t>
  </si>
  <si>
    <t xml:space="preserve">  CT2 </t>
  </si>
  <si>
    <t xml:space="preserve">  CT3 </t>
  </si>
  <si>
    <t xml:space="preserve">  CT4 </t>
  </si>
  <si>
    <t xml:space="preserve">  CT51 </t>
  </si>
  <si>
    <t xml:space="preserve">Montgomery County </t>
  </si>
  <si>
    <t xml:space="preserve">Pepco Dickerson </t>
  </si>
  <si>
    <t xml:space="preserve">Unit 1 </t>
  </si>
  <si>
    <t xml:space="preserve">Unit 2 </t>
  </si>
  <si>
    <t xml:space="preserve">Station H-GT2 </t>
  </si>
  <si>
    <t xml:space="preserve">Station H-GT3 </t>
  </si>
  <si>
    <t xml:space="preserve">Prince George's County </t>
  </si>
  <si>
    <t xml:space="preserve">PEPCO Chalk Point </t>
  </si>
  <si>
    <t xml:space="preserve">Unit 4 </t>
  </si>
  <si>
    <t xml:space="preserve">CT2 </t>
  </si>
  <si>
    <t xml:space="preserve">CT3 </t>
  </si>
  <si>
    <t xml:space="preserve">CT4 </t>
  </si>
  <si>
    <t xml:space="preserve">CT6 </t>
  </si>
  <si>
    <t>SGT1</t>
  </si>
  <si>
    <t xml:space="preserve">Panda Brandywine </t>
  </si>
  <si>
    <t xml:space="preserve">Washington County </t>
  </si>
  <si>
    <t xml:space="preserve"> Potomac Edison </t>
  </si>
  <si>
    <t xml:space="preserve">  Unit 9 </t>
  </si>
  <si>
    <t xml:space="preserve">  Unit 11 </t>
  </si>
  <si>
    <t>Total Allocations</t>
  </si>
  <si>
    <t>Source</t>
  </si>
  <si>
    <t>ORIS Code</t>
  </si>
  <si>
    <t>ANP Milford</t>
  </si>
  <si>
    <t>Braintree</t>
  </si>
  <si>
    <t>CES Blackstone</t>
  </si>
  <si>
    <t>EMI Dartmouth</t>
  </si>
  <si>
    <t>GE Lynn</t>
  </si>
  <si>
    <t>Indeck Pepperell</t>
  </si>
  <si>
    <t>Lowell Cogen</t>
  </si>
  <si>
    <t>Lowell Power</t>
  </si>
  <si>
    <t>MBTA</t>
  </si>
  <si>
    <t>MIT Cogen</t>
  </si>
  <si>
    <t>MMWEC Stonybrook</t>
  </si>
  <si>
    <t>MWRA</t>
  </si>
  <si>
    <t>NEA Bellingham</t>
  </si>
  <si>
    <t>NU Doreen</t>
  </si>
  <si>
    <t>NU Mt. Tom</t>
  </si>
  <si>
    <t>NUW. Springfield</t>
  </si>
  <si>
    <t>NU Woodland</t>
  </si>
  <si>
    <t>Peabody</t>
  </si>
  <si>
    <t>PG&amp;E Gen Brayton</t>
  </si>
  <si>
    <t>PG&amp;E Gen Masspower</t>
  </si>
  <si>
    <t>PG&amp;E Gen Pittsfield</t>
  </si>
  <si>
    <t>PG&amp;E Gen Salem</t>
  </si>
  <si>
    <t>SEI Canal</t>
  </si>
  <si>
    <t>SEI Kendall</t>
  </si>
  <si>
    <t>Sithe Edgar</t>
  </si>
  <si>
    <t>Sithe Framingham</t>
  </si>
  <si>
    <t>Sithe Medway</t>
  </si>
  <si>
    <t>Sithe Mystic</t>
  </si>
  <si>
    <t>Sithe New Boston</t>
  </si>
  <si>
    <t>Somerset</t>
  </si>
  <si>
    <t>Taunton</t>
  </si>
  <si>
    <t>Trigen</t>
  </si>
  <si>
    <t>2003 Allocations</t>
  </si>
  <si>
    <t>COMPANY</t>
  </si>
  <si>
    <t>PLANT</t>
  </si>
  <si>
    <t>NATS UNIT ACCOUNT</t>
  </si>
  <si>
    <t>DESCRIPTION</t>
  </si>
  <si>
    <t>2003 ALLOCATIONS</t>
  </si>
  <si>
    <t>NJDEP</t>
  </si>
  <si>
    <t>Incentive Reserve</t>
  </si>
  <si>
    <t>Growth/New Source Reserve</t>
  </si>
  <si>
    <t>CON*[N]*ECTIV</t>
  </si>
  <si>
    <t>B.L. ENGLAND</t>
  </si>
  <si>
    <t>BLE - UNIT #1</t>
  </si>
  <si>
    <t>BLE - UNIT #2</t>
  </si>
  <si>
    <t>BLE - UNIT #3</t>
  </si>
  <si>
    <t>CARLL’S CORNER STATION</t>
  </si>
  <si>
    <t>CARLLS CORNER CT#1</t>
  </si>
  <si>
    <t>CARLLS CORNER CT#2</t>
  </si>
  <si>
    <t>CEDAR STATION</t>
  </si>
  <si>
    <t>WEST GENERATOR ON CEDAR #1 TURBINE</t>
  </si>
  <si>
    <t>EAST GENERATOR ON CEDAR #1 TURBINE</t>
  </si>
  <si>
    <t>CEDAR #2 TURBINE</t>
  </si>
  <si>
    <t>MIDDLE ST</t>
  </si>
  <si>
    <t>MIDDLE CT #1</t>
  </si>
  <si>
    <t>MIDDLE CT #2</t>
  </si>
  <si>
    <t>MIDDLE CT #3</t>
  </si>
  <si>
    <t>MISSOURI</t>
  </si>
  <si>
    <t>MISSOURI AV. CT #B</t>
  </si>
  <si>
    <t>MISSOURI AV. CT #C</t>
  </si>
  <si>
    <t>MISSOURI AV. CT #D</t>
  </si>
  <si>
    <t>DEEPWATER</t>
  </si>
  <si>
    <t>DW BOILER #1</t>
  </si>
  <si>
    <t>DW - BOILER #4</t>
  </si>
  <si>
    <t>B&amp;W BOILER #6</t>
  </si>
  <si>
    <t>DW BOILER # 8</t>
  </si>
  <si>
    <t>DW CT A</t>
  </si>
  <si>
    <t>GPU</t>
  </si>
  <si>
    <t>WERNER GE</t>
  </si>
  <si>
    <t>Unit 4 (B &amp; W Boiler)</t>
  </si>
  <si>
    <t>Turbine (501AA)    CT#1</t>
  </si>
  <si>
    <t>Turbine (501AA)    CT#2</t>
  </si>
  <si>
    <t>Turbine (501AA)    CT#3</t>
  </si>
  <si>
    <t>Turbine (501AA)    CT#4</t>
  </si>
  <si>
    <t>SAYREVILLE</t>
  </si>
  <si>
    <t>Unit 7, Cyclone  (#6 FUEL)</t>
  </si>
  <si>
    <t>Unit 8, Cyclone  (#6 FUEL)</t>
  </si>
  <si>
    <t>Turbine (501AA) -OIL FIRED C-4</t>
  </si>
  <si>
    <t>Turbine (501AA) -OIL FIRED C-3</t>
  </si>
  <si>
    <t>Turbine (501AA) -OIL FIRED C-2</t>
  </si>
  <si>
    <t>Turbine (501AA) -OIL FIRED C-1</t>
  </si>
  <si>
    <t>GILBERT</t>
  </si>
  <si>
    <t>C/C STAG 4 GT</t>
  </si>
  <si>
    <t>C/C STAG 5 GT</t>
  </si>
  <si>
    <t>C/C STAG 6 GT</t>
  </si>
  <si>
    <t>C/C STAG 7 GT</t>
  </si>
  <si>
    <t>CT 9</t>
  </si>
  <si>
    <t>C-1 GT (CT 251)</t>
  </si>
  <si>
    <t>C-2 GT (CT 251)</t>
  </si>
  <si>
    <t>C-3 GT (CT 251)</t>
  </si>
  <si>
    <t>C-4 GT (CT 251)</t>
  </si>
  <si>
    <t>PSE&amp;G</t>
  </si>
  <si>
    <t>BAYONNE</t>
  </si>
  <si>
    <t>002397A01001</t>
  </si>
  <si>
    <t>UNIT NO. 1 (GAS TURBINE)</t>
  </si>
  <si>
    <t>002397A02001</t>
  </si>
  <si>
    <t>UNIT NO. 2 (GAS TURBINE)</t>
  </si>
  <si>
    <t>BERGEN</t>
  </si>
  <si>
    <t>UNIT NO. 1-1101 (GAS TURBINE)</t>
  </si>
  <si>
    <t>UNIT NO. 1-1201 (GAS TURBINE)</t>
  </si>
  <si>
    <t>UNIT NO. 1-1301 (GAS TURBINE)</t>
  </si>
  <si>
    <t>UNIT NO. 1-1401 (GAS TURBINE)</t>
  </si>
  <si>
    <t>UNIT NO. 3 (GAS TURBINE)</t>
  </si>
  <si>
    <t>BURLINGTON</t>
  </si>
  <si>
    <t>UNIT NO. 10-1 (GAS TURBINE)</t>
  </si>
  <si>
    <t>UNIT NO. 10-2 (GAS TURBINE)</t>
  </si>
  <si>
    <t>UNIT NO. 10-3 (GAS TURBINE)</t>
  </si>
  <si>
    <t>UNIT NO. 10-4 (GAS TURBINE)</t>
  </si>
  <si>
    <t>UNIT NO. 8 (GAS TURBINE)</t>
  </si>
  <si>
    <t>UNIT NO. 9-1A&amp;B (GAS TURBINE) NJ Stack IDs 12 and 13</t>
  </si>
  <si>
    <t>UNIT NO. 9-2A&amp;B (GAS TURBINE) NJ Stack IDs 14 and 15</t>
  </si>
  <si>
    <t>UNIT NO. 9-3A&amp;B (GAS TURBINE) NJ Stack IDs 16 and 17</t>
  </si>
  <si>
    <t>UNIT NO. 9-4A&amp;B (GAS TURBINE) NJ Stack IDs 18 and 19</t>
  </si>
  <si>
    <t>UNIT NO. 11-1A&amp;B (GAS TURBINE) NJ Stack IDs 28 and 29</t>
  </si>
  <si>
    <t>UNIT NO. 11-2A&amp;B (GAS TURBINE) NJ Stack IDs 30 and 31</t>
  </si>
  <si>
    <t>UNIT NO. 11-3A&amp;B (GAS TURBINE) NJ Stack IDs 32 and 33</t>
  </si>
  <si>
    <t>UNIT NO. 11-4A&amp;B (GAS TURBINE) NJ Stack IDs 34 and 35</t>
  </si>
  <si>
    <t>EDISON</t>
  </si>
  <si>
    <t>UNIT NO. 1-1A&amp;B (GAS TURBINE) NJ Stack IDs 1 and 2</t>
  </si>
  <si>
    <t>UNIT NO. 1-2A&amp;B (GAS TURBINE) NJ Stack IDs 3 and 4</t>
  </si>
  <si>
    <t>UNIT NO. 1-3A&amp;B (GAS TURBINE) NJ Stack IDs 5 and 6</t>
  </si>
  <si>
    <t>UNIT NO. 1-4A&amp;B (GAS TURBINE) NJ Stack IDs 7 and 8</t>
  </si>
  <si>
    <t>UNIT NO. 2-1A&amp;B (GAS TURBINE) NJ Stack IDs 9 an 10</t>
  </si>
  <si>
    <t>UNIT NO. 2-2A&amp;B (GAS TURBINE) NJ Stack IDs 11 and 12</t>
  </si>
  <si>
    <t>UNIT NO. 2-3A&amp;B (GAS TURBINE) NJ Stack IDs 13 and 14</t>
  </si>
  <si>
    <t>UNIT NO. 2-4A&amp;B (GAS TURBINE) NJ Stack IDs 15 and 16</t>
  </si>
  <si>
    <t>UNIT NO. 3-1A&amp;B (GAS TURBINE) NJ Stack IDs 17 and 18</t>
  </si>
  <si>
    <t>UNIT NO. 3-2A&amp;B (GAS TURBINE) NJ Stack IDs 19 and 20</t>
  </si>
  <si>
    <t>UNIT NO. 3-3A&amp;B (GAS TURBINE) NJ Stack IDs 21 and 22</t>
  </si>
  <si>
    <t>UNIT NO. 3-4A&amp;B (GAS TURBINE) NJ Stack IDs 23 and 24</t>
  </si>
  <si>
    <t>ESSEX</t>
  </si>
  <si>
    <t>UNIT NO. 10-1A&amp;B (GAS TURBINE) NJ Stack IDs 2 and 3</t>
  </si>
  <si>
    <t>UNIT NO. 10-2A&amp;B (GAS TURBINE) NJ Stack IDs 4 and 7</t>
  </si>
  <si>
    <t>UNIT NO. 10-3A&amp;B (GAS TURBINE) NJ Stack IDs  10 and 11</t>
  </si>
  <si>
    <t>UNIT NO. 10-4A&amp;B (GAS TURBINE) NJ Stack IDs 12 and 13</t>
  </si>
  <si>
    <t>UNIT NO. 11-1A&amp;B (GAS TURBINE) NJ Stack IDs 14 and 15</t>
  </si>
  <si>
    <t>UNIT NO. 11-2A&amp;B (GAS TURBINE) NJ Stack IDs 16 and 17</t>
  </si>
  <si>
    <t>UNIT NO. 11-3A&amp;B (GAS TURBINE) NJ Stack IDs 18 and 19</t>
  </si>
  <si>
    <t>UNIT NO. 11-4A&amp;B (GAS TURBINE) NJ Stack IDs 20 and 21</t>
  </si>
  <si>
    <t>UNIT NO. 12-1A&amp;B (GAS TURBINE) NJ Stack IDs 22 and 23</t>
  </si>
  <si>
    <t>UNIT NO. 12-2A&amp;B (GAS TURBINE) NJ Stack IDs 24 and 25</t>
  </si>
  <si>
    <t>UNIT NO. 12-3A&amp;B (GAS TURBINE) NJ Stack IDs 26 and 27</t>
  </si>
  <si>
    <t>UNIT NO. 12-4A&amp;B (GAS TURBINE) NJ Stack IDs 28 and 29</t>
  </si>
  <si>
    <t>UNIT NO. 9 (GAS TURBINE)</t>
  </si>
  <si>
    <t>HUDSON</t>
  </si>
  <si>
    <t>UNIT NO. 1 (BOILER)</t>
  </si>
  <si>
    <t>UNIT NO. 2 (BOILER)</t>
  </si>
  <si>
    <t>UNIT NO. 3 (GAS TURBINE) Module 1,2,3,4 A+B Engines NJ Source IDs 1 through 8</t>
  </si>
  <si>
    <t>KEARNY</t>
  </si>
  <si>
    <t>UNIT NO. 7 (BOILER)</t>
  </si>
  <si>
    <t>UNIT NO. 8 (BOILER)</t>
  </si>
  <si>
    <t>UNIT NO. 12-1A&amp;B (GAS TURBINE) NJ Stack IDs 5 and 6</t>
  </si>
  <si>
    <t>UNIT NO. 12-2A&amp;B (GAS TURBINE) NJ Stack IDs 7 and 8</t>
  </si>
  <si>
    <t>UNIT NO. 12-3A&amp;B (GAS TURBINE) NJ Stack IDs 8 and 10</t>
  </si>
  <si>
    <t>UNIT NO. 12-4A&amp;B (GAS TURBINE) NJ Stack IDs 11 and 12</t>
  </si>
  <si>
    <t>UNIT NO. 10 (GAS TURBINE) Module 1,2,3,4 A&amp;B Engines NJ Source IDs 1 through 8</t>
  </si>
  <si>
    <t>UNIT NO. 11-(GAS TURBINE) Module 1,2,3,4 A&amp;B Engines NJ Source IDs 1 through 8</t>
  </si>
  <si>
    <t>LINDEN</t>
  </si>
  <si>
    <t>UNIT NO. 2-1 &amp; 2-2 (BOILER)</t>
  </si>
  <si>
    <t>UNIT NO. 7 (GAS TURBINE)</t>
  </si>
  <si>
    <t>UNIT NO. 1-2 (BOILER)</t>
  </si>
  <si>
    <t>UNIT NO. 1-3 (BOILER)</t>
  </si>
  <si>
    <t>UNIT NO. 5 (GAS TURBINE)</t>
  </si>
  <si>
    <t>UNIT NO. 6 (GAS TURBINE)</t>
  </si>
  <si>
    <t>MERCER</t>
  </si>
  <si>
    <t>UNIT NO. 3 (GAS TURBINE) Module 1,2,3,4 A&amp;B Engines NJ Source IDs 1 through 8</t>
  </si>
  <si>
    <t>SALEM</t>
  </si>
  <si>
    <t>UNIT NO. 3A&amp;B (GAS TURBINE) NJ Stack IDs 2 and 3</t>
  </si>
  <si>
    <t>SEAWAREN</t>
  </si>
  <si>
    <t>UNIT NO. 3 (BOILER)</t>
  </si>
  <si>
    <t>UNIT NO. 4 (BOILER)</t>
  </si>
  <si>
    <t>UNIT NO. 6 (GAS TURBINE)  Module 1-4 A+B Engines NJ Stack IDs 12 through 19</t>
  </si>
  <si>
    <t>VINELAND MEU</t>
  </si>
  <si>
    <t>HOWARD M</t>
  </si>
  <si>
    <t>BOILER #9-COMBUSTION ENG. 180000 LB/HR 1</t>
  </si>
  <si>
    <t>COMBUSTION OF FOSSILE FUEL UTILIBOILERE</t>
  </si>
  <si>
    <t>CUMBERLAND</t>
  </si>
  <si>
    <t>CUMBERLAND - C.T. #1</t>
  </si>
  <si>
    <t>WEST STAT</t>
  </si>
  <si>
    <t>COMBUSTION TURBINE WESTINGHOUSE S/N17A-2</t>
  </si>
  <si>
    <t>FORKED RIVER</t>
  </si>
  <si>
    <t>CT-1</t>
  </si>
  <si>
    <t>CT-2</t>
  </si>
  <si>
    <t>SHERMAN AV STATION</t>
  </si>
  <si>
    <t>SHERMAN - C.T. #1</t>
  </si>
  <si>
    <t>MICKELTON</t>
  </si>
  <si>
    <t>MICKELTON CT</t>
  </si>
  <si>
    <t>GLEN GARDNER</t>
  </si>
  <si>
    <t>A1 CT    (JET TURBINE)</t>
  </si>
  <si>
    <t>A2 CT    (JET TURBINE)</t>
  </si>
  <si>
    <t>A3 CT    (JET TURBINE)</t>
  </si>
  <si>
    <t>A4 CT    (JET TURBINE)</t>
  </si>
  <si>
    <t>B5 CT    (JET TURBINE)</t>
  </si>
  <si>
    <t>B6 CT    (JET TURBINE)</t>
  </si>
  <si>
    <t>B7 CT    (JET TURBINE)</t>
  </si>
  <si>
    <t>B8 CT    (JET TURBINE)</t>
  </si>
  <si>
    <t>*[US GENERATING - LOGAN]* *LOGAN GENERATING COMPANY, L. P.*</t>
  </si>
  <si>
    <t>LOGAN GENERATING PLANT</t>
  </si>
  <si>
    <t>PULVERIZED COAL FIRED</t>
  </si>
  <si>
    <t>PEDRICKTOWN COGEN</t>
  </si>
  <si>
    <t>GENERAL ELECTRIC FRAME 7EA GAS  TURBINE</t>
  </si>
  <si>
    <t>NORTH JERSEY ENERGY ASSOCIATES</t>
  </si>
  <si>
    <t>CT-1 COMBUSTION TURBINE</t>
  </si>
  <si>
    <t>CT-2 COMBUSTION TURBINE</t>
  </si>
  <si>
    <t>*[US GENERATING - CP]* *CHAMBERS COGENERATION L. P.*</t>
  </si>
  <si>
    <t>CARNEY’S POINT *[GENERATING]* PLANT</t>
  </si>
  <si>
    <t>PC BOILER 2</t>
  </si>
  <si>
    <t>PC BOILER 1</t>
  </si>
  <si>
    <t>KAMINE/MILFORD</t>
  </si>
  <si>
    <t>MILFORD</t>
  </si>
  <si>
    <t>COMBUSTION TURBINE</t>
  </si>
  <si>
    <t>DUCT BURNER</t>
  </si>
  <si>
    <t>COGEN TECHNOLOGIES</t>
  </si>
  <si>
    <t>CAMDEN</t>
  </si>
  <si>
    <t>GENERAL ELECTRIC FRAME 7 EA.</t>
  </si>
  <si>
    <t>KENILWORTH/SITHE</t>
  </si>
  <si>
    <t>EF KENILWORTH</t>
  </si>
  <si>
    <t>GAS TURBINE NATURAL GAS</t>
  </si>
  <si>
    <t>GT/HRSG NO.500 &amp; DB</t>
  </si>
  <si>
    <t>GT/HRSG NO.400 &amp; DB</t>
  </si>
  <si>
    <t>GT/HRSG NO.300 &amp; DB</t>
  </si>
  <si>
    <t>GT/HRSG NO.200 &amp; DB</t>
  </si>
  <si>
    <t>GT/HRSG NO.100 &amp; DB</t>
  </si>
  <si>
    <t>NEWARK BAY COGEN</t>
  </si>
  <si>
    <t>GAS TURBINE GENERATOR WITH WASTEHEAT STE</t>
  </si>
  <si>
    <t>GT/HRSG #1 EXHAUST STACK</t>
  </si>
  <si>
    <t>GT/HRSG NO.2 EXHAUST STACK</t>
  </si>
  <si>
    <t>GT/HRSG NO.3 EXHAUST STACK</t>
  </si>
  <si>
    <t>COASTAL  EPCP</t>
  </si>
  <si>
    <t>EAGLE POINT COGEN</t>
  </si>
  <si>
    <t>CT A</t>
  </si>
  <si>
    <t>DB A</t>
  </si>
  <si>
    <t>CT B</t>
  </si>
  <si>
    <t>DB B</t>
  </si>
  <si>
    <t>COASTAL  Eagle Point</t>
  </si>
  <si>
    <t>WESTVILLE REFINERY</t>
  </si>
  <si>
    <t>ONE FW WATER WALL BOX BOILER</t>
  </si>
  <si>
    <t>PROCESS HEATER</t>
  </si>
  <si>
    <t>VALERO (MOBIL)</t>
  </si>
  <si>
    <t>PAULSBORO</t>
  </si>
  <si>
    <t>STEAM BOILER #1</t>
  </si>
  <si>
    <t>GAS TURBINE</t>
  </si>
  <si>
    <t>STEAM BOILER #2</t>
  </si>
  <si>
    <t>STEAM BOILER #</t>
  </si>
  <si>
    <t>CogenAmerica</t>
  </si>
  <si>
    <t>NEWARK</t>
  </si>
  <si>
    <t>COGEN</t>
  </si>
  <si>
    <t>PARLIN</t>
  </si>
  <si>
    <t>40 MW GAS FIRED TURBINE #2</t>
  </si>
  <si>
    <t>40 MW GAS FIRED TURBINE #1</t>
  </si>
  <si>
    <t xml:space="preserve">PRIME ENERGY </t>
  </si>
  <si>
    <t>ELMWOOD E</t>
  </si>
  <si>
    <t>COGENERATION SYSTEM</t>
  </si>
  <si>
    <t>ROCHE VITAMINS</t>
  </si>
  <si>
    <t>BELVIDERE</t>
  </si>
  <si>
    <t>COGENERATION &amp; DB</t>
  </si>
  <si>
    <t>CNG LAKEWOOD</t>
  </si>
  <si>
    <t>GAS TURBINE GENERATOR #1</t>
  </si>
  <si>
    <t>GAS TURBINE GENERATOR #2</t>
  </si>
  <si>
    <t>VINELAND COGEN</t>
  </si>
  <si>
    <t>GENERAL ELECTRIC LM6000 GAS TURBINE</t>
  </si>
  <si>
    <t>TOSCO (BAYWAY)</t>
  </si>
  <si>
    <t xml:space="preserve">F701 - NO.7 ATMOSPHERIC PIPESTILL FURNACE </t>
  </si>
  <si>
    <t xml:space="preserve">F702 - NO.7 PIPESTILL OUTBOARD FLASHTOWER FURNACE </t>
  </si>
  <si>
    <t>880016A03001</t>
  </si>
  <si>
    <t xml:space="preserve">F251 - CAT PLANT FEED PREHEAT FURNACE </t>
  </si>
  <si>
    <t>227-3</t>
  </si>
  <si>
    <t>DEPT RESERVE</t>
  </si>
  <si>
    <t>ACCT</t>
  </si>
  <si>
    <t>ORIS</t>
  </si>
  <si>
    <t>Boiler/</t>
  </si>
  <si>
    <t>Part 75</t>
  </si>
  <si>
    <t>NAMEPLATE</t>
  </si>
  <si>
    <t>HI INPUT</t>
  </si>
  <si>
    <t>RATE</t>
  </si>
  <si>
    <t>COMMENTS</t>
  </si>
  <si>
    <t>ROUND 1</t>
  </si>
  <si>
    <t>ROUND 2</t>
  </si>
  <si>
    <t>ROUND 3</t>
  </si>
  <si>
    <t>CPPTE</t>
  </si>
  <si>
    <t xml:space="preserve">Plant County </t>
  </si>
  <si>
    <t xml:space="preserve"> Point ID </t>
  </si>
  <si>
    <t>AK Steel (Formerly Armco Steel Co) Butler</t>
  </si>
  <si>
    <t xml:space="preserve"> P009 </t>
  </si>
  <si>
    <t xml:space="preserve">AK Steel (Formerly Armco Steel Co) Butler </t>
  </si>
  <si>
    <t xml:space="preserve">P010 </t>
  </si>
  <si>
    <t xml:space="preserve">P011 </t>
  </si>
  <si>
    <t xml:space="preserve">P012 </t>
  </si>
  <si>
    <t>Ashland Petroleum Company Stark</t>
  </si>
  <si>
    <t xml:space="preserve">B015 </t>
  </si>
  <si>
    <t xml:space="preserve">BP Oil Company, Toledo Refinery Lucas </t>
  </si>
  <si>
    <t xml:space="preserve"> B004 </t>
  </si>
  <si>
    <t>BP Oil Company, Toledo Refinery Lucas</t>
  </si>
  <si>
    <t xml:space="preserve">B020 </t>
  </si>
  <si>
    <t>Cargill Incorporated Montgomery</t>
  </si>
  <si>
    <t xml:space="preserve">B004 </t>
  </si>
  <si>
    <t xml:space="preserve">Cargill Incorporated Montgomery </t>
  </si>
  <si>
    <t>B006</t>
  </si>
  <si>
    <t xml:space="preserve">Champion International Corp Butler </t>
  </si>
  <si>
    <t xml:space="preserve"> B010 </t>
  </si>
  <si>
    <t xml:space="preserve">Goodyear Tire &amp; Rubber Company Summit </t>
  </si>
  <si>
    <t>B001</t>
  </si>
  <si>
    <t xml:space="preserve"> B002 </t>
  </si>
  <si>
    <t xml:space="preserve">Henkel Corp-Emery Group Hamilton </t>
  </si>
  <si>
    <t xml:space="preserve"> B027 </t>
  </si>
  <si>
    <t xml:space="preserve">LTV Steel Company, Inc Cuyahoga </t>
  </si>
  <si>
    <t xml:space="preserve"> B001 </t>
  </si>
  <si>
    <t xml:space="preserve">B003 </t>
  </si>
  <si>
    <t xml:space="preserve"> B007 </t>
  </si>
  <si>
    <t>B905</t>
  </si>
  <si>
    <t xml:space="preserve">Mead Corporation Ross </t>
  </si>
  <si>
    <t xml:space="preserve">B001 </t>
  </si>
  <si>
    <t>B002</t>
  </si>
  <si>
    <t xml:space="preserve"> B003 </t>
  </si>
  <si>
    <t>New Boston Coke Corp Scioto</t>
  </si>
  <si>
    <t xml:space="preserve"> B008 </t>
  </si>
  <si>
    <t xml:space="preserve">New Boston Coke Corp Scioto </t>
  </si>
  <si>
    <t>B009</t>
  </si>
  <si>
    <t xml:space="preserve">Procter &amp; Gamble Co Hamilton </t>
  </si>
  <si>
    <t xml:space="preserve"> B021 </t>
  </si>
  <si>
    <t xml:space="preserve"> B022 </t>
  </si>
  <si>
    <t>Republic Engineered Steels, Inc Lorain</t>
  </si>
  <si>
    <t xml:space="preserve"> B013</t>
  </si>
  <si>
    <t>South Point Ethanol Lawrence</t>
  </si>
  <si>
    <t>B003</t>
  </si>
  <si>
    <t xml:space="preserve">South Point Ethanol Lawrence </t>
  </si>
  <si>
    <t>B004</t>
  </si>
  <si>
    <t xml:space="preserve"> B007</t>
  </si>
  <si>
    <t>Sun Refining &amp; Marketing Co, Toledo Ref Lucas</t>
  </si>
  <si>
    <t>B044</t>
  </si>
  <si>
    <t xml:space="preserve">B046 </t>
  </si>
  <si>
    <t>B047</t>
  </si>
  <si>
    <t>W C I Steel, Inc Trumbull</t>
  </si>
  <si>
    <t xml:space="preserve"> B004</t>
  </si>
  <si>
    <t>ROUND 4-1</t>
  </si>
  <si>
    <t>ROUND 4-2</t>
  </si>
  <si>
    <t>ROUND 4-3</t>
  </si>
  <si>
    <t>ROUND 4-4</t>
  </si>
  <si>
    <t>ROUND 4-5</t>
  </si>
  <si>
    <t>ROUND 4-6</t>
  </si>
  <si>
    <t>ROUND 4-7</t>
  </si>
  <si>
    <t>ROUND 4-8</t>
  </si>
  <si>
    <t>ROUND 4-9</t>
  </si>
  <si>
    <t>ROUND 4-10</t>
  </si>
  <si>
    <t>ROUND 4-11</t>
  </si>
  <si>
    <t>ROUND 4-12</t>
  </si>
  <si>
    <t>ROUND 4-13</t>
  </si>
  <si>
    <t>ALLOCATION</t>
  </si>
  <si>
    <t>ALLOCATION'</t>
  </si>
  <si>
    <t>FACTOR</t>
  </si>
  <si>
    <t>NUMBER</t>
  </si>
  <si>
    <t>Code</t>
  </si>
  <si>
    <t>Unit ID</t>
  </si>
  <si>
    <t>CAPACITY</t>
  </si>
  <si>
    <t>HEAT INPUT</t>
  </si>
  <si>
    <t>95-98</t>
  </si>
  <si>
    <t>SOURCE</t>
  </si>
  <si>
    <t>(tons)</t>
  </si>
  <si>
    <t>SUMMARY</t>
  </si>
  <si>
    <t>INDEPENDENT POWER  ALLOCATION</t>
  </si>
  <si>
    <t>UTILITY ALLOCATION</t>
  </si>
  <si>
    <t>SUBTOTAL</t>
  </si>
  <si>
    <t>INDUSTRY ALLOCATION</t>
  </si>
  <si>
    <t>DEC ALLOCATION</t>
  </si>
  <si>
    <t>GRAND TOTAL</t>
  </si>
  <si>
    <t>Energy Efficiecy</t>
  </si>
  <si>
    <t>GE Addition</t>
  </si>
  <si>
    <t>UNIT NAME</t>
  </si>
  <si>
    <t>(mmBtu)</t>
  </si>
  <si>
    <t>(lb/mmBtu)</t>
  </si>
  <si>
    <t>Budget (tons)</t>
  </si>
  <si>
    <t>ELECTRICITY GENERATING UNITS (EGU'S)</t>
  </si>
  <si>
    <t>0.92*Bud</t>
  </si>
  <si>
    <t>0.92*Bud-JBPU</t>
  </si>
  <si>
    <t>Subtotal (tons)</t>
  </si>
  <si>
    <t>Albany Cogen Associates</t>
  </si>
  <si>
    <t>Colonie Cog</t>
  </si>
  <si>
    <t>010747000001</t>
  </si>
  <si>
    <t>010747</t>
  </si>
  <si>
    <t>1</t>
  </si>
  <si>
    <t>Yes</t>
  </si>
  <si>
    <t>Colonie Cogen</t>
  </si>
  <si>
    <t>95 EPA</t>
  </si>
  <si>
    <t>Brooklyn Navy Yard Cogeneration Partners LP</t>
  </si>
  <si>
    <t>Brooklyn Navy Yard Cogen</t>
  </si>
  <si>
    <t>054914000001</t>
  </si>
  <si>
    <t>054914</t>
  </si>
  <si>
    <t xml:space="preserve">Brooklyn Navy Yard </t>
  </si>
  <si>
    <t>98 EPA</t>
  </si>
  <si>
    <t>BNY Cogen</t>
  </si>
  <si>
    <t>054914000002</t>
  </si>
  <si>
    <t>97 EPA</t>
  </si>
  <si>
    <t>CalEnergy Company</t>
  </si>
  <si>
    <t>Saranac Power</t>
  </si>
  <si>
    <t>054574000001</t>
  </si>
  <si>
    <t>054574</t>
  </si>
  <si>
    <t>No</t>
  </si>
  <si>
    <t xml:space="preserve">Saranac Cogeneration </t>
  </si>
  <si>
    <t>95 HW</t>
  </si>
  <si>
    <t>054574000002</t>
  </si>
  <si>
    <t>Cogen Energy Tech</t>
  </si>
  <si>
    <t>Ft. Orange Paper</t>
  </si>
  <si>
    <t>010190000001</t>
  </si>
  <si>
    <t>010190</t>
  </si>
  <si>
    <t>Fort Orange Paper</t>
  </si>
  <si>
    <t>Enserch Development</t>
  </si>
  <si>
    <t>Encogen</t>
  </si>
  <si>
    <t>010331000001</t>
  </si>
  <si>
    <t>010331</t>
  </si>
  <si>
    <t>Encogen Four</t>
  </si>
  <si>
    <t>Fibertek Energy</t>
  </si>
  <si>
    <t>Salt City</t>
  </si>
  <si>
    <t>05065100BLR1</t>
  </si>
  <si>
    <t>050651</t>
  </si>
  <si>
    <t>BLR1</t>
  </si>
  <si>
    <t>Fibertek Energy LLC</t>
  </si>
  <si>
    <t>05065100BLR2</t>
  </si>
  <si>
    <t>BLR2</t>
  </si>
  <si>
    <t>05065100BLR3</t>
  </si>
  <si>
    <t>BLR3</t>
  </si>
  <si>
    <t>05065100BLR4</t>
  </si>
  <si>
    <t>BLR4</t>
  </si>
  <si>
    <t>05065100BLR5</t>
  </si>
  <si>
    <t>BLR5</t>
  </si>
  <si>
    <t>Fulton Cogen Associates</t>
  </si>
  <si>
    <t>Fulton Cogen</t>
  </si>
  <si>
    <t>05413801GTDB</t>
  </si>
  <si>
    <t>002566</t>
  </si>
  <si>
    <t>1GTDB</t>
  </si>
  <si>
    <t>Fulton Cogen Assoc Cogen Plant</t>
  </si>
  <si>
    <t>GPU International</t>
  </si>
  <si>
    <t>Onondaga Cogen</t>
  </si>
  <si>
    <t>050855000001</t>
  </si>
  <si>
    <t>050855</t>
  </si>
  <si>
    <t>97 HW</t>
  </si>
  <si>
    <t>050855000002</t>
  </si>
  <si>
    <t>2</t>
  </si>
  <si>
    <t>S.U. Cogen</t>
  </si>
  <si>
    <t>054425000001</t>
  </si>
  <si>
    <t>054425</t>
  </si>
  <si>
    <t>Syracuse University Cogen</t>
  </si>
  <si>
    <t>96 EPA</t>
  </si>
  <si>
    <t>054425000002</t>
  </si>
  <si>
    <t>Indeck</t>
  </si>
  <si>
    <t>Corinth</t>
  </si>
  <si>
    <t>050458000001</t>
  </si>
  <si>
    <t>050458</t>
  </si>
  <si>
    <t>Indeck - Corinth Energy Center</t>
  </si>
  <si>
    <t>Ilion</t>
  </si>
  <si>
    <t>050459000001</t>
  </si>
  <si>
    <t>050459</t>
  </si>
  <si>
    <t>Indeck - Ilion Energy Center</t>
  </si>
  <si>
    <t>Olean</t>
  </si>
  <si>
    <t>054076000001</t>
  </si>
  <si>
    <t>054076</t>
  </si>
  <si>
    <t>Indeck - Olean Energy Center</t>
  </si>
  <si>
    <t>Oswego</t>
  </si>
  <si>
    <t>050450000001</t>
  </si>
  <si>
    <t>050450</t>
  </si>
  <si>
    <t>Indeck - Oswego Energy Center</t>
  </si>
  <si>
    <t>Silver Springs</t>
  </si>
  <si>
    <t>050449000001</t>
  </si>
  <si>
    <t>050449</t>
  </si>
  <si>
    <t>Indeck - Silver Springs Energy Ctr.</t>
  </si>
  <si>
    <t>Yerkes</t>
  </si>
  <si>
    <t>050451000001</t>
  </si>
  <si>
    <t>050451</t>
  </si>
  <si>
    <t>Indeck - Yerkes Energy Center</t>
  </si>
  <si>
    <t>Jones/Black River</t>
  </si>
  <si>
    <t>Fort Drum</t>
  </si>
  <si>
    <t>0104640E0001</t>
  </si>
  <si>
    <t>010464</t>
  </si>
  <si>
    <t>E0001</t>
  </si>
  <si>
    <t>Fort Drum HTW Cogeneration Facility</t>
  </si>
  <si>
    <t>96 HW</t>
  </si>
  <si>
    <t>0104640E0002</t>
  </si>
  <si>
    <t>E0002</t>
  </si>
  <si>
    <t>0104640E0003</t>
  </si>
  <si>
    <t>E0003</t>
  </si>
  <si>
    <t>Kamine</t>
  </si>
  <si>
    <t>Allegany</t>
  </si>
  <si>
    <t>010619000001</t>
  </si>
  <si>
    <t>010619</t>
  </si>
  <si>
    <t>000001</t>
  </si>
  <si>
    <t>Beaver Falls</t>
  </si>
  <si>
    <t>010617000001</t>
  </si>
  <si>
    <t>010617</t>
  </si>
  <si>
    <t>Carthage</t>
  </si>
  <si>
    <t>010620000001</t>
  </si>
  <si>
    <t>010620</t>
  </si>
  <si>
    <t>?</t>
  </si>
  <si>
    <t>Natural Dam</t>
  </si>
  <si>
    <t>010614000001</t>
  </si>
  <si>
    <t>010614</t>
  </si>
  <si>
    <t>Syracuse</t>
  </si>
  <si>
    <t>010621000001</t>
  </si>
  <si>
    <t>010621</t>
  </si>
  <si>
    <t>S. Glens Falls</t>
  </si>
  <si>
    <t>010618000001</t>
  </si>
  <si>
    <t>010618</t>
  </si>
  <si>
    <t>South Glens Falls</t>
  </si>
  <si>
    <t>KIAC</t>
  </si>
  <si>
    <t>054114000GT1</t>
  </si>
  <si>
    <t>054114</t>
  </si>
  <si>
    <t>GT1</t>
  </si>
  <si>
    <t>JFK Energy Center</t>
  </si>
  <si>
    <t>98 HW</t>
  </si>
  <si>
    <t>054114000GT2</t>
  </si>
  <si>
    <t>GT2</t>
  </si>
  <si>
    <t>LG&amp;E Westmoreland</t>
  </si>
  <si>
    <t>Rensselaer</t>
  </si>
  <si>
    <t>0540341GTDBS</t>
  </si>
  <si>
    <t>054034</t>
  </si>
  <si>
    <t>1GTDBS</t>
  </si>
  <si>
    <t>Lockport Energy</t>
  </si>
  <si>
    <t>Lockport</t>
  </si>
  <si>
    <t>054041011854</t>
  </si>
  <si>
    <t>054041</t>
  </si>
  <si>
    <t>11854</t>
  </si>
  <si>
    <t>054041011855</t>
  </si>
  <si>
    <t>054041011856</t>
  </si>
  <si>
    <t>Megan Racine Associates</t>
  </si>
  <si>
    <t>Canton Cogen</t>
  </si>
  <si>
    <t>010662000001</t>
  </si>
  <si>
    <t>010662</t>
  </si>
  <si>
    <t>Nissequogue Cogen Partners</t>
  </si>
  <si>
    <t>Nissequogue</t>
  </si>
  <si>
    <t>054149000001</t>
  </si>
  <si>
    <t>054149</t>
  </si>
  <si>
    <t>Nissequogue Cogen</t>
  </si>
  <si>
    <t>Oxbow Power</t>
  </si>
  <si>
    <t>Oxbow Energy</t>
  </si>
  <si>
    <t>0541310NTCT1</t>
  </si>
  <si>
    <t>054131</t>
  </si>
  <si>
    <t>NTCT1</t>
  </si>
  <si>
    <t>Oxbow Power Cogeneration Facility</t>
  </si>
  <si>
    <t>Sithe</t>
  </si>
  <si>
    <t>AG Energy</t>
  </si>
  <si>
    <t>010803000001</t>
  </si>
  <si>
    <t>010803</t>
  </si>
  <si>
    <t>Ogdensburg Energy Facility</t>
  </si>
  <si>
    <t>010803000002</t>
  </si>
  <si>
    <t>Alcoa Massena</t>
  </si>
  <si>
    <t>054592000001</t>
  </si>
  <si>
    <t>054592</t>
  </si>
  <si>
    <t>Massena Energy Facility</t>
  </si>
  <si>
    <t>Independence</t>
  </si>
  <si>
    <t>054547000001</t>
  </si>
  <si>
    <t>054547</t>
  </si>
  <si>
    <t>Independence Station</t>
  </si>
  <si>
    <t>054547000002</t>
  </si>
  <si>
    <t>054547000003</t>
  </si>
  <si>
    <t>3</t>
  </si>
  <si>
    <t>054547000004</t>
  </si>
  <si>
    <t>O-AT-KA</t>
  </si>
  <si>
    <t>054593000001</t>
  </si>
  <si>
    <t>054593</t>
  </si>
  <si>
    <t>Batavia Energy Facility</t>
  </si>
  <si>
    <t>Sterling</t>
  </si>
  <si>
    <t>050744000001</t>
  </si>
  <si>
    <t>050744</t>
  </si>
  <si>
    <t>Sterling Energy Facility</t>
  </si>
  <si>
    <t>TBG Cogen</t>
  </si>
  <si>
    <t>050292000GT1</t>
  </si>
  <si>
    <t>050292</t>
  </si>
  <si>
    <t>050292000GT2</t>
  </si>
  <si>
    <t>Nassau DEC</t>
  </si>
  <si>
    <t>052056000004</t>
  </si>
  <si>
    <t>052056</t>
  </si>
  <si>
    <t>00004</t>
  </si>
  <si>
    <t>Trigen - Nassau Energy Corp.</t>
  </si>
  <si>
    <t>UDG Goodyear</t>
  </si>
  <si>
    <t>050202000001</t>
  </si>
  <si>
    <t>050202</t>
  </si>
  <si>
    <t>U.S. Generating</t>
  </si>
  <si>
    <t>E. Syracuse</t>
  </si>
  <si>
    <t>05097800000A</t>
  </si>
  <si>
    <t>050978</t>
  </si>
  <si>
    <t>A</t>
  </si>
  <si>
    <t>E. Syracuse Generating Co., L.P.</t>
  </si>
  <si>
    <t>05097800000B</t>
  </si>
  <si>
    <t>B</t>
  </si>
  <si>
    <t>Selkirk 1</t>
  </si>
  <si>
    <t>010725CTG101</t>
  </si>
  <si>
    <t>010725</t>
  </si>
  <si>
    <t>CTG101</t>
  </si>
  <si>
    <t>Selkirk Cogen Partners, L.P.</t>
  </si>
  <si>
    <t>Selkirk 2</t>
  </si>
  <si>
    <t>010725CTG201</t>
  </si>
  <si>
    <t>CTG201</t>
  </si>
  <si>
    <t>010725CTG301</t>
  </si>
  <si>
    <t>CTG301</t>
  </si>
  <si>
    <t>UTILITIES</t>
  </si>
  <si>
    <t>Central Hudson Gas &amp; Electric</t>
  </si>
  <si>
    <t>Danskammer 1</t>
  </si>
  <si>
    <t>002480000001</t>
  </si>
  <si>
    <t>002480</t>
  </si>
  <si>
    <t>Danskammer Point</t>
  </si>
  <si>
    <t>Danskammer 2</t>
  </si>
  <si>
    <t>002480000002</t>
  </si>
  <si>
    <t>Danskammer 3</t>
  </si>
  <si>
    <t>002480000003</t>
  </si>
  <si>
    <t>Danskammer 4</t>
  </si>
  <si>
    <t>002480000004</t>
  </si>
  <si>
    <t>Roseton 1</t>
  </si>
  <si>
    <t>008006000001</t>
  </si>
  <si>
    <t>008006</t>
  </si>
  <si>
    <t>Roseton Generating St.</t>
  </si>
  <si>
    <t>Roseton 2</t>
  </si>
  <si>
    <t>008006000002</t>
  </si>
  <si>
    <t>South Cairo</t>
  </si>
  <si>
    <t>002485000CT1</t>
  </si>
  <si>
    <t>002485</t>
  </si>
  <si>
    <t>South Cairo CT</t>
  </si>
  <si>
    <t>Coxsackie</t>
  </si>
  <si>
    <t>002487000CT1</t>
  </si>
  <si>
    <t>002487</t>
  </si>
  <si>
    <t>Coxsackie CT</t>
  </si>
  <si>
    <t>Consolidated Edison</t>
  </si>
  <si>
    <t>59 St Boiler 114 EP1</t>
  </si>
  <si>
    <t>002503BLR114</t>
  </si>
  <si>
    <t>002503</t>
  </si>
  <si>
    <t>BLR114</t>
  </si>
  <si>
    <t>59th Street Steam Station</t>
  </si>
  <si>
    <t>59 St Boiler 115 EP1</t>
  </si>
  <si>
    <t>002503BLR115</t>
  </si>
  <si>
    <t>BLR115</t>
  </si>
  <si>
    <t>59 St CT1</t>
  </si>
  <si>
    <t>002503CT0001</t>
  </si>
  <si>
    <t>CT0001</t>
  </si>
  <si>
    <t>74 St. Boiler 120 EP1</t>
  </si>
  <si>
    <t>002504000120</t>
  </si>
  <si>
    <t>002504</t>
  </si>
  <si>
    <t>74th St Generating Station</t>
  </si>
  <si>
    <t>74 St. Boiler 121 EP1</t>
  </si>
  <si>
    <t>002504000121</t>
  </si>
  <si>
    <t>74 St. Boiler 122 EP1</t>
  </si>
  <si>
    <t>002504000122</t>
  </si>
  <si>
    <t>74 St. CT1 EP ZZ</t>
  </si>
  <si>
    <t>002504CT0001</t>
  </si>
  <si>
    <t>NO 96,98</t>
  </si>
  <si>
    <t>74 St. CT2 EP ZZ</t>
  </si>
  <si>
    <t>002504CT0002</t>
  </si>
  <si>
    <t>CT0002</t>
  </si>
  <si>
    <t>Arthur Kill - Boiler 20 - EP1</t>
  </si>
  <si>
    <t>002490000020</t>
  </si>
  <si>
    <t>002490</t>
  </si>
  <si>
    <t xml:space="preserve">Arthur Kill Generating </t>
  </si>
  <si>
    <t>Arthur Kill - Boiler 30 - EP1</t>
  </si>
  <si>
    <t>002490000030</t>
  </si>
  <si>
    <t>Arthur Kill - C 1 - EP ZZ</t>
  </si>
  <si>
    <t>002490CT0001</t>
  </si>
  <si>
    <t>Arthur Kill Generating Station</t>
  </si>
  <si>
    <t>Astoria - Boiler 30 - EP3</t>
  </si>
  <si>
    <t>008906000030</t>
  </si>
  <si>
    <t>008906</t>
  </si>
  <si>
    <t>Astoria Generating Station</t>
  </si>
  <si>
    <t>Astoria - Boiler 40 - EP4</t>
  </si>
  <si>
    <t>008906000040</t>
  </si>
  <si>
    <t>Astoria - Boiler 50 - EP5</t>
  </si>
  <si>
    <t>008906000050</t>
  </si>
  <si>
    <t>Astoria  CT1  EP ZZ</t>
  </si>
  <si>
    <t>008906CT0001</t>
  </si>
  <si>
    <t>Astoria  CT2-1  EP ZZ</t>
  </si>
  <si>
    <t>008906CT02Z1</t>
  </si>
  <si>
    <t>CT02-1</t>
  </si>
  <si>
    <t>Astoria Combustion Turbines</t>
  </si>
  <si>
    <t>Astoria  CT2-2  EP ZZ</t>
  </si>
  <si>
    <t>008906CT02Z2</t>
  </si>
  <si>
    <t>CT02-2</t>
  </si>
  <si>
    <t>Astoria  CT2-3  EP ZZ</t>
  </si>
  <si>
    <t>008906CT02Z3</t>
  </si>
  <si>
    <t>CT02-3</t>
  </si>
  <si>
    <t>Astoria  CT2-4  EP ZZ</t>
  </si>
  <si>
    <t>008906CT02Z4</t>
  </si>
  <si>
    <t>CT02-4</t>
  </si>
  <si>
    <t>Astoria  CT3-1  EP ZZ</t>
  </si>
  <si>
    <t>008906CT03Z1</t>
  </si>
  <si>
    <t>CT03-1</t>
  </si>
  <si>
    <t>Astoria  CT3-2  EP ZZ</t>
  </si>
  <si>
    <t>008906CT03Z2</t>
  </si>
  <si>
    <t>CT03-2</t>
  </si>
  <si>
    <t>Astoria  CT3-3  EP ZZ</t>
  </si>
  <si>
    <t>008906CT03Z3</t>
  </si>
  <si>
    <t>CT03-3</t>
  </si>
  <si>
    <t>Astoria  CT3-4  EP ZZ</t>
  </si>
  <si>
    <t>008906CT03Z4</t>
  </si>
  <si>
    <t>CT03-4</t>
  </si>
  <si>
    <t>Astoria  CT4-1  EP ZZ</t>
  </si>
  <si>
    <t>008906CT04Z1</t>
  </si>
  <si>
    <t>CT04-1</t>
  </si>
  <si>
    <t>Astoria  CT4-2  EP ZZ</t>
  </si>
  <si>
    <t>008906CT04Z2</t>
  </si>
  <si>
    <t>CT04-2</t>
  </si>
  <si>
    <t>Astoria  CT4-3  EP ZZ</t>
  </si>
  <si>
    <t>008906CT04Z3</t>
  </si>
  <si>
    <t>CT04-3</t>
  </si>
  <si>
    <t>Astoria  CT4-4  EP ZZ</t>
  </si>
  <si>
    <t>008906CT04Z4</t>
  </si>
  <si>
    <t>CT04-4</t>
  </si>
  <si>
    <t>Astoria CT5 EP ZZ</t>
  </si>
  <si>
    <t>008906CT0005</t>
  </si>
  <si>
    <t>CT0005</t>
  </si>
  <si>
    <t>Astoria CT7 EP ZZ</t>
  </si>
  <si>
    <t>008906CT0007</t>
  </si>
  <si>
    <t>CT0007</t>
  </si>
  <si>
    <t>Astoria CT8 EP ZZ</t>
  </si>
  <si>
    <t>008906CT0008</t>
  </si>
  <si>
    <t>CT0008</t>
  </si>
  <si>
    <t>Astoria CT9 EP ZZ</t>
  </si>
  <si>
    <t>008906CT0009</t>
  </si>
  <si>
    <t>CT0009</t>
  </si>
  <si>
    <t>Astoria CT10 EP ZZ</t>
  </si>
  <si>
    <t>008906CT0010</t>
  </si>
  <si>
    <t>CT0010</t>
  </si>
  <si>
    <t>Astoria CT11 EP ZZ</t>
  </si>
  <si>
    <t>008906CT0011</t>
  </si>
  <si>
    <t>CT0011</t>
  </si>
  <si>
    <t>Astoria CT12 EP ZZ</t>
  </si>
  <si>
    <t>008906CT0012</t>
  </si>
  <si>
    <t>CT0012</t>
  </si>
  <si>
    <t>Astoria CT13 EP ZZ</t>
  </si>
  <si>
    <t>008906CT0013</t>
  </si>
  <si>
    <t>CT0013</t>
  </si>
  <si>
    <t>East River - Boiler 60 - EP2</t>
  </si>
  <si>
    <t>002493000060</t>
  </si>
  <si>
    <t>002493</t>
  </si>
  <si>
    <t>East River Generating</t>
  </si>
  <si>
    <t>East River - Boiler 70 - EP3</t>
  </si>
  <si>
    <t>002493000070</t>
  </si>
  <si>
    <t>Gowanus CT1-1 EP ZZ</t>
  </si>
  <si>
    <t>002494CT01Z1</t>
  </si>
  <si>
    <t>002494</t>
  </si>
  <si>
    <t>CT01-1</t>
  </si>
  <si>
    <t>Gowanus Combustion Turbines</t>
  </si>
  <si>
    <t>002494CT01Z2</t>
  </si>
  <si>
    <t>CT01-2</t>
  </si>
  <si>
    <t>002494CT01Z3</t>
  </si>
  <si>
    <t>CT01-3</t>
  </si>
  <si>
    <t>002494CT01Z4</t>
  </si>
  <si>
    <t>CT01-4</t>
  </si>
  <si>
    <t>002494CT01Z5</t>
  </si>
  <si>
    <t>CT01-5</t>
  </si>
  <si>
    <t>002494CT01Z6</t>
  </si>
  <si>
    <t>CT01-6</t>
  </si>
  <si>
    <t>002494CT01Z7</t>
  </si>
  <si>
    <t>CT01-7</t>
  </si>
  <si>
    <t>002494CT01Z8</t>
  </si>
  <si>
    <t>CT01-8</t>
  </si>
  <si>
    <t>Gowanus CT2-1 EP ZZ</t>
  </si>
  <si>
    <t>002494CT02Z1</t>
  </si>
  <si>
    <t>002494CT02Z2</t>
  </si>
  <si>
    <t>002494CT02Z3</t>
  </si>
  <si>
    <t>002494CT02Z4</t>
  </si>
  <si>
    <t>002494CT02Z5</t>
  </si>
  <si>
    <t>CT02-5</t>
  </si>
  <si>
    <t>002494CT02Z6</t>
  </si>
  <si>
    <t>CT02-6</t>
  </si>
  <si>
    <t>002494CT02Z7</t>
  </si>
  <si>
    <t>CT02-7</t>
  </si>
  <si>
    <t>002494CT02Z8</t>
  </si>
  <si>
    <t>CT02-8</t>
  </si>
  <si>
    <t>Gowanus CT3-1 EP ZZ</t>
  </si>
  <si>
    <t>002494CT03Z1</t>
  </si>
  <si>
    <t>002494CT03Z2</t>
  </si>
  <si>
    <t>002494CT03Z3</t>
  </si>
  <si>
    <t>002494CT03Z4</t>
  </si>
  <si>
    <t>002494CT03Z5</t>
  </si>
  <si>
    <t>CT03-5</t>
  </si>
  <si>
    <t>002494CT03Z6</t>
  </si>
  <si>
    <t>CT03-6</t>
  </si>
  <si>
    <t>002494CT03Z7</t>
  </si>
  <si>
    <t>CT03-7</t>
  </si>
  <si>
    <t>002494CT03Z8</t>
  </si>
  <si>
    <t>CT03-8</t>
  </si>
  <si>
    <t>Gowanus CT4-1 EP ZZ</t>
  </si>
  <si>
    <t>002494CT04Z1</t>
  </si>
  <si>
    <t>002494CT04Z2</t>
  </si>
  <si>
    <t>002494CT04Z3</t>
  </si>
  <si>
    <t>002494CT04Z4</t>
  </si>
  <si>
    <t>002494CT04Z5</t>
  </si>
  <si>
    <t>CT04-5</t>
  </si>
  <si>
    <t>002494CT04Z6</t>
  </si>
  <si>
    <t>CT04-6</t>
  </si>
  <si>
    <t>002494CT04Z7</t>
  </si>
  <si>
    <t>CT04-7</t>
  </si>
  <si>
    <t>002494CT04Z8</t>
  </si>
  <si>
    <t>CT04-8</t>
  </si>
  <si>
    <t>Hudson Ave. - CT3 EP ZZ</t>
  </si>
  <si>
    <t>002496CT0003</t>
  </si>
  <si>
    <t>002496</t>
  </si>
  <si>
    <t>CT0003</t>
  </si>
  <si>
    <t>Hudson Avenue Combustion Turbines</t>
  </si>
  <si>
    <t>Hudson Ave. - CT4 EP ZZ</t>
  </si>
  <si>
    <t>002496CT0004</t>
  </si>
  <si>
    <t>CT0004</t>
  </si>
  <si>
    <t>Hudson Ave. - CT5 EP ZZ</t>
  </si>
  <si>
    <t>002496CT0005</t>
  </si>
  <si>
    <t>Indian Point CT1 EP ZZ</t>
  </si>
  <si>
    <t>002497CT0001</t>
  </si>
  <si>
    <t>002497</t>
  </si>
  <si>
    <t>Indian Point Combustion Turbines</t>
  </si>
  <si>
    <t>Buchanan CT1 EP ZZ</t>
  </si>
  <si>
    <t>004233CT0001</t>
  </si>
  <si>
    <t>004233</t>
  </si>
  <si>
    <t>Buchanan Sub Comb Turbine</t>
  </si>
  <si>
    <t>Buchanan CT2 EP ZZ</t>
  </si>
  <si>
    <t>004233CT0002</t>
  </si>
  <si>
    <t>Ravenswood Boiler 10 EP1</t>
  </si>
  <si>
    <t>002500000010</t>
  </si>
  <si>
    <t>002500</t>
  </si>
  <si>
    <t xml:space="preserve">Ravenswood Generating </t>
  </si>
  <si>
    <t>Ravenswood Boiler 20 EP2</t>
  </si>
  <si>
    <t>002500000020</t>
  </si>
  <si>
    <t>Ravenswood Generating</t>
  </si>
  <si>
    <t>Ravenswood Boiler 30 EP3</t>
  </si>
  <si>
    <t>002500000030</t>
  </si>
  <si>
    <t>Ravenswood CT1 EP ZZ</t>
  </si>
  <si>
    <t>002500CT0001</t>
  </si>
  <si>
    <t>Ravenswood Generating Station</t>
  </si>
  <si>
    <t>Ravenswood CT2-1 EP ZZ</t>
  </si>
  <si>
    <t>002500CT02Z1</t>
  </si>
  <si>
    <t>Ravenswood Combustion Turbines</t>
  </si>
  <si>
    <t>Ravenswood CT2-2 EP ZZ</t>
  </si>
  <si>
    <t>002500CT02Z2</t>
  </si>
  <si>
    <t>Ravenswood CT2-3 EP ZZ</t>
  </si>
  <si>
    <t>002500CT02Z3</t>
  </si>
  <si>
    <t>Ravenswood CT2-4 EP ZZ</t>
  </si>
  <si>
    <t>002500CT02Z4</t>
  </si>
  <si>
    <t>Ravenswood CT3-1 EP ZZ</t>
  </si>
  <si>
    <t>002500CT03Z1</t>
  </si>
  <si>
    <t>Ravenswood CT3-2 EP ZZ</t>
  </si>
  <si>
    <t>002500CT03Z2</t>
  </si>
  <si>
    <t>Ravenswood CT3-3 EP ZZ</t>
  </si>
  <si>
    <t>002500CT03Z3</t>
  </si>
  <si>
    <t>Ravenswood CT3-4 EP ZZ</t>
  </si>
  <si>
    <t>002500CT03Z4</t>
  </si>
  <si>
    <t>Ravenswood CT4 EP ZZ</t>
  </si>
  <si>
    <t>002500CT0004</t>
  </si>
  <si>
    <t>Ravenswood CT5 EP ZZ</t>
  </si>
  <si>
    <t>002500CT0005</t>
  </si>
  <si>
    <t>Ravenswood CT6 EP ZZ</t>
  </si>
  <si>
    <t>002500CT0006</t>
  </si>
  <si>
    <t>CT0006</t>
  </si>
  <si>
    <t>Ravenswood CT7 EP ZZ</t>
  </si>
  <si>
    <t>002500CT0007</t>
  </si>
  <si>
    <t>Ravenswood CT8 EP ZZ</t>
  </si>
  <si>
    <t>002500CT0008</t>
  </si>
  <si>
    <t>Ravenswood CT9 EP ZZ</t>
  </si>
  <si>
    <t>002500CT0009</t>
  </si>
  <si>
    <t>Ravenswood CT10 EP ZZ</t>
  </si>
  <si>
    <t>002500CT0010</t>
  </si>
  <si>
    <t>Ravenswood CT11 EP ZZ</t>
  </si>
  <si>
    <t>002500CT0011</t>
  </si>
  <si>
    <t>Waterside Boiler 61 EP2</t>
  </si>
  <si>
    <t>002502000061</t>
  </si>
  <si>
    <t>002502</t>
  </si>
  <si>
    <t xml:space="preserve">Waterside Generating </t>
  </si>
  <si>
    <t>Waterside Boiler 62 EP2</t>
  </si>
  <si>
    <t>002502000062</t>
  </si>
  <si>
    <t>Waterside Boiler 80 EP3</t>
  </si>
  <si>
    <t>002502000080</t>
  </si>
  <si>
    <t>Waterside Boiler 90 EP3</t>
  </si>
  <si>
    <t>002502000090</t>
  </si>
  <si>
    <t>Narrows CT1-1 EP ZZ</t>
  </si>
  <si>
    <t>002499CT01Z1</t>
  </si>
  <si>
    <t>002499</t>
  </si>
  <si>
    <t>Narrows Combustion Turbines</t>
  </si>
  <si>
    <t>Narrows CT1-2 EP ZZ</t>
  </si>
  <si>
    <t>002499CT01Z2</t>
  </si>
  <si>
    <t>Narrows CT1-3 EP ZZ</t>
  </si>
  <si>
    <t>002499CT01Z3</t>
  </si>
  <si>
    <t>Narrows CT1-4 EP ZZ</t>
  </si>
  <si>
    <t>002499CT01Z4</t>
  </si>
  <si>
    <t>Narrows CT1-5 EP ZZ</t>
  </si>
  <si>
    <t>002499CT01Z5</t>
  </si>
  <si>
    <t>Narrows CT1-6 EP ZZ</t>
  </si>
  <si>
    <t>002499CT01Z6</t>
  </si>
  <si>
    <t>Narrows CT1-7 EP ZZ</t>
  </si>
  <si>
    <t>002499CT01Z7</t>
  </si>
  <si>
    <t>Narrows CT1-8 EP ZZ</t>
  </si>
  <si>
    <t>002499CT01Z8</t>
  </si>
  <si>
    <t>Narrows CT2-1 EP ZZ</t>
  </si>
  <si>
    <t>002499CT02Z1</t>
  </si>
  <si>
    <t>Narrows CT2-2 EP ZZ</t>
  </si>
  <si>
    <t>002499CT02Z2</t>
  </si>
  <si>
    <t>Narrows CT2-3 EP ZZ</t>
  </si>
  <si>
    <t>002499CT02Z3</t>
  </si>
  <si>
    <t>Narrows CT2-4 EP ZZ</t>
  </si>
  <si>
    <t>002499CT02Z4</t>
  </si>
  <si>
    <t>Narrows CT2-5 EP ZZ</t>
  </si>
  <si>
    <t>002499CT02Z5</t>
  </si>
  <si>
    <t>Narrows CT2-6 EP ZZ</t>
  </si>
  <si>
    <t>002499CT02Z6</t>
  </si>
  <si>
    <t>Narrows CT2-7 EP ZZ</t>
  </si>
  <si>
    <t>002499CT02Z7</t>
  </si>
  <si>
    <t>Narrows CT2-8 EP ZZ</t>
  </si>
  <si>
    <t>002499CT02Z8</t>
  </si>
  <si>
    <t>LILCO</t>
  </si>
  <si>
    <t>E F Barrett</t>
  </si>
  <si>
    <t>002511000010</t>
  </si>
  <si>
    <t>002511</t>
  </si>
  <si>
    <t>002511000020</t>
  </si>
  <si>
    <t>002511U00004</t>
  </si>
  <si>
    <t>U00004</t>
  </si>
  <si>
    <t>002511U00005</t>
  </si>
  <si>
    <t>U00005</t>
  </si>
  <si>
    <t>002511U00006</t>
  </si>
  <si>
    <t>U00006</t>
  </si>
  <si>
    <t>002511U00007</t>
  </si>
  <si>
    <t>U00007</t>
  </si>
  <si>
    <t>002511U00008</t>
  </si>
  <si>
    <t>U00008</t>
  </si>
  <si>
    <t>002511U00009</t>
  </si>
  <si>
    <t>U00009</t>
  </si>
  <si>
    <t>002511U00010</t>
  </si>
  <si>
    <t>U00010</t>
  </si>
  <si>
    <t>002511U00011</t>
  </si>
  <si>
    <t>U00011</t>
  </si>
  <si>
    <t>002511U00012</t>
  </si>
  <si>
    <t>U00012</t>
  </si>
  <si>
    <t>002511U00013</t>
  </si>
  <si>
    <t>U00013</t>
  </si>
  <si>
    <t>002511U00014</t>
  </si>
  <si>
    <t>U00014</t>
  </si>
  <si>
    <t>002511U00015</t>
  </si>
  <si>
    <t>U00015</t>
  </si>
  <si>
    <t>002511U00016</t>
  </si>
  <si>
    <t>U00016</t>
  </si>
  <si>
    <t>002511U00017</t>
  </si>
  <si>
    <t>U00017</t>
  </si>
  <si>
    <t>002511U00018</t>
  </si>
  <si>
    <t>U00018</t>
  </si>
  <si>
    <t>002511U00019</t>
  </si>
  <si>
    <t>U00019</t>
  </si>
  <si>
    <t>East Hampton I</t>
  </si>
  <si>
    <t>002512UGT001</t>
  </si>
  <si>
    <t>002512</t>
  </si>
  <si>
    <t>UGT001</t>
  </si>
  <si>
    <t>Far Rockaway Station</t>
  </si>
  <si>
    <t>002513000040</t>
  </si>
  <si>
    <t>002513</t>
  </si>
  <si>
    <t>Glenwood Gas / IC Facility</t>
  </si>
  <si>
    <t>002514000GAS</t>
  </si>
  <si>
    <t>002514</t>
  </si>
  <si>
    <t>UGT011</t>
  </si>
  <si>
    <t>Glenwood Gas/IC Facility</t>
  </si>
  <si>
    <t>Glenwood Station</t>
  </si>
  <si>
    <t>002514000040</t>
  </si>
  <si>
    <t>002514000050</t>
  </si>
  <si>
    <t>002514U00020</t>
  </si>
  <si>
    <t>U00020</t>
  </si>
  <si>
    <t>002514U00021</t>
  </si>
  <si>
    <t>U00021</t>
  </si>
  <si>
    <t>Holtsville</t>
  </si>
  <si>
    <t>008007U00001</t>
  </si>
  <si>
    <t>008007</t>
  </si>
  <si>
    <t>U00001</t>
  </si>
  <si>
    <t>008007U00002</t>
  </si>
  <si>
    <t>U00002</t>
  </si>
  <si>
    <t>008007U00003</t>
  </si>
  <si>
    <t>U00003</t>
  </si>
  <si>
    <t>008007U00004</t>
  </si>
  <si>
    <t>008007U00005</t>
  </si>
  <si>
    <t>008007U00006</t>
  </si>
  <si>
    <t>008007U00007</t>
  </si>
  <si>
    <t>008007U00008</t>
  </si>
  <si>
    <t>008007U00009</t>
  </si>
  <si>
    <t>008007U00010</t>
  </si>
  <si>
    <t>008007U00011</t>
  </si>
  <si>
    <t>008007U00012</t>
  </si>
  <si>
    <t>008007U00013</t>
  </si>
  <si>
    <t>008007U00014</t>
  </si>
  <si>
    <t>008007U00015</t>
  </si>
  <si>
    <t>008007U00016</t>
  </si>
  <si>
    <t>008007U00017</t>
  </si>
  <si>
    <t>008007U00018</t>
  </si>
  <si>
    <t>008007U00019</t>
  </si>
  <si>
    <t>008007U00020</t>
  </si>
  <si>
    <t>Northport Power Station</t>
  </si>
  <si>
    <t>002516UGT001</t>
  </si>
  <si>
    <t>002516</t>
  </si>
  <si>
    <t>002516000001</t>
  </si>
  <si>
    <t>002516000002</t>
  </si>
  <si>
    <t>002516000003</t>
  </si>
  <si>
    <t>002516000004</t>
  </si>
  <si>
    <t>Port Jefferson</t>
  </si>
  <si>
    <t>002517000001</t>
  </si>
  <si>
    <t>002517</t>
  </si>
  <si>
    <t>T4</t>
  </si>
  <si>
    <t>002517000002</t>
  </si>
  <si>
    <t>002517000003</t>
  </si>
  <si>
    <t>002517000004</t>
  </si>
  <si>
    <t>002517UGT001</t>
  </si>
  <si>
    <t>Wading River</t>
  </si>
  <si>
    <t>007146UGT013</t>
  </si>
  <si>
    <t>007146</t>
  </si>
  <si>
    <t>UGT013</t>
  </si>
  <si>
    <t>007146UGT014</t>
  </si>
  <si>
    <t>UGT014</t>
  </si>
  <si>
    <t>007146UGT007</t>
  </si>
  <si>
    <t>UGT007</t>
  </si>
  <si>
    <t>007146UGT008</t>
  </si>
  <si>
    <t>UGT008</t>
  </si>
  <si>
    <t>007146UGT009</t>
  </si>
  <si>
    <t>UGT009</t>
  </si>
  <si>
    <t>West Babylon</t>
  </si>
  <si>
    <t>0025240000GT</t>
  </si>
  <si>
    <t>Niagara Mohawk</t>
  </si>
  <si>
    <t>Albany 1</t>
  </si>
  <si>
    <t>002539000001</t>
  </si>
  <si>
    <t>002539</t>
  </si>
  <si>
    <t>Albany Station</t>
  </si>
  <si>
    <t>Albany 2</t>
  </si>
  <si>
    <t>002539000002</t>
  </si>
  <si>
    <t>Albany 3</t>
  </si>
  <si>
    <t>002539000003</t>
  </si>
  <si>
    <t>Albany 4</t>
  </si>
  <si>
    <t>002539000004</t>
  </si>
  <si>
    <t>Dunkirk 1</t>
  </si>
  <si>
    <t>002554000001</t>
  </si>
  <si>
    <t>002554</t>
  </si>
  <si>
    <t>Dunkirk Station</t>
  </si>
  <si>
    <t>Dunkirk 2</t>
  </si>
  <si>
    <t>002554000002</t>
  </si>
  <si>
    <t>Dunkirk 3 - Stack CS0003</t>
  </si>
  <si>
    <t>002554000003</t>
  </si>
  <si>
    <t>Dunkirk 4 - Stack CS0003</t>
  </si>
  <si>
    <t>002554000004</t>
  </si>
  <si>
    <t>Huntley 63 - Stack CS0002</t>
  </si>
  <si>
    <t>002549000063</t>
  </si>
  <si>
    <t>002549</t>
  </si>
  <si>
    <t xml:space="preserve">CR Huntley </t>
  </si>
  <si>
    <t>Huntley 64 - Stack CS0002</t>
  </si>
  <si>
    <t>002549000064</t>
  </si>
  <si>
    <t>Huntley 65 - Stack CS0002</t>
  </si>
  <si>
    <t>002549000065</t>
  </si>
  <si>
    <t>Huntley 66 - Stack CS0002</t>
  </si>
  <si>
    <t>002549000066</t>
  </si>
  <si>
    <t>Huntley 67 - Stack CS0001</t>
  </si>
  <si>
    <t>002549000067</t>
  </si>
  <si>
    <t>Huntley 68 - Stack CS0001</t>
  </si>
  <si>
    <t>002549000068</t>
  </si>
  <si>
    <t>Oswego 3</t>
  </si>
  <si>
    <t>002594000003</t>
  </si>
  <si>
    <t>002594</t>
  </si>
  <si>
    <t>Oswego Generating Station</t>
  </si>
  <si>
    <t>Oswego 4</t>
  </si>
  <si>
    <t>002594000004</t>
  </si>
  <si>
    <t>Oswego 5</t>
  </si>
  <si>
    <t>002594000005</t>
  </si>
  <si>
    <t>Oswego 6</t>
  </si>
  <si>
    <t>002594000006</t>
  </si>
  <si>
    <t>New York State Electric &amp; Gas</t>
  </si>
  <si>
    <t>Goudey Boiler 11</t>
  </si>
  <si>
    <t>002526000011</t>
  </si>
  <si>
    <t>002526</t>
  </si>
  <si>
    <t>Goudey Station</t>
  </si>
  <si>
    <t>Goudey Boiler 12</t>
  </si>
  <si>
    <t>002526000012</t>
  </si>
  <si>
    <t>Goudey Boiler 13</t>
  </si>
  <si>
    <t>002526000013</t>
  </si>
  <si>
    <t>Greenidge Boiler 4</t>
  </si>
  <si>
    <t>002527000004</t>
  </si>
  <si>
    <t>002527</t>
  </si>
  <si>
    <t>Greenidge Station</t>
  </si>
  <si>
    <t>Greenidge Boiler 5</t>
  </si>
  <si>
    <t>002527000005</t>
  </si>
  <si>
    <t xml:space="preserve">Greenidge Boiler 6 </t>
  </si>
  <si>
    <t>002527000006</t>
  </si>
  <si>
    <t>Hickling Boiler 1</t>
  </si>
  <si>
    <t>002529000001</t>
  </si>
  <si>
    <t>002529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</si>
</sst>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"/>
    <numFmt numFmtId="166" formatCode="mm/dd/yy"/>
    <numFmt numFmtId="167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dotted">
        <color indexed="8"/>
      </left>
      <right/>
      <top style="medium">
        <color indexed="8"/>
      </top>
      <bottom/>
      <diagonal/>
    </border>
    <border>
      <left style="dotted">
        <color indexed="8"/>
      </left>
      <right/>
      <top/>
      <bottom/>
      <diagonal/>
    </border>
    <border>
      <left/>
      <right/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8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8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8"/>
      </top>
      <bottom style="medium">
        <color indexed="64"/>
      </bottom>
      <diagonal/>
    </border>
    <border>
      <left style="dotted">
        <color indexed="8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82">
    <xf numFmtId="0" fontId="0" fillId="0" borderId="0" xfId="0"/>
    <xf numFmtId="0" fontId="2" fillId="0" borderId="0" xfId="0" applyFont="1" applyAlignment="1">
      <alignment horizontal="center" wrapText="1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1" fillId="0" borderId="1" xfId="0" applyNumberFormat="1" applyFont="1" applyBorder="1" applyAlignment="1"/>
    <xf numFmtId="164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/>
    <xf numFmtId="164" fontId="1" fillId="0" borderId="3" xfId="0" applyNumberFormat="1" applyFont="1" applyBorder="1" applyAlignment="1"/>
    <xf numFmtId="165" fontId="1" fillId="0" borderId="3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1" fillId="0" borderId="2" xfId="0" applyNumberFormat="1" applyFont="1" applyBorder="1" applyAlignment="1"/>
    <xf numFmtId="4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/>
    <xf numFmtId="0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/>
    <xf numFmtId="165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/>
    <xf numFmtId="165" fontId="1" fillId="0" borderId="5" xfId="0" quotePrefix="1" applyNumberFormat="1" applyFont="1" applyBorder="1" applyAlignment="1">
      <alignment horizontal="center"/>
    </xf>
    <xf numFmtId="0" fontId="1" fillId="0" borderId="5" xfId="0" quotePrefix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center"/>
    </xf>
    <xf numFmtId="37" fontId="6" fillId="0" borderId="0" xfId="0" applyNumberFormat="1" applyFont="1" applyBorder="1" applyAlignment="1">
      <alignment horizontal="center"/>
    </xf>
    <xf numFmtId="0" fontId="1" fillId="0" borderId="6" xfId="0" applyNumberFormat="1" applyFont="1" applyBorder="1" applyAlignment="1"/>
    <xf numFmtId="0" fontId="1" fillId="0" borderId="7" xfId="0" applyNumberFormat="1" applyFont="1" applyBorder="1" applyAlignment="1"/>
    <xf numFmtId="164" fontId="1" fillId="0" borderId="7" xfId="0" applyNumberFormat="1" applyFont="1" applyBorder="1" applyAlignment="1"/>
    <xf numFmtId="165" fontId="1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164" fontId="1" fillId="0" borderId="8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1" fillId="0" borderId="0" xfId="0" applyNumberFormat="1" applyFont="1" applyBorder="1" applyAlignment="1"/>
    <xf numFmtId="165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/>
    <xf numFmtId="3" fontId="1" fillId="0" borderId="0" xfId="0" applyNumberFormat="1" applyFont="1" applyFill="1" applyAlignment="1">
      <alignment horizontal="center"/>
    </xf>
    <xf numFmtId="0" fontId="1" fillId="0" borderId="0" xfId="1" applyNumberFormat="1" applyFont="1" applyBorder="1" applyAlignment="1"/>
    <xf numFmtId="0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right"/>
    </xf>
    <xf numFmtId="3" fontId="3" fillId="0" borderId="0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0" xfId="1" applyNumberFormat="1" applyFont="1" applyAlignment="1"/>
    <xf numFmtId="166" fontId="3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3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3" fillId="0" borderId="0" xfId="1" applyNumberFormat="1" applyFont="1" applyBorder="1" applyAlignment="1"/>
    <xf numFmtId="0" fontId="1" fillId="0" borderId="1" xfId="1" applyNumberFormat="1" applyFont="1" applyBorder="1" applyAlignment="1"/>
    <xf numFmtId="166" fontId="3" fillId="0" borderId="2" xfId="1" applyNumberFormat="1" applyFont="1" applyBorder="1" applyAlignment="1">
      <alignment horizontal="center"/>
    </xf>
    <xf numFmtId="164" fontId="1" fillId="0" borderId="2" xfId="1" applyNumberFormat="1" applyFont="1" applyBorder="1" applyAlignment="1"/>
    <xf numFmtId="165" fontId="1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center"/>
    </xf>
    <xf numFmtId="3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/>
    <xf numFmtId="164" fontId="1" fillId="0" borderId="3" xfId="1" applyNumberFormat="1" applyFont="1" applyBorder="1" applyAlignment="1"/>
    <xf numFmtId="165" fontId="1" fillId="0" borderId="3" xfId="1" applyNumberFormat="1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right"/>
    </xf>
    <xf numFmtId="0" fontId="3" fillId="0" borderId="1" xfId="1" applyNumberFormat="1" applyFont="1" applyBorder="1" applyAlignment="1"/>
    <xf numFmtId="0" fontId="1" fillId="0" borderId="2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4" fontId="1" fillId="0" borderId="3" xfId="1" applyNumberFormat="1" applyFont="1" applyBorder="1" applyAlignment="1">
      <alignment horizontal="center"/>
    </xf>
    <xf numFmtId="0" fontId="1" fillId="0" borderId="4" xfId="1" applyNumberFormat="1" applyFont="1" applyBorder="1" applyAlignment="1"/>
    <xf numFmtId="0" fontId="1" fillId="0" borderId="5" xfId="1" applyNumberFormat="1" applyFont="1" applyBorder="1" applyAlignment="1">
      <alignment horizontal="right"/>
    </xf>
    <xf numFmtId="164" fontId="1" fillId="0" borderId="5" xfId="1" applyNumberFormat="1" applyFont="1" applyBorder="1" applyAlignment="1"/>
    <xf numFmtId="165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3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/>
    <xf numFmtId="165" fontId="1" fillId="0" borderId="5" xfId="1" quotePrefix="1" applyNumberFormat="1" applyFont="1" applyBorder="1" applyAlignment="1">
      <alignment horizontal="center"/>
    </xf>
    <xf numFmtId="0" fontId="1" fillId="0" borderId="5" xfId="1" quotePrefix="1" applyNumberFormat="1" applyFont="1" applyBorder="1" applyAlignment="1">
      <alignment horizontal="center"/>
    </xf>
    <xf numFmtId="0" fontId="5" fillId="0" borderId="5" xfId="1" quotePrefix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right"/>
    </xf>
    <xf numFmtId="3" fontId="1" fillId="0" borderId="4" xfId="1" applyNumberFormat="1" applyFont="1" applyBorder="1" applyAlignment="1">
      <alignment horizontal="center"/>
    </xf>
    <xf numFmtId="3" fontId="1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right"/>
    </xf>
    <xf numFmtId="3" fontId="6" fillId="0" borderId="0" xfId="1" applyNumberFormat="1" applyFont="1" applyBorder="1" applyAlignment="1">
      <alignment horizontal="center"/>
    </xf>
    <xf numFmtId="37" fontId="6" fillId="0" borderId="0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0" fontId="1" fillId="0" borderId="7" xfId="1" applyNumberFormat="1" applyFont="1" applyBorder="1" applyAlignment="1"/>
    <xf numFmtId="164" fontId="1" fillId="0" borderId="7" xfId="1" applyNumberFormat="1" applyFont="1" applyBorder="1" applyAlignment="1"/>
    <xf numFmtId="165" fontId="1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right"/>
    </xf>
    <xf numFmtId="3" fontId="1" fillId="0" borderId="7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0" fontId="1" fillId="0" borderId="0" xfId="1" quotePrefix="1" applyNumberFormat="1" applyFont="1" applyAlignment="1">
      <alignment horizontal="center"/>
    </xf>
    <xf numFmtId="1" fontId="1" fillId="0" borderId="0" xfId="1" quotePrefix="1" applyNumberFormat="1" applyFont="1" applyAlignment="1">
      <alignment horizontal="center"/>
    </xf>
    <xf numFmtId="0" fontId="1" fillId="0" borderId="0" xfId="1" applyNumberFormat="1" applyFont="1" applyAlignment="1">
      <alignment horizontal="right"/>
    </xf>
    <xf numFmtId="0" fontId="1" fillId="0" borderId="8" xfId="1" applyNumberFormat="1" applyFont="1" applyBorder="1" applyAlignment="1"/>
    <xf numFmtId="0" fontId="1" fillId="0" borderId="9" xfId="1" applyNumberFormat="1" applyFont="1" applyBorder="1" applyAlignment="1"/>
    <xf numFmtId="164" fontId="1" fillId="0" borderId="8" xfId="1" applyNumberFormat="1" applyFont="1" applyBorder="1" applyAlignment="1"/>
    <xf numFmtId="165" fontId="1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center"/>
    </xf>
    <xf numFmtId="0" fontId="5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right"/>
    </xf>
    <xf numFmtId="3" fontId="1" fillId="0" borderId="8" xfId="1" applyNumberFormat="1" applyFont="1" applyBorder="1" applyAlignment="1">
      <alignment horizontal="center"/>
    </xf>
    <xf numFmtId="164" fontId="1" fillId="0" borderId="0" xfId="1" applyNumberFormat="1" applyFont="1" applyAlignment="1"/>
    <xf numFmtId="165" fontId="1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3" fontId="1" fillId="0" borderId="0" xfId="1" applyNumberFormat="1" applyFont="1" applyAlignment="1"/>
    <xf numFmtId="1" fontId="1" fillId="0" borderId="0" xfId="1" applyNumberFormat="1" applyFont="1" applyAlignment="1"/>
    <xf numFmtId="164" fontId="1" fillId="0" borderId="0" xfId="1" applyNumberFormat="1" applyFont="1" applyBorder="1" applyAlignment="1"/>
    <xf numFmtId="165" fontId="1" fillId="0" borderId="0" xfId="1" applyNumberFormat="1" applyFont="1" applyBorder="1" applyAlignment="1">
      <alignment horizontal="center"/>
    </xf>
    <xf numFmtId="2" fontId="1" fillId="0" borderId="0" xfId="1" applyNumberFormat="1" applyFont="1" applyAlignment="1"/>
    <xf numFmtId="3" fontId="1" fillId="0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2" fillId="0" borderId="0" xfId="0" applyNumberFormat="1" applyFont="1" applyBorder="1" applyAlignment="1"/>
    <xf numFmtId="0" fontId="0" fillId="0" borderId="10" xfId="0" applyBorder="1"/>
    <xf numFmtId="0" fontId="1" fillId="0" borderId="11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/>
    <xf numFmtId="1" fontId="1" fillId="0" borderId="10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 wrapText="1"/>
    </xf>
    <xf numFmtId="16" fontId="0" fillId="0" borderId="0" xfId="0" applyNumberFormat="1"/>
    <xf numFmtId="1" fontId="1" fillId="0" borderId="3" xfId="0" quotePrefix="1" applyNumberFormat="1" applyFont="1" applyBorder="1" applyAlignment="1">
      <alignment horizontal="right"/>
    </xf>
    <xf numFmtId="1" fontId="0" fillId="0" borderId="10" xfId="0" applyNumberFormat="1" applyBorder="1"/>
  </cellXfs>
  <cellStyles count="2">
    <cellStyle name="Normal" xfId="0" builtinId="0"/>
    <cellStyle name="Normal_NYallocations.x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4"/>
  <sheetViews>
    <sheetView topLeftCell="A112" workbookViewId="0">
      <selection activeCell="D8" sqref="D8"/>
    </sheetView>
  </sheetViews>
  <sheetFormatPr defaultRowHeight="12.75" x14ac:dyDescent="0.2"/>
  <cols>
    <col min="5" max="5" width="35.28515625" customWidth="1"/>
  </cols>
  <sheetData>
    <row r="1" spans="1:11" ht="63.75" x14ac:dyDescent="0.2">
      <c r="A1" s="1" t="s">
        <v>577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/>
    </row>
    <row r="3" spans="1:11" x14ac:dyDescent="0.2">
      <c r="A3" t="s">
        <v>587</v>
      </c>
      <c r="B3">
        <v>47</v>
      </c>
      <c r="C3" t="s">
        <v>588</v>
      </c>
      <c r="D3">
        <v>3</v>
      </c>
      <c r="E3" t="s">
        <v>589</v>
      </c>
      <c r="F3" t="s">
        <v>588</v>
      </c>
      <c r="G3">
        <v>6</v>
      </c>
      <c r="H3" t="s">
        <v>590</v>
      </c>
      <c r="I3" t="s">
        <v>591</v>
      </c>
      <c r="J3">
        <v>163</v>
      </c>
    </row>
    <row r="4" spans="1:11" x14ac:dyDescent="0.2">
      <c r="A4" t="s">
        <v>587</v>
      </c>
      <c r="B4">
        <v>47</v>
      </c>
      <c r="C4" t="s">
        <v>588</v>
      </c>
      <c r="D4">
        <v>3</v>
      </c>
      <c r="E4" t="s">
        <v>589</v>
      </c>
      <c r="F4" t="s">
        <v>588</v>
      </c>
      <c r="G4">
        <v>10</v>
      </c>
      <c r="H4" t="s">
        <v>592</v>
      </c>
      <c r="I4" t="s">
        <v>593</v>
      </c>
      <c r="J4">
        <v>41</v>
      </c>
    </row>
    <row r="5" spans="1:11" x14ac:dyDescent="0.2">
      <c r="A5" t="s">
        <v>594</v>
      </c>
      <c r="B5">
        <v>1</v>
      </c>
      <c r="C5" t="s">
        <v>588</v>
      </c>
      <c r="D5">
        <v>1</v>
      </c>
      <c r="E5" t="s">
        <v>595</v>
      </c>
      <c r="F5" t="s">
        <v>588</v>
      </c>
      <c r="G5">
        <v>13</v>
      </c>
      <c r="H5" t="s">
        <v>596</v>
      </c>
      <c r="I5" t="s">
        <v>593</v>
      </c>
      <c r="J5">
        <v>109</v>
      </c>
    </row>
    <row r="6" spans="1:11" x14ac:dyDescent="0.2">
      <c r="A6" t="s">
        <v>594</v>
      </c>
      <c r="B6">
        <v>1</v>
      </c>
      <c r="C6" t="s">
        <v>588</v>
      </c>
      <c r="D6">
        <v>1</v>
      </c>
      <c r="E6" t="s">
        <v>595</v>
      </c>
      <c r="F6" t="s">
        <v>588</v>
      </c>
      <c r="G6">
        <v>14</v>
      </c>
      <c r="H6" t="s">
        <v>597</v>
      </c>
      <c r="I6" t="s">
        <v>598</v>
      </c>
      <c r="J6">
        <v>143</v>
      </c>
    </row>
    <row r="7" spans="1:11" x14ac:dyDescent="0.2">
      <c r="A7" t="s">
        <v>599</v>
      </c>
      <c r="B7">
        <v>1</v>
      </c>
      <c r="C7" t="s">
        <v>600</v>
      </c>
      <c r="D7">
        <v>8</v>
      </c>
      <c r="E7" t="s">
        <v>601</v>
      </c>
      <c r="F7" t="s">
        <v>600</v>
      </c>
      <c r="G7">
        <v>1</v>
      </c>
      <c r="H7" t="s">
        <v>602</v>
      </c>
      <c r="I7" t="s">
        <v>603</v>
      </c>
      <c r="J7">
        <v>40</v>
      </c>
    </row>
    <row r="8" spans="1:11" x14ac:dyDescent="0.2">
      <c r="A8" t="s">
        <v>599</v>
      </c>
      <c r="B8">
        <v>1</v>
      </c>
      <c r="C8" t="s">
        <v>600</v>
      </c>
      <c r="D8">
        <v>8</v>
      </c>
      <c r="E8" t="s">
        <v>601</v>
      </c>
      <c r="F8" t="s">
        <v>600</v>
      </c>
      <c r="G8">
        <v>2</v>
      </c>
      <c r="H8" t="s">
        <v>604</v>
      </c>
      <c r="I8" t="s">
        <v>605</v>
      </c>
      <c r="J8">
        <v>40</v>
      </c>
    </row>
    <row r="9" spans="1:11" x14ac:dyDescent="0.2">
      <c r="A9" t="s">
        <v>599</v>
      </c>
      <c r="B9">
        <v>1</v>
      </c>
      <c r="C9" t="s">
        <v>600</v>
      </c>
      <c r="D9">
        <v>8</v>
      </c>
      <c r="E9" t="s">
        <v>601</v>
      </c>
      <c r="F9" t="s">
        <v>600</v>
      </c>
      <c r="G9">
        <v>3</v>
      </c>
      <c r="H9" t="s">
        <v>606</v>
      </c>
      <c r="I9" t="s">
        <v>607</v>
      </c>
      <c r="J9">
        <v>40</v>
      </c>
    </row>
    <row r="10" spans="1:11" x14ac:dyDescent="0.2">
      <c r="A10" t="s">
        <v>608</v>
      </c>
      <c r="B10">
        <v>1</v>
      </c>
      <c r="C10" t="s">
        <v>600</v>
      </c>
      <c r="D10">
        <v>9</v>
      </c>
      <c r="E10" t="s">
        <v>609</v>
      </c>
      <c r="F10" t="s">
        <v>600</v>
      </c>
      <c r="G10">
        <v>1</v>
      </c>
      <c r="H10" t="s">
        <v>602</v>
      </c>
      <c r="I10" t="s">
        <v>610</v>
      </c>
      <c r="J10">
        <v>36</v>
      </c>
    </row>
    <row r="11" spans="1:11" x14ac:dyDescent="0.2">
      <c r="A11" t="s">
        <v>608</v>
      </c>
      <c r="B11">
        <v>1</v>
      </c>
      <c r="C11" t="s">
        <v>600</v>
      </c>
      <c r="D11">
        <v>9</v>
      </c>
      <c r="E11" t="s">
        <v>609</v>
      </c>
      <c r="F11" t="s">
        <v>600</v>
      </c>
      <c r="G11">
        <v>2</v>
      </c>
      <c r="H11" t="s">
        <v>604</v>
      </c>
      <c r="I11" t="s">
        <v>611</v>
      </c>
      <c r="J11">
        <v>36</v>
      </c>
    </row>
    <row r="12" spans="1:11" x14ac:dyDescent="0.2">
      <c r="A12" t="s">
        <v>608</v>
      </c>
      <c r="B12">
        <v>1</v>
      </c>
      <c r="C12" t="s">
        <v>600</v>
      </c>
      <c r="D12">
        <v>9</v>
      </c>
      <c r="E12" t="s">
        <v>609</v>
      </c>
      <c r="F12" t="s">
        <v>600</v>
      </c>
      <c r="G12">
        <v>3</v>
      </c>
      <c r="H12" t="s">
        <v>606</v>
      </c>
      <c r="I12" t="s">
        <v>612</v>
      </c>
      <c r="J12">
        <v>36</v>
      </c>
    </row>
    <row r="13" spans="1:11" x14ac:dyDescent="0.2">
      <c r="A13" t="s">
        <v>613</v>
      </c>
      <c r="B13">
        <v>1</v>
      </c>
      <c r="C13" t="s">
        <v>600</v>
      </c>
      <c r="D13">
        <v>10</v>
      </c>
      <c r="E13" t="s">
        <v>614</v>
      </c>
      <c r="F13" t="s">
        <v>600</v>
      </c>
      <c r="G13">
        <v>1</v>
      </c>
      <c r="H13" t="s">
        <v>602</v>
      </c>
      <c r="I13" t="s">
        <v>615</v>
      </c>
      <c r="J13">
        <v>35</v>
      </c>
    </row>
    <row r="14" spans="1:11" x14ac:dyDescent="0.2">
      <c r="A14" t="s">
        <v>613</v>
      </c>
      <c r="B14">
        <v>1</v>
      </c>
      <c r="C14" t="s">
        <v>600</v>
      </c>
      <c r="D14">
        <v>10</v>
      </c>
      <c r="E14" t="s">
        <v>614</v>
      </c>
      <c r="F14" t="s">
        <v>600</v>
      </c>
      <c r="G14">
        <v>2</v>
      </c>
      <c r="H14" t="s">
        <v>604</v>
      </c>
      <c r="I14" t="s">
        <v>616</v>
      </c>
      <c r="J14">
        <v>35</v>
      </c>
    </row>
    <row r="15" spans="1:11" x14ac:dyDescent="0.2">
      <c r="A15" t="s">
        <v>613</v>
      </c>
      <c r="B15">
        <v>1</v>
      </c>
      <c r="C15" t="s">
        <v>600</v>
      </c>
      <c r="D15">
        <v>10</v>
      </c>
      <c r="E15" t="s">
        <v>614</v>
      </c>
      <c r="F15" t="s">
        <v>600</v>
      </c>
      <c r="G15">
        <v>3</v>
      </c>
      <c r="H15" t="s">
        <v>606</v>
      </c>
      <c r="I15" t="s">
        <v>617</v>
      </c>
      <c r="J15">
        <v>35</v>
      </c>
    </row>
    <row r="16" spans="1:11" x14ac:dyDescent="0.2">
      <c r="A16" t="s">
        <v>613</v>
      </c>
      <c r="B16">
        <v>1</v>
      </c>
      <c r="C16" t="s">
        <v>600</v>
      </c>
      <c r="D16">
        <v>10</v>
      </c>
      <c r="E16" t="s">
        <v>614</v>
      </c>
      <c r="F16" t="s">
        <v>600</v>
      </c>
      <c r="G16">
        <v>4</v>
      </c>
      <c r="H16" t="s">
        <v>618</v>
      </c>
      <c r="I16" t="s">
        <v>619</v>
      </c>
      <c r="J16">
        <v>35</v>
      </c>
    </row>
    <row r="17" spans="1:10" x14ac:dyDescent="0.2">
      <c r="A17" t="s">
        <v>620</v>
      </c>
      <c r="B17">
        <v>81</v>
      </c>
      <c r="C17" t="s">
        <v>600</v>
      </c>
      <c r="D17">
        <v>30</v>
      </c>
      <c r="E17" t="s">
        <v>621</v>
      </c>
      <c r="F17" t="s">
        <v>600</v>
      </c>
      <c r="G17">
        <v>1</v>
      </c>
      <c r="H17" t="s">
        <v>622</v>
      </c>
      <c r="I17" t="s">
        <v>623</v>
      </c>
      <c r="J17">
        <v>16</v>
      </c>
    </row>
    <row r="18" spans="1:10" x14ac:dyDescent="0.2">
      <c r="A18" t="s">
        <v>620</v>
      </c>
      <c r="B18">
        <v>81</v>
      </c>
      <c r="C18" t="s">
        <v>600</v>
      </c>
      <c r="D18">
        <v>30</v>
      </c>
      <c r="E18" t="s">
        <v>621</v>
      </c>
      <c r="F18" t="s">
        <v>600</v>
      </c>
      <c r="G18">
        <v>2</v>
      </c>
      <c r="H18" t="s">
        <v>624</v>
      </c>
      <c r="I18" t="s">
        <v>625</v>
      </c>
      <c r="J18">
        <v>16</v>
      </c>
    </row>
    <row r="19" spans="1:10" x14ac:dyDescent="0.2">
      <c r="A19" t="s">
        <v>620</v>
      </c>
      <c r="B19">
        <v>81</v>
      </c>
      <c r="C19" t="s">
        <v>600</v>
      </c>
      <c r="D19">
        <v>30</v>
      </c>
      <c r="E19" t="s">
        <v>621</v>
      </c>
      <c r="F19" t="s">
        <v>600</v>
      </c>
      <c r="G19">
        <v>3</v>
      </c>
      <c r="H19" t="s">
        <v>626</v>
      </c>
      <c r="I19" t="s">
        <v>627</v>
      </c>
      <c r="J19">
        <v>16</v>
      </c>
    </row>
    <row r="20" spans="1:10" x14ac:dyDescent="0.2">
      <c r="A20" t="s">
        <v>620</v>
      </c>
      <c r="B20">
        <v>81</v>
      </c>
      <c r="C20" t="s">
        <v>600</v>
      </c>
      <c r="D20">
        <v>30</v>
      </c>
      <c r="E20" t="s">
        <v>621</v>
      </c>
      <c r="F20" t="s">
        <v>600</v>
      </c>
      <c r="G20">
        <v>4</v>
      </c>
      <c r="H20" t="s">
        <v>628</v>
      </c>
      <c r="I20" t="s">
        <v>629</v>
      </c>
      <c r="J20">
        <v>16</v>
      </c>
    </row>
    <row r="21" spans="1:10" x14ac:dyDescent="0.2">
      <c r="A21" t="s">
        <v>630</v>
      </c>
      <c r="B21">
        <v>81</v>
      </c>
      <c r="C21" t="s">
        <v>600</v>
      </c>
      <c r="D21">
        <v>36</v>
      </c>
      <c r="E21" t="s">
        <v>631</v>
      </c>
      <c r="F21" t="s">
        <v>600</v>
      </c>
      <c r="G21">
        <v>1</v>
      </c>
      <c r="H21" t="s">
        <v>622</v>
      </c>
      <c r="I21" t="s">
        <v>632</v>
      </c>
      <c r="J21">
        <v>33</v>
      </c>
    </row>
    <row r="22" spans="1:10" x14ac:dyDescent="0.2">
      <c r="A22" t="s">
        <v>630</v>
      </c>
      <c r="B22">
        <v>81</v>
      </c>
      <c r="C22" t="s">
        <v>600</v>
      </c>
      <c r="D22">
        <v>36</v>
      </c>
      <c r="E22" t="s">
        <v>631</v>
      </c>
      <c r="F22" t="s">
        <v>600</v>
      </c>
      <c r="G22">
        <v>2</v>
      </c>
      <c r="H22" t="s">
        <v>624</v>
      </c>
      <c r="I22" t="s">
        <v>633</v>
      </c>
      <c r="J22">
        <v>33</v>
      </c>
    </row>
    <row r="23" spans="1:10" x14ac:dyDescent="0.2">
      <c r="A23" t="s">
        <v>630</v>
      </c>
      <c r="B23">
        <v>81</v>
      </c>
      <c r="C23" t="s">
        <v>600</v>
      </c>
      <c r="D23">
        <v>36</v>
      </c>
      <c r="E23" t="s">
        <v>631</v>
      </c>
      <c r="F23" t="s">
        <v>600</v>
      </c>
      <c r="G23">
        <v>3</v>
      </c>
      <c r="H23" t="s">
        <v>626</v>
      </c>
      <c r="I23" t="s">
        <v>634</v>
      </c>
      <c r="J23">
        <v>33</v>
      </c>
    </row>
    <row r="24" spans="1:10" x14ac:dyDescent="0.2">
      <c r="A24" t="s">
        <v>630</v>
      </c>
      <c r="B24">
        <v>81</v>
      </c>
      <c r="C24" t="s">
        <v>600</v>
      </c>
      <c r="D24">
        <v>36</v>
      </c>
      <c r="E24" t="s">
        <v>631</v>
      </c>
      <c r="F24" t="s">
        <v>600</v>
      </c>
      <c r="G24">
        <v>4</v>
      </c>
      <c r="H24" t="s">
        <v>628</v>
      </c>
      <c r="I24" t="s">
        <v>635</v>
      </c>
      <c r="J24">
        <v>33</v>
      </c>
    </row>
    <row r="25" spans="1:10" x14ac:dyDescent="0.2">
      <c r="A25" t="s">
        <v>630</v>
      </c>
      <c r="B25">
        <v>81</v>
      </c>
      <c r="C25" t="s">
        <v>600</v>
      </c>
      <c r="D25">
        <v>36</v>
      </c>
      <c r="E25" t="s">
        <v>631</v>
      </c>
      <c r="F25" t="s">
        <v>600</v>
      </c>
      <c r="G25">
        <v>5</v>
      </c>
      <c r="H25" t="s">
        <v>636</v>
      </c>
      <c r="I25" t="s">
        <v>637</v>
      </c>
      <c r="J25">
        <v>33</v>
      </c>
    </row>
    <row r="26" spans="1:10" x14ac:dyDescent="0.2">
      <c r="A26" t="s">
        <v>630</v>
      </c>
      <c r="B26">
        <v>81</v>
      </c>
      <c r="C26" t="s">
        <v>600</v>
      </c>
      <c r="D26">
        <v>36</v>
      </c>
      <c r="E26" t="s">
        <v>631</v>
      </c>
      <c r="F26" t="s">
        <v>600</v>
      </c>
      <c r="G26">
        <v>6</v>
      </c>
      <c r="H26" t="s">
        <v>638</v>
      </c>
      <c r="I26" t="s">
        <v>639</v>
      </c>
      <c r="J26">
        <v>33</v>
      </c>
    </row>
    <row r="27" spans="1:10" x14ac:dyDescent="0.2">
      <c r="A27" t="s">
        <v>630</v>
      </c>
      <c r="B27">
        <v>81</v>
      </c>
      <c r="C27" t="s">
        <v>600</v>
      </c>
      <c r="D27">
        <v>36</v>
      </c>
      <c r="E27" t="s">
        <v>631</v>
      </c>
      <c r="F27" t="s">
        <v>600</v>
      </c>
      <c r="G27">
        <v>7</v>
      </c>
      <c r="H27" t="s">
        <v>640</v>
      </c>
      <c r="I27" t="s">
        <v>641</v>
      </c>
      <c r="J27">
        <v>33</v>
      </c>
    </row>
    <row r="28" spans="1:10" x14ac:dyDescent="0.2">
      <c r="A28" t="s">
        <v>630</v>
      </c>
      <c r="B28">
        <v>81</v>
      </c>
      <c r="C28" t="s">
        <v>600</v>
      </c>
      <c r="D28">
        <v>36</v>
      </c>
      <c r="E28" t="s">
        <v>631</v>
      </c>
      <c r="F28" t="s">
        <v>600</v>
      </c>
      <c r="G28">
        <v>8</v>
      </c>
      <c r="H28" t="s">
        <v>642</v>
      </c>
      <c r="I28" t="s">
        <v>643</v>
      </c>
      <c r="J28">
        <v>33</v>
      </c>
    </row>
    <row r="29" spans="1:10" x14ac:dyDescent="0.2">
      <c r="A29" t="s">
        <v>644</v>
      </c>
      <c r="B29">
        <v>113</v>
      </c>
      <c r="C29" t="s">
        <v>588</v>
      </c>
      <c r="D29">
        <v>4</v>
      </c>
      <c r="E29" t="s">
        <v>645</v>
      </c>
      <c r="F29" t="s">
        <v>588</v>
      </c>
      <c r="G29">
        <v>4</v>
      </c>
      <c r="H29" t="s">
        <v>646</v>
      </c>
      <c r="I29" t="s">
        <v>593</v>
      </c>
      <c r="J29">
        <v>50</v>
      </c>
    </row>
    <row r="30" spans="1:10" x14ac:dyDescent="0.2">
      <c r="A30" t="s">
        <v>647</v>
      </c>
      <c r="B30">
        <v>15</v>
      </c>
      <c r="C30" t="s">
        <v>600</v>
      </c>
      <c r="D30">
        <v>73</v>
      </c>
      <c r="E30" t="s">
        <v>648</v>
      </c>
      <c r="F30" t="s">
        <v>600</v>
      </c>
      <c r="G30">
        <v>1</v>
      </c>
      <c r="H30" t="s">
        <v>602</v>
      </c>
      <c r="I30" t="s">
        <v>649</v>
      </c>
      <c r="J30">
        <v>12</v>
      </c>
    </row>
    <row r="31" spans="1:10" x14ac:dyDescent="0.2">
      <c r="A31" t="s">
        <v>647</v>
      </c>
      <c r="B31">
        <v>15</v>
      </c>
      <c r="C31" t="s">
        <v>600</v>
      </c>
      <c r="D31">
        <v>73</v>
      </c>
      <c r="E31" t="s">
        <v>648</v>
      </c>
      <c r="F31" t="s">
        <v>600</v>
      </c>
      <c r="G31">
        <v>2</v>
      </c>
      <c r="H31" t="s">
        <v>604</v>
      </c>
      <c r="I31" t="s">
        <v>650</v>
      </c>
      <c r="J31">
        <v>12</v>
      </c>
    </row>
    <row r="32" spans="1:10" x14ac:dyDescent="0.2">
      <c r="A32" t="s">
        <v>647</v>
      </c>
      <c r="B32">
        <v>15</v>
      </c>
      <c r="C32" t="s">
        <v>600</v>
      </c>
      <c r="D32">
        <v>73</v>
      </c>
      <c r="E32" t="s">
        <v>648</v>
      </c>
      <c r="F32" t="s">
        <v>600</v>
      </c>
      <c r="G32">
        <v>3</v>
      </c>
      <c r="H32" t="s">
        <v>606</v>
      </c>
      <c r="I32" t="s">
        <v>651</v>
      </c>
      <c r="J32">
        <v>12</v>
      </c>
    </row>
    <row r="33" spans="1:10" x14ac:dyDescent="0.2">
      <c r="A33" t="s">
        <v>647</v>
      </c>
      <c r="B33">
        <v>15</v>
      </c>
      <c r="C33" t="s">
        <v>600</v>
      </c>
      <c r="D33">
        <v>73</v>
      </c>
      <c r="E33" t="s">
        <v>648</v>
      </c>
      <c r="F33" t="s">
        <v>600</v>
      </c>
      <c r="G33">
        <v>4</v>
      </c>
      <c r="H33" t="s">
        <v>618</v>
      </c>
      <c r="I33" t="s">
        <v>652</v>
      </c>
      <c r="J33">
        <v>12</v>
      </c>
    </row>
    <row r="34" spans="1:10" x14ac:dyDescent="0.2">
      <c r="A34" t="s">
        <v>653</v>
      </c>
      <c r="B34">
        <v>37</v>
      </c>
      <c r="C34" t="s">
        <v>600</v>
      </c>
      <c r="D34">
        <v>43</v>
      </c>
      <c r="E34" t="s">
        <v>654</v>
      </c>
      <c r="F34" t="s">
        <v>600</v>
      </c>
      <c r="G34">
        <v>1</v>
      </c>
      <c r="H34" t="s">
        <v>602</v>
      </c>
      <c r="I34" t="s">
        <v>655</v>
      </c>
      <c r="J34">
        <v>20</v>
      </c>
    </row>
    <row r="35" spans="1:10" x14ac:dyDescent="0.2">
      <c r="A35" t="s">
        <v>653</v>
      </c>
      <c r="B35">
        <v>37</v>
      </c>
      <c r="C35" t="s">
        <v>600</v>
      </c>
      <c r="D35">
        <v>43</v>
      </c>
      <c r="E35" t="s">
        <v>654</v>
      </c>
      <c r="F35" t="s">
        <v>600</v>
      </c>
      <c r="G35">
        <v>2</v>
      </c>
      <c r="H35" t="s">
        <v>604</v>
      </c>
      <c r="I35" t="s">
        <v>656</v>
      </c>
      <c r="J35">
        <v>20</v>
      </c>
    </row>
    <row r="36" spans="1:10" x14ac:dyDescent="0.2">
      <c r="A36" t="s">
        <v>653</v>
      </c>
      <c r="B36">
        <v>37</v>
      </c>
      <c r="C36" t="s">
        <v>600</v>
      </c>
      <c r="D36">
        <v>43</v>
      </c>
      <c r="E36" t="s">
        <v>654</v>
      </c>
      <c r="F36" t="s">
        <v>600</v>
      </c>
      <c r="G36">
        <v>3</v>
      </c>
      <c r="H36" t="s">
        <v>606</v>
      </c>
      <c r="I36" t="s">
        <v>657</v>
      </c>
      <c r="J36">
        <v>20</v>
      </c>
    </row>
    <row r="37" spans="1:10" x14ac:dyDescent="0.2">
      <c r="A37" t="s">
        <v>658</v>
      </c>
      <c r="B37">
        <v>55</v>
      </c>
      <c r="C37">
        <v>7</v>
      </c>
      <c r="D37">
        <v>2</v>
      </c>
      <c r="E37" t="s">
        <v>659</v>
      </c>
      <c r="F37">
        <v>1</v>
      </c>
      <c r="G37">
        <v>2</v>
      </c>
      <c r="H37" t="s">
        <v>660</v>
      </c>
      <c r="I37" t="s">
        <v>661</v>
      </c>
      <c r="J37">
        <v>127</v>
      </c>
    </row>
    <row r="38" spans="1:10" x14ac:dyDescent="0.2">
      <c r="A38" t="s">
        <v>658</v>
      </c>
      <c r="B38">
        <v>55</v>
      </c>
      <c r="C38">
        <v>7</v>
      </c>
      <c r="D38">
        <v>2</v>
      </c>
      <c r="E38" t="s">
        <v>659</v>
      </c>
      <c r="F38">
        <v>2</v>
      </c>
      <c r="G38">
        <v>3</v>
      </c>
      <c r="H38" t="s">
        <v>662</v>
      </c>
      <c r="I38" t="s">
        <v>663</v>
      </c>
      <c r="J38">
        <v>118</v>
      </c>
    </row>
    <row r="39" spans="1:10" x14ac:dyDescent="0.2">
      <c r="A39" t="s">
        <v>664</v>
      </c>
      <c r="B39">
        <v>55</v>
      </c>
      <c r="C39" t="s">
        <v>588</v>
      </c>
      <c r="D39">
        <v>8</v>
      </c>
      <c r="E39" t="s">
        <v>665</v>
      </c>
      <c r="F39" t="s">
        <v>588</v>
      </c>
      <c r="G39">
        <v>49</v>
      </c>
      <c r="H39" t="s">
        <v>666</v>
      </c>
      <c r="I39" t="s">
        <v>667</v>
      </c>
      <c r="J39">
        <v>0</v>
      </c>
    </row>
    <row r="40" spans="1:10" x14ac:dyDescent="0.2">
      <c r="A40" t="s">
        <v>668</v>
      </c>
      <c r="B40">
        <v>111</v>
      </c>
      <c r="C40" t="s">
        <v>600</v>
      </c>
      <c r="D40">
        <v>24</v>
      </c>
      <c r="E40" t="s">
        <v>669</v>
      </c>
      <c r="F40" t="s">
        <v>600</v>
      </c>
      <c r="G40">
        <v>7</v>
      </c>
      <c r="H40" t="s">
        <v>670</v>
      </c>
      <c r="I40" t="s">
        <v>610</v>
      </c>
      <c r="J40">
        <v>30</v>
      </c>
    </row>
    <row r="41" spans="1:10" x14ac:dyDescent="0.2">
      <c r="A41" t="s">
        <v>668</v>
      </c>
      <c r="B41">
        <v>111</v>
      </c>
      <c r="C41" t="s">
        <v>600</v>
      </c>
      <c r="D41">
        <v>24</v>
      </c>
      <c r="E41" t="s">
        <v>669</v>
      </c>
      <c r="F41" t="s">
        <v>600</v>
      </c>
      <c r="G41">
        <v>8</v>
      </c>
      <c r="H41" t="s">
        <v>671</v>
      </c>
      <c r="I41" t="s">
        <v>611</v>
      </c>
      <c r="J41">
        <v>30</v>
      </c>
    </row>
    <row r="42" spans="1:10" x14ac:dyDescent="0.2">
      <c r="A42" t="s">
        <v>668</v>
      </c>
      <c r="B42">
        <v>111</v>
      </c>
      <c r="C42" t="s">
        <v>600</v>
      </c>
      <c r="D42">
        <v>24</v>
      </c>
      <c r="E42" t="s">
        <v>669</v>
      </c>
      <c r="F42" t="s">
        <v>600</v>
      </c>
      <c r="G42">
        <v>9</v>
      </c>
      <c r="H42" t="s">
        <v>672</v>
      </c>
      <c r="I42" t="s">
        <v>612</v>
      </c>
      <c r="J42">
        <v>30</v>
      </c>
    </row>
    <row r="43" spans="1:10" x14ac:dyDescent="0.2">
      <c r="A43" t="s">
        <v>668</v>
      </c>
      <c r="B43">
        <v>111</v>
      </c>
      <c r="C43" t="s">
        <v>600</v>
      </c>
      <c r="D43">
        <v>24</v>
      </c>
      <c r="E43" t="s">
        <v>669</v>
      </c>
      <c r="F43" t="s">
        <v>600</v>
      </c>
      <c r="G43">
        <v>10</v>
      </c>
      <c r="H43" t="s">
        <v>673</v>
      </c>
      <c r="I43" t="s">
        <v>674</v>
      </c>
      <c r="J43">
        <v>30</v>
      </c>
    </row>
    <row r="44" spans="1:10" x14ac:dyDescent="0.2">
      <c r="A44" t="s">
        <v>668</v>
      </c>
      <c r="B44">
        <v>111</v>
      </c>
      <c r="C44" t="s">
        <v>600</v>
      </c>
      <c r="D44">
        <v>24</v>
      </c>
      <c r="E44" t="s">
        <v>669</v>
      </c>
      <c r="F44" t="s">
        <v>600</v>
      </c>
      <c r="G44">
        <v>11</v>
      </c>
      <c r="H44" t="s">
        <v>675</v>
      </c>
      <c r="I44" t="s">
        <v>676</v>
      </c>
      <c r="J44">
        <v>30</v>
      </c>
    </row>
    <row r="45" spans="1:10" x14ac:dyDescent="0.2">
      <c r="A45" t="s">
        <v>668</v>
      </c>
      <c r="B45">
        <v>111</v>
      </c>
      <c r="C45" t="s">
        <v>600</v>
      </c>
      <c r="D45">
        <v>24</v>
      </c>
      <c r="E45" t="s">
        <v>669</v>
      </c>
      <c r="F45" t="s">
        <v>600</v>
      </c>
      <c r="G45">
        <v>12</v>
      </c>
      <c r="H45" t="s">
        <v>677</v>
      </c>
      <c r="I45" t="s">
        <v>678</v>
      </c>
      <c r="J45">
        <v>30</v>
      </c>
    </row>
    <row r="46" spans="1:10" x14ac:dyDescent="0.2">
      <c r="A46" t="s">
        <v>679</v>
      </c>
      <c r="B46">
        <v>121</v>
      </c>
      <c r="C46" t="s">
        <v>588</v>
      </c>
      <c r="D46">
        <v>6</v>
      </c>
      <c r="E46" t="s">
        <v>680</v>
      </c>
      <c r="F46" t="s">
        <v>588</v>
      </c>
      <c r="G46">
        <v>7</v>
      </c>
      <c r="H46" t="s">
        <v>681</v>
      </c>
      <c r="I46" t="s">
        <v>682</v>
      </c>
      <c r="J46">
        <v>57</v>
      </c>
    </row>
    <row r="47" spans="1:10" x14ac:dyDescent="0.2">
      <c r="A47" t="s">
        <v>679</v>
      </c>
      <c r="B47">
        <v>121</v>
      </c>
      <c r="C47" t="s">
        <v>588</v>
      </c>
      <c r="D47">
        <v>6</v>
      </c>
      <c r="E47" t="s">
        <v>680</v>
      </c>
      <c r="F47" t="s">
        <v>588</v>
      </c>
      <c r="G47">
        <v>8</v>
      </c>
      <c r="H47" t="s">
        <v>590</v>
      </c>
      <c r="I47" t="s">
        <v>683</v>
      </c>
      <c r="J47">
        <v>57</v>
      </c>
    </row>
    <row r="48" spans="1:10" x14ac:dyDescent="0.2">
      <c r="A48" t="s">
        <v>679</v>
      </c>
      <c r="B48">
        <v>121</v>
      </c>
      <c r="C48" t="s">
        <v>588</v>
      </c>
      <c r="D48">
        <v>6</v>
      </c>
      <c r="E48" t="s">
        <v>680</v>
      </c>
      <c r="F48" t="s">
        <v>588</v>
      </c>
      <c r="G48">
        <v>9</v>
      </c>
      <c r="H48" t="s">
        <v>684</v>
      </c>
      <c r="I48" t="s">
        <v>685</v>
      </c>
      <c r="J48">
        <v>57</v>
      </c>
    </row>
    <row r="49" spans="1:10" x14ac:dyDescent="0.2">
      <c r="A49" t="s">
        <v>679</v>
      </c>
      <c r="B49">
        <v>121</v>
      </c>
      <c r="C49" t="s">
        <v>588</v>
      </c>
      <c r="D49">
        <v>6</v>
      </c>
      <c r="E49" t="s">
        <v>680</v>
      </c>
      <c r="F49" t="s">
        <v>588</v>
      </c>
      <c r="G49">
        <v>10</v>
      </c>
      <c r="H49" t="s">
        <v>686</v>
      </c>
      <c r="I49" t="s">
        <v>687</v>
      </c>
      <c r="J49">
        <v>57</v>
      </c>
    </row>
    <row r="50" spans="1:10" x14ac:dyDescent="0.2">
      <c r="A50" t="s">
        <v>688</v>
      </c>
      <c r="B50">
        <v>123</v>
      </c>
      <c r="C50" t="s">
        <v>600</v>
      </c>
      <c r="D50">
        <v>19</v>
      </c>
      <c r="E50" t="s">
        <v>689</v>
      </c>
      <c r="F50" t="s">
        <v>600</v>
      </c>
      <c r="G50">
        <v>1</v>
      </c>
      <c r="H50" t="s">
        <v>602</v>
      </c>
      <c r="I50" t="s">
        <v>632</v>
      </c>
      <c r="J50">
        <v>39</v>
      </c>
    </row>
    <row r="51" spans="1:10" x14ac:dyDescent="0.2">
      <c r="A51" t="s">
        <v>688</v>
      </c>
      <c r="B51">
        <v>123</v>
      </c>
      <c r="C51" t="s">
        <v>600</v>
      </c>
      <c r="D51">
        <v>19</v>
      </c>
      <c r="E51" t="s">
        <v>689</v>
      </c>
      <c r="F51" t="s">
        <v>600</v>
      </c>
      <c r="G51">
        <v>2</v>
      </c>
      <c r="H51" t="s">
        <v>604</v>
      </c>
      <c r="I51" t="s">
        <v>690</v>
      </c>
      <c r="J51">
        <v>39</v>
      </c>
    </row>
    <row r="52" spans="1:10" x14ac:dyDescent="0.2">
      <c r="A52" t="s">
        <v>691</v>
      </c>
      <c r="B52">
        <v>123</v>
      </c>
      <c r="C52" t="s">
        <v>600</v>
      </c>
      <c r="D52">
        <v>20</v>
      </c>
      <c r="E52" t="s">
        <v>692</v>
      </c>
      <c r="F52" t="s">
        <v>600</v>
      </c>
      <c r="G52">
        <v>1</v>
      </c>
      <c r="H52" t="s">
        <v>602</v>
      </c>
      <c r="I52" t="s">
        <v>632</v>
      </c>
      <c r="J52">
        <v>37</v>
      </c>
    </row>
    <row r="53" spans="1:10" x14ac:dyDescent="0.2">
      <c r="A53" t="s">
        <v>691</v>
      </c>
      <c r="B53">
        <v>123</v>
      </c>
      <c r="C53" t="s">
        <v>600</v>
      </c>
      <c r="D53">
        <v>20</v>
      </c>
      <c r="E53" t="s">
        <v>692</v>
      </c>
      <c r="F53" t="s">
        <v>600</v>
      </c>
      <c r="G53">
        <v>2</v>
      </c>
      <c r="H53" t="s">
        <v>604</v>
      </c>
      <c r="I53" t="s">
        <v>690</v>
      </c>
      <c r="J53">
        <v>37</v>
      </c>
    </row>
    <row r="54" spans="1:10" x14ac:dyDescent="0.2">
      <c r="A54" t="s">
        <v>691</v>
      </c>
      <c r="B54">
        <v>123</v>
      </c>
      <c r="C54" t="s">
        <v>600</v>
      </c>
      <c r="D54">
        <v>20</v>
      </c>
      <c r="E54" t="s">
        <v>692</v>
      </c>
      <c r="F54" t="s">
        <v>600</v>
      </c>
      <c r="G54">
        <v>4</v>
      </c>
      <c r="H54" t="s">
        <v>693</v>
      </c>
      <c r="I54" t="s">
        <v>694</v>
      </c>
      <c r="J54">
        <v>12</v>
      </c>
    </row>
    <row r="55" spans="1:10" x14ac:dyDescent="0.2">
      <c r="A55" t="s">
        <v>691</v>
      </c>
      <c r="B55">
        <v>123</v>
      </c>
      <c r="C55" t="s">
        <v>600</v>
      </c>
      <c r="D55">
        <v>20</v>
      </c>
      <c r="E55" t="s">
        <v>692</v>
      </c>
      <c r="F55" t="s">
        <v>600</v>
      </c>
      <c r="G55">
        <v>5</v>
      </c>
      <c r="H55" t="s">
        <v>695</v>
      </c>
      <c r="I55" t="s">
        <v>696</v>
      </c>
      <c r="J55">
        <v>12</v>
      </c>
    </row>
    <row r="56" spans="1:10" x14ac:dyDescent="0.2">
      <c r="A56" t="s">
        <v>691</v>
      </c>
      <c r="B56">
        <v>123</v>
      </c>
      <c r="C56" t="s">
        <v>600</v>
      </c>
      <c r="D56">
        <v>20</v>
      </c>
      <c r="E56" t="s">
        <v>692</v>
      </c>
      <c r="F56" t="s">
        <v>600</v>
      </c>
      <c r="G56">
        <v>6</v>
      </c>
      <c r="H56" t="s">
        <v>697</v>
      </c>
      <c r="I56" t="s">
        <v>698</v>
      </c>
      <c r="J56">
        <v>12</v>
      </c>
    </row>
    <row r="57" spans="1:10" x14ac:dyDescent="0.2">
      <c r="A57" t="s">
        <v>691</v>
      </c>
      <c r="B57">
        <v>123</v>
      </c>
      <c r="C57" t="s">
        <v>600</v>
      </c>
      <c r="D57">
        <v>20</v>
      </c>
      <c r="E57" t="s">
        <v>692</v>
      </c>
      <c r="F57" t="s">
        <v>600</v>
      </c>
      <c r="G57">
        <v>7</v>
      </c>
      <c r="H57" t="s">
        <v>699</v>
      </c>
      <c r="I57" t="s">
        <v>700</v>
      </c>
      <c r="J57">
        <v>12</v>
      </c>
    </row>
    <row r="58" spans="1:10" x14ac:dyDescent="0.2">
      <c r="A58" t="s">
        <v>691</v>
      </c>
      <c r="B58">
        <v>123</v>
      </c>
      <c r="C58" t="s">
        <v>600</v>
      </c>
      <c r="D58">
        <v>20</v>
      </c>
      <c r="E58" t="s">
        <v>692</v>
      </c>
      <c r="F58" t="s">
        <v>600</v>
      </c>
      <c r="G58">
        <v>8</v>
      </c>
      <c r="H58" t="s">
        <v>701</v>
      </c>
      <c r="I58" t="s">
        <v>702</v>
      </c>
      <c r="J58">
        <v>12</v>
      </c>
    </row>
    <row r="59" spans="1:10" x14ac:dyDescent="0.2">
      <c r="A59" t="s">
        <v>691</v>
      </c>
      <c r="B59">
        <v>123</v>
      </c>
      <c r="C59" t="s">
        <v>600</v>
      </c>
      <c r="D59">
        <v>20</v>
      </c>
      <c r="E59" t="s">
        <v>692</v>
      </c>
      <c r="F59" t="s">
        <v>600</v>
      </c>
      <c r="G59">
        <v>9</v>
      </c>
      <c r="H59" t="s">
        <v>703</v>
      </c>
      <c r="I59" t="s">
        <v>704</v>
      </c>
      <c r="J59">
        <v>12</v>
      </c>
    </row>
    <row r="60" spans="1:10" x14ac:dyDescent="0.2">
      <c r="A60" t="s">
        <v>691</v>
      </c>
      <c r="B60">
        <v>123</v>
      </c>
      <c r="C60" t="s">
        <v>600</v>
      </c>
      <c r="D60">
        <v>20</v>
      </c>
      <c r="E60" t="s">
        <v>692</v>
      </c>
      <c r="F60" t="s">
        <v>600</v>
      </c>
      <c r="G60">
        <v>10</v>
      </c>
      <c r="H60" t="s">
        <v>705</v>
      </c>
      <c r="I60" t="s">
        <v>706</v>
      </c>
      <c r="J60">
        <v>12</v>
      </c>
    </row>
    <row r="61" spans="1:10" x14ac:dyDescent="0.2">
      <c r="A61" t="s">
        <v>691</v>
      </c>
      <c r="B61">
        <v>123</v>
      </c>
      <c r="C61" t="s">
        <v>600</v>
      </c>
      <c r="D61">
        <v>20</v>
      </c>
      <c r="E61" t="s">
        <v>692</v>
      </c>
      <c r="F61" t="s">
        <v>600</v>
      </c>
      <c r="G61">
        <v>11</v>
      </c>
      <c r="H61" t="s">
        <v>707</v>
      </c>
      <c r="I61" t="s">
        <v>708</v>
      </c>
      <c r="J61">
        <v>12</v>
      </c>
    </row>
    <row r="62" spans="1:10" x14ac:dyDescent="0.2">
      <c r="A62" t="s">
        <v>709</v>
      </c>
      <c r="B62">
        <v>9</v>
      </c>
      <c r="C62" t="s">
        <v>600</v>
      </c>
      <c r="D62">
        <v>10</v>
      </c>
      <c r="E62" t="s">
        <v>710</v>
      </c>
      <c r="F62" t="s">
        <v>600</v>
      </c>
      <c r="G62">
        <v>1</v>
      </c>
      <c r="H62" t="s">
        <v>602</v>
      </c>
      <c r="I62" t="s">
        <v>711</v>
      </c>
      <c r="J62">
        <v>35</v>
      </c>
    </row>
    <row r="63" spans="1:10" x14ac:dyDescent="0.2">
      <c r="A63" t="s">
        <v>709</v>
      </c>
      <c r="B63">
        <v>9</v>
      </c>
      <c r="C63" t="s">
        <v>600</v>
      </c>
      <c r="D63">
        <v>10</v>
      </c>
      <c r="E63" t="s">
        <v>710</v>
      </c>
      <c r="F63" t="s">
        <v>600</v>
      </c>
      <c r="G63">
        <v>2</v>
      </c>
      <c r="H63" t="s">
        <v>604</v>
      </c>
      <c r="I63" t="s">
        <v>712</v>
      </c>
      <c r="J63">
        <v>35</v>
      </c>
    </row>
    <row r="64" spans="1:10" x14ac:dyDescent="0.2">
      <c r="A64" t="s">
        <v>709</v>
      </c>
      <c r="B64">
        <v>9</v>
      </c>
      <c r="C64" t="s">
        <v>600</v>
      </c>
      <c r="D64">
        <v>10</v>
      </c>
      <c r="E64" t="s">
        <v>710</v>
      </c>
      <c r="F64" t="s">
        <v>600</v>
      </c>
      <c r="G64">
        <v>3</v>
      </c>
      <c r="H64" t="s">
        <v>606</v>
      </c>
      <c r="I64" t="s">
        <v>713</v>
      </c>
      <c r="J64">
        <v>35</v>
      </c>
    </row>
    <row r="65" spans="1:10" x14ac:dyDescent="0.2">
      <c r="A65" t="s">
        <v>714</v>
      </c>
      <c r="B65">
        <v>63</v>
      </c>
      <c r="C65">
        <v>10</v>
      </c>
      <c r="D65">
        <v>1</v>
      </c>
      <c r="E65" t="s">
        <v>715</v>
      </c>
      <c r="F65">
        <v>1</v>
      </c>
      <c r="G65">
        <v>2</v>
      </c>
      <c r="H65" t="s">
        <v>660</v>
      </c>
      <c r="I65" t="s">
        <v>661</v>
      </c>
      <c r="J65">
        <v>625</v>
      </c>
    </row>
    <row r="66" spans="1:10" x14ac:dyDescent="0.2">
      <c r="A66" t="s">
        <v>714</v>
      </c>
      <c r="B66">
        <v>63</v>
      </c>
      <c r="C66">
        <v>10</v>
      </c>
      <c r="D66">
        <v>1</v>
      </c>
      <c r="E66" t="s">
        <v>715</v>
      </c>
      <c r="F66">
        <v>2</v>
      </c>
      <c r="G66">
        <v>3</v>
      </c>
      <c r="H66" t="s">
        <v>662</v>
      </c>
      <c r="I66" t="s">
        <v>663</v>
      </c>
      <c r="J66">
        <v>614</v>
      </c>
    </row>
    <row r="67" spans="1:10" x14ac:dyDescent="0.2">
      <c r="A67" t="s">
        <v>714</v>
      </c>
      <c r="B67">
        <v>63</v>
      </c>
      <c r="C67">
        <v>10</v>
      </c>
      <c r="D67">
        <v>1</v>
      </c>
      <c r="E67" t="s">
        <v>715</v>
      </c>
      <c r="F67" t="s">
        <v>716</v>
      </c>
      <c r="G67">
        <v>4</v>
      </c>
      <c r="H67" t="s">
        <v>717</v>
      </c>
      <c r="I67" t="s">
        <v>718</v>
      </c>
      <c r="J67">
        <v>41</v>
      </c>
    </row>
    <row r="68" spans="1:10" x14ac:dyDescent="0.2">
      <c r="A68" t="s">
        <v>714</v>
      </c>
      <c r="B68">
        <v>63</v>
      </c>
      <c r="C68">
        <v>10</v>
      </c>
      <c r="D68">
        <v>1</v>
      </c>
      <c r="E68" t="s">
        <v>715</v>
      </c>
      <c r="F68" t="s">
        <v>719</v>
      </c>
      <c r="G68">
        <v>5</v>
      </c>
      <c r="H68" t="s">
        <v>720</v>
      </c>
      <c r="I68" t="s">
        <v>721</v>
      </c>
      <c r="J68">
        <v>42</v>
      </c>
    </row>
    <row r="69" spans="1:10" x14ac:dyDescent="0.2">
      <c r="A69" t="s">
        <v>714</v>
      </c>
      <c r="B69">
        <v>63</v>
      </c>
      <c r="C69">
        <v>10</v>
      </c>
      <c r="D69">
        <v>1</v>
      </c>
      <c r="E69" t="s">
        <v>715</v>
      </c>
      <c r="F69" t="s">
        <v>722</v>
      </c>
      <c r="G69">
        <v>6</v>
      </c>
      <c r="H69" t="s">
        <v>723</v>
      </c>
      <c r="I69" t="s">
        <v>724</v>
      </c>
      <c r="J69">
        <v>41</v>
      </c>
    </row>
    <row r="70" spans="1:10" x14ac:dyDescent="0.2">
      <c r="A70" t="s">
        <v>714</v>
      </c>
      <c r="B70">
        <v>63</v>
      </c>
      <c r="C70">
        <v>10</v>
      </c>
      <c r="D70">
        <v>1</v>
      </c>
      <c r="E70" t="s">
        <v>715</v>
      </c>
      <c r="F70" t="s">
        <v>725</v>
      </c>
      <c r="G70">
        <v>7</v>
      </c>
      <c r="H70" t="s">
        <v>726</v>
      </c>
      <c r="I70" t="s">
        <v>727</v>
      </c>
      <c r="J70">
        <v>43</v>
      </c>
    </row>
    <row r="71" spans="1:10" x14ac:dyDescent="0.2">
      <c r="A71" t="s">
        <v>714</v>
      </c>
      <c r="B71">
        <v>63</v>
      </c>
      <c r="C71">
        <v>10</v>
      </c>
      <c r="D71">
        <v>1</v>
      </c>
      <c r="E71" t="s">
        <v>715</v>
      </c>
      <c r="F71" t="s">
        <v>728</v>
      </c>
      <c r="G71">
        <v>8</v>
      </c>
      <c r="H71" t="s">
        <v>729</v>
      </c>
      <c r="I71" t="s">
        <v>730</v>
      </c>
      <c r="J71">
        <v>43</v>
      </c>
    </row>
    <row r="72" spans="1:10" x14ac:dyDescent="0.2">
      <c r="A72" t="s">
        <v>714</v>
      </c>
      <c r="B72">
        <v>63</v>
      </c>
      <c r="C72">
        <v>10</v>
      </c>
      <c r="D72">
        <v>1</v>
      </c>
      <c r="E72" t="s">
        <v>715</v>
      </c>
      <c r="F72" t="s">
        <v>731</v>
      </c>
      <c r="G72">
        <v>9</v>
      </c>
      <c r="H72" t="s">
        <v>646</v>
      </c>
      <c r="I72" t="s">
        <v>732</v>
      </c>
      <c r="J72">
        <v>43</v>
      </c>
    </row>
    <row r="73" spans="1:10" x14ac:dyDescent="0.2">
      <c r="A73" t="s">
        <v>714</v>
      </c>
      <c r="B73">
        <v>63</v>
      </c>
      <c r="C73">
        <v>10</v>
      </c>
      <c r="D73">
        <v>1</v>
      </c>
      <c r="E73" t="s">
        <v>715</v>
      </c>
      <c r="F73" t="s">
        <v>733</v>
      </c>
      <c r="G73">
        <v>10</v>
      </c>
      <c r="H73" t="s">
        <v>734</v>
      </c>
      <c r="I73" t="s">
        <v>735</v>
      </c>
      <c r="J73">
        <v>44</v>
      </c>
    </row>
    <row r="74" spans="1:10" x14ac:dyDescent="0.2">
      <c r="A74" t="s">
        <v>714</v>
      </c>
      <c r="B74">
        <v>63</v>
      </c>
      <c r="C74">
        <v>10</v>
      </c>
      <c r="D74">
        <v>1</v>
      </c>
      <c r="E74" t="s">
        <v>715</v>
      </c>
      <c r="F74" t="s">
        <v>736</v>
      </c>
      <c r="G74">
        <v>11</v>
      </c>
      <c r="H74" t="s">
        <v>737</v>
      </c>
      <c r="I74" t="s">
        <v>738</v>
      </c>
      <c r="J74">
        <v>43</v>
      </c>
    </row>
    <row r="75" spans="1:10" x14ac:dyDescent="0.2">
      <c r="A75" t="s">
        <v>714</v>
      </c>
      <c r="B75">
        <v>63</v>
      </c>
      <c r="C75">
        <v>10</v>
      </c>
      <c r="D75">
        <v>1</v>
      </c>
      <c r="E75" t="s">
        <v>715</v>
      </c>
      <c r="F75" t="s">
        <v>739</v>
      </c>
      <c r="G75">
        <v>12</v>
      </c>
      <c r="H75" t="s">
        <v>740</v>
      </c>
      <c r="I75" t="s">
        <v>741</v>
      </c>
      <c r="J75">
        <v>41</v>
      </c>
    </row>
    <row r="76" spans="1:10" x14ac:dyDescent="0.2">
      <c r="A76" t="s">
        <v>742</v>
      </c>
      <c r="B76">
        <v>73</v>
      </c>
      <c r="C76">
        <v>6002</v>
      </c>
      <c r="D76">
        <v>11</v>
      </c>
      <c r="E76" t="s">
        <v>743</v>
      </c>
      <c r="F76">
        <v>1</v>
      </c>
      <c r="G76">
        <v>101</v>
      </c>
      <c r="H76">
        <v>101</v>
      </c>
      <c r="I76" t="s">
        <v>744</v>
      </c>
      <c r="J76" s="2">
        <v>1653</v>
      </c>
    </row>
    <row r="77" spans="1:10" x14ac:dyDescent="0.2">
      <c r="A77" t="s">
        <v>742</v>
      </c>
      <c r="B77">
        <v>73</v>
      </c>
      <c r="C77">
        <v>6002</v>
      </c>
      <c r="D77">
        <v>11</v>
      </c>
      <c r="E77" t="s">
        <v>743</v>
      </c>
      <c r="F77">
        <v>2</v>
      </c>
      <c r="G77">
        <v>102</v>
      </c>
      <c r="H77">
        <v>102</v>
      </c>
      <c r="I77" t="s">
        <v>745</v>
      </c>
      <c r="J77" s="2">
        <v>1793</v>
      </c>
    </row>
    <row r="78" spans="1:10" x14ac:dyDescent="0.2">
      <c r="A78" t="s">
        <v>742</v>
      </c>
      <c r="B78">
        <v>73</v>
      </c>
      <c r="C78">
        <v>6002</v>
      </c>
      <c r="D78">
        <v>11</v>
      </c>
      <c r="E78" t="s">
        <v>743</v>
      </c>
      <c r="F78">
        <v>3</v>
      </c>
      <c r="G78">
        <v>103</v>
      </c>
      <c r="H78">
        <v>103</v>
      </c>
      <c r="I78" t="s">
        <v>746</v>
      </c>
      <c r="J78" s="2">
        <v>1650</v>
      </c>
    </row>
    <row r="79" spans="1:10" x14ac:dyDescent="0.2">
      <c r="A79" t="s">
        <v>742</v>
      </c>
      <c r="B79">
        <v>73</v>
      </c>
      <c r="C79">
        <v>6002</v>
      </c>
      <c r="D79">
        <v>11</v>
      </c>
      <c r="E79" t="s">
        <v>743</v>
      </c>
      <c r="F79">
        <v>4</v>
      </c>
      <c r="G79">
        <v>104</v>
      </c>
      <c r="H79">
        <v>104</v>
      </c>
      <c r="I79" t="s">
        <v>747</v>
      </c>
      <c r="J79" s="2">
        <v>1819</v>
      </c>
    </row>
    <row r="80" spans="1:10" x14ac:dyDescent="0.2">
      <c r="A80" t="s">
        <v>748</v>
      </c>
      <c r="B80">
        <v>73</v>
      </c>
      <c r="C80" t="s">
        <v>588</v>
      </c>
      <c r="D80">
        <v>370</v>
      </c>
      <c r="E80" t="s">
        <v>749</v>
      </c>
      <c r="F80" t="s">
        <v>588</v>
      </c>
      <c r="G80" t="s">
        <v>600</v>
      </c>
      <c r="H80">
        <v>206</v>
      </c>
      <c r="I80" t="s">
        <v>750</v>
      </c>
      <c r="J80">
        <v>6</v>
      </c>
    </row>
    <row r="81" spans="1:10" x14ac:dyDescent="0.2">
      <c r="A81" t="s">
        <v>748</v>
      </c>
      <c r="B81">
        <v>73</v>
      </c>
      <c r="C81" t="s">
        <v>588</v>
      </c>
      <c r="D81">
        <v>370</v>
      </c>
      <c r="E81" t="s">
        <v>749</v>
      </c>
      <c r="F81" t="s">
        <v>588</v>
      </c>
      <c r="G81" t="s">
        <v>600</v>
      </c>
      <c r="H81">
        <v>208</v>
      </c>
      <c r="I81" t="s">
        <v>751</v>
      </c>
      <c r="J81">
        <v>29</v>
      </c>
    </row>
    <row r="82" spans="1:10" x14ac:dyDescent="0.2">
      <c r="A82" t="s">
        <v>748</v>
      </c>
      <c r="B82">
        <v>73</v>
      </c>
      <c r="C82" t="s">
        <v>588</v>
      </c>
      <c r="D82">
        <v>370</v>
      </c>
      <c r="E82" t="s">
        <v>749</v>
      </c>
      <c r="F82" t="s">
        <v>588</v>
      </c>
      <c r="G82" t="s">
        <v>600</v>
      </c>
      <c r="H82">
        <v>209</v>
      </c>
      <c r="I82" t="s">
        <v>752</v>
      </c>
      <c r="J82">
        <v>157</v>
      </c>
    </row>
    <row r="83" spans="1:10" x14ac:dyDescent="0.2">
      <c r="A83" t="s">
        <v>748</v>
      </c>
      <c r="B83">
        <v>73</v>
      </c>
      <c r="C83" t="s">
        <v>588</v>
      </c>
      <c r="D83">
        <v>370</v>
      </c>
      <c r="E83" t="s">
        <v>749</v>
      </c>
      <c r="F83" t="s">
        <v>588</v>
      </c>
      <c r="G83" t="s">
        <v>600</v>
      </c>
      <c r="H83">
        <v>210</v>
      </c>
      <c r="I83" t="s">
        <v>753</v>
      </c>
      <c r="J83">
        <v>155</v>
      </c>
    </row>
    <row r="84" spans="1:10" x14ac:dyDescent="0.2">
      <c r="A84" t="s">
        <v>754</v>
      </c>
      <c r="B84">
        <v>117</v>
      </c>
      <c r="C84">
        <v>26</v>
      </c>
      <c r="D84">
        <v>5</v>
      </c>
      <c r="E84" t="s">
        <v>755</v>
      </c>
      <c r="F84">
        <v>1</v>
      </c>
      <c r="G84">
        <v>2</v>
      </c>
      <c r="H84" t="s">
        <v>660</v>
      </c>
      <c r="I84" t="s">
        <v>756</v>
      </c>
      <c r="J84">
        <v>545</v>
      </c>
    </row>
    <row r="85" spans="1:10" x14ac:dyDescent="0.2">
      <c r="A85" t="s">
        <v>754</v>
      </c>
      <c r="B85">
        <v>117</v>
      </c>
      <c r="C85">
        <v>26</v>
      </c>
      <c r="D85">
        <v>5</v>
      </c>
      <c r="E85" t="s">
        <v>755</v>
      </c>
      <c r="F85">
        <v>2</v>
      </c>
      <c r="G85">
        <v>3</v>
      </c>
      <c r="H85" t="s">
        <v>662</v>
      </c>
      <c r="I85" t="s">
        <v>757</v>
      </c>
      <c r="J85">
        <v>483</v>
      </c>
    </row>
    <row r="86" spans="1:10" x14ac:dyDescent="0.2">
      <c r="A86" t="s">
        <v>754</v>
      </c>
      <c r="B86">
        <v>117</v>
      </c>
      <c r="C86">
        <v>26</v>
      </c>
      <c r="D86">
        <v>5</v>
      </c>
      <c r="E86" t="s">
        <v>755</v>
      </c>
      <c r="F86">
        <v>3</v>
      </c>
      <c r="G86">
        <v>4</v>
      </c>
      <c r="H86" t="s">
        <v>717</v>
      </c>
      <c r="I86" t="s">
        <v>758</v>
      </c>
      <c r="J86">
        <v>614</v>
      </c>
    </row>
    <row r="87" spans="1:10" x14ac:dyDescent="0.2">
      <c r="A87" t="s">
        <v>754</v>
      </c>
      <c r="B87">
        <v>117</v>
      </c>
      <c r="C87">
        <v>26</v>
      </c>
      <c r="D87">
        <v>5</v>
      </c>
      <c r="E87" t="s">
        <v>755</v>
      </c>
      <c r="F87">
        <v>4</v>
      </c>
      <c r="G87">
        <v>5</v>
      </c>
      <c r="H87" t="s">
        <v>720</v>
      </c>
      <c r="I87" t="s">
        <v>759</v>
      </c>
      <c r="J87">
        <v>569</v>
      </c>
    </row>
    <row r="88" spans="1:10" x14ac:dyDescent="0.2">
      <c r="A88" t="s">
        <v>754</v>
      </c>
      <c r="B88">
        <v>117</v>
      </c>
      <c r="C88">
        <v>26</v>
      </c>
      <c r="D88">
        <v>5</v>
      </c>
      <c r="E88" t="s">
        <v>755</v>
      </c>
      <c r="F88">
        <v>5</v>
      </c>
      <c r="G88">
        <v>6</v>
      </c>
      <c r="H88" t="s">
        <v>723</v>
      </c>
      <c r="I88" t="s">
        <v>760</v>
      </c>
      <c r="J88" s="2">
        <v>1876</v>
      </c>
    </row>
    <row r="89" spans="1:10" x14ac:dyDescent="0.2">
      <c r="A89" t="s">
        <v>761</v>
      </c>
      <c r="B89">
        <v>127</v>
      </c>
      <c r="C89">
        <v>8</v>
      </c>
      <c r="D89">
        <v>1</v>
      </c>
      <c r="E89" t="s">
        <v>762</v>
      </c>
      <c r="F89">
        <v>6</v>
      </c>
      <c r="G89">
        <v>4</v>
      </c>
      <c r="H89" t="s">
        <v>729</v>
      </c>
      <c r="I89" t="s">
        <v>763</v>
      </c>
      <c r="J89">
        <v>275</v>
      </c>
    </row>
    <row r="90" spans="1:10" x14ac:dyDescent="0.2">
      <c r="A90" t="s">
        <v>761</v>
      </c>
      <c r="B90">
        <v>127</v>
      </c>
      <c r="C90">
        <v>8</v>
      </c>
      <c r="D90">
        <v>1</v>
      </c>
      <c r="E90" t="s">
        <v>762</v>
      </c>
      <c r="F90">
        <v>7</v>
      </c>
      <c r="G90">
        <v>5</v>
      </c>
      <c r="H90" t="s">
        <v>646</v>
      </c>
      <c r="I90" t="s">
        <v>764</v>
      </c>
      <c r="J90">
        <v>409</v>
      </c>
    </row>
    <row r="91" spans="1:10" x14ac:dyDescent="0.2">
      <c r="A91" t="s">
        <v>761</v>
      </c>
      <c r="B91">
        <v>127</v>
      </c>
      <c r="C91">
        <v>8</v>
      </c>
      <c r="D91">
        <v>1</v>
      </c>
      <c r="E91" t="s">
        <v>762</v>
      </c>
      <c r="F91">
        <v>8</v>
      </c>
      <c r="G91">
        <v>6</v>
      </c>
      <c r="H91" t="s">
        <v>734</v>
      </c>
      <c r="I91" t="s">
        <v>765</v>
      </c>
      <c r="J91">
        <v>418</v>
      </c>
    </row>
    <row r="92" spans="1:10" x14ac:dyDescent="0.2">
      <c r="A92" t="s">
        <v>761</v>
      </c>
      <c r="B92">
        <v>127</v>
      </c>
      <c r="C92">
        <v>8</v>
      </c>
      <c r="D92">
        <v>1</v>
      </c>
      <c r="E92" t="s">
        <v>762</v>
      </c>
      <c r="F92">
        <v>9</v>
      </c>
      <c r="G92">
        <v>7</v>
      </c>
      <c r="H92" t="s">
        <v>737</v>
      </c>
      <c r="I92" t="s">
        <v>766</v>
      </c>
      <c r="J92" s="2">
        <v>1546</v>
      </c>
    </row>
    <row r="93" spans="1:10" x14ac:dyDescent="0.2">
      <c r="A93" t="s">
        <v>761</v>
      </c>
      <c r="B93">
        <v>127</v>
      </c>
      <c r="C93">
        <v>8</v>
      </c>
      <c r="D93">
        <v>1</v>
      </c>
      <c r="E93" t="s">
        <v>762</v>
      </c>
      <c r="F93">
        <v>10</v>
      </c>
      <c r="G93">
        <v>8</v>
      </c>
      <c r="H93" t="s">
        <v>726</v>
      </c>
      <c r="I93" t="s">
        <v>767</v>
      </c>
      <c r="J93">
        <v>272</v>
      </c>
    </row>
    <row r="94" spans="1:10" x14ac:dyDescent="0.2">
      <c r="A94" t="s">
        <v>768</v>
      </c>
      <c r="B94">
        <v>127</v>
      </c>
      <c r="C94" t="s">
        <v>600</v>
      </c>
      <c r="D94">
        <v>14</v>
      </c>
      <c r="E94" t="s">
        <v>769</v>
      </c>
      <c r="F94" t="s">
        <v>600</v>
      </c>
      <c r="G94">
        <v>1</v>
      </c>
      <c r="H94" t="s">
        <v>602</v>
      </c>
      <c r="I94" t="s">
        <v>603</v>
      </c>
      <c r="J94">
        <v>32</v>
      </c>
    </row>
    <row r="95" spans="1:10" x14ac:dyDescent="0.2">
      <c r="A95" t="s">
        <v>768</v>
      </c>
      <c r="B95">
        <v>127</v>
      </c>
      <c r="C95" t="s">
        <v>600</v>
      </c>
      <c r="D95">
        <v>14</v>
      </c>
      <c r="E95" t="s">
        <v>769</v>
      </c>
      <c r="F95" t="s">
        <v>600</v>
      </c>
      <c r="G95">
        <v>2</v>
      </c>
      <c r="H95" t="s">
        <v>604</v>
      </c>
      <c r="I95" t="s">
        <v>605</v>
      </c>
      <c r="J95">
        <v>32</v>
      </c>
    </row>
    <row r="96" spans="1:10" x14ac:dyDescent="0.2">
      <c r="A96" t="s">
        <v>768</v>
      </c>
      <c r="B96">
        <v>127</v>
      </c>
      <c r="C96" t="s">
        <v>600</v>
      </c>
      <c r="D96">
        <v>14</v>
      </c>
      <c r="E96" t="s">
        <v>769</v>
      </c>
      <c r="F96" t="s">
        <v>600</v>
      </c>
      <c r="G96">
        <v>3</v>
      </c>
      <c r="H96" t="s">
        <v>606</v>
      </c>
      <c r="I96" t="s">
        <v>607</v>
      </c>
      <c r="J96">
        <v>32</v>
      </c>
    </row>
    <row r="97" spans="1:10" x14ac:dyDescent="0.2">
      <c r="A97" t="s">
        <v>768</v>
      </c>
      <c r="B97">
        <v>127</v>
      </c>
      <c r="C97" t="s">
        <v>600</v>
      </c>
      <c r="D97">
        <v>14</v>
      </c>
      <c r="E97" t="s">
        <v>769</v>
      </c>
      <c r="F97" t="s">
        <v>600</v>
      </c>
      <c r="G97">
        <v>4</v>
      </c>
      <c r="H97" t="s">
        <v>618</v>
      </c>
      <c r="I97" t="s">
        <v>770</v>
      </c>
      <c r="J97">
        <v>32</v>
      </c>
    </row>
    <row r="98" spans="1:10" x14ac:dyDescent="0.2">
      <c r="A98" t="s">
        <v>771</v>
      </c>
      <c r="B98">
        <v>33</v>
      </c>
      <c r="C98">
        <v>47</v>
      </c>
      <c r="D98">
        <v>10</v>
      </c>
      <c r="E98" t="s">
        <v>772</v>
      </c>
      <c r="F98" t="s">
        <v>773</v>
      </c>
      <c r="G98">
        <v>2</v>
      </c>
      <c r="H98" t="s">
        <v>660</v>
      </c>
      <c r="I98" t="s">
        <v>774</v>
      </c>
      <c r="J98">
        <v>43</v>
      </c>
    </row>
    <row r="99" spans="1:10" x14ac:dyDescent="0.2">
      <c r="A99" t="s">
        <v>771</v>
      </c>
      <c r="B99">
        <v>33</v>
      </c>
      <c r="C99">
        <v>47</v>
      </c>
      <c r="D99">
        <v>10</v>
      </c>
      <c r="E99" t="s">
        <v>772</v>
      </c>
      <c r="F99" t="s">
        <v>716</v>
      </c>
      <c r="G99">
        <v>3</v>
      </c>
      <c r="H99" t="s">
        <v>662</v>
      </c>
      <c r="I99" t="s">
        <v>775</v>
      </c>
      <c r="J99">
        <v>43</v>
      </c>
    </row>
    <row r="100" spans="1:10" x14ac:dyDescent="0.2">
      <c r="A100" t="s">
        <v>771</v>
      </c>
      <c r="B100">
        <v>33</v>
      </c>
      <c r="C100">
        <v>47</v>
      </c>
      <c r="D100">
        <v>10</v>
      </c>
      <c r="E100" t="s">
        <v>772</v>
      </c>
      <c r="F100" t="s">
        <v>719</v>
      </c>
      <c r="G100">
        <v>4</v>
      </c>
      <c r="H100" t="s">
        <v>717</v>
      </c>
      <c r="I100" t="s">
        <v>776</v>
      </c>
      <c r="J100">
        <v>43</v>
      </c>
    </row>
    <row r="101" spans="1:10" x14ac:dyDescent="0.2">
      <c r="A101" t="s">
        <v>771</v>
      </c>
      <c r="B101">
        <v>33</v>
      </c>
      <c r="C101">
        <v>47</v>
      </c>
      <c r="D101">
        <v>10</v>
      </c>
      <c r="E101" t="s">
        <v>772</v>
      </c>
      <c r="F101" t="s">
        <v>722</v>
      </c>
      <c r="G101">
        <v>5</v>
      </c>
      <c r="H101" t="s">
        <v>720</v>
      </c>
      <c r="I101" t="s">
        <v>777</v>
      </c>
      <c r="J101">
        <v>43</v>
      </c>
    </row>
    <row r="102" spans="1:10" x14ac:dyDescent="0.2">
      <c r="A102" t="s">
        <v>771</v>
      </c>
      <c r="B102">
        <v>33</v>
      </c>
      <c r="C102">
        <v>47</v>
      </c>
      <c r="D102">
        <v>10</v>
      </c>
      <c r="E102" t="s">
        <v>772</v>
      </c>
      <c r="F102" t="s">
        <v>725</v>
      </c>
      <c r="G102">
        <v>6</v>
      </c>
      <c r="H102" t="s">
        <v>723</v>
      </c>
      <c r="I102" t="s">
        <v>778</v>
      </c>
      <c r="J102">
        <v>43</v>
      </c>
    </row>
    <row r="103" spans="1:10" x14ac:dyDescent="0.2">
      <c r="A103" t="s">
        <v>771</v>
      </c>
      <c r="B103">
        <v>33</v>
      </c>
      <c r="C103">
        <v>47</v>
      </c>
      <c r="D103">
        <v>10</v>
      </c>
      <c r="E103" t="s">
        <v>772</v>
      </c>
      <c r="F103" t="s">
        <v>728</v>
      </c>
      <c r="G103">
        <v>7</v>
      </c>
      <c r="H103" t="s">
        <v>726</v>
      </c>
      <c r="I103" t="s">
        <v>779</v>
      </c>
      <c r="J103">
        <v>43</v>
      </c>
    </row>
    <row r="104" spans="1:10" x14ac:dyDescent="0.2">
      <c r="A104" t="s">
        <v>771</v>
      </c>
      <c r="B104">
        <v>33</v>
      </c>
      <c r="C104">
        <v>47</v>
      </c>
      <c r="D104">
        <v>10</v>
      </c>
      <c r="E104" t="s">
        <v>772</v>
      </c>
      <c r="F104" t="s">
        <v>731</v>
      </c>
      <c r="G104">
        <v>8</v>
      </c>
      <c r="H104" t="s">
        <v>729</v>
      </c>
      <c r="I104" t="s">
        <v>780</v>
      </c>
      <c r="J104">
        <v>43</v>
      </c>
    </row>
    <row r="105" spans="1:10" x14ac:dyDescent="0.2">
      <c r="A105" t="s">
        <v>771</v>
      </c>
      <c r="B105">
        <v>33</v>
      </c>
      <c r="C105">
        <v>47</v>
      </c>
      <c r="D105">
        <v>10</v>
      </c>
      <c r="E105" t="s">
        <v>772</v>
      </c>
      <c r="F105" t="s">
        <v>733</v>
      </c>
      <c r="G105">
        <v>9</v>
      </c>
      <c r="H105" t="s">
        <v>646</v>
      </c>
      <c r="I105" t="s">
        <v>781</v>
      </c>
      <c r="J105">
        <v>43</v>
      </c>
    </row>
    <row r="106" spans="1:10" x14ac:dyDescent="0.2">
      <c r="A106" t="s">
        <v>771</v>
      </c>
      <c r="B106">
        <v>33</v>
      </c>
      <c r="C106">
        <v>47</v>
      </c>
      <c r="D106">
        <v>10</v>
      </c>
      <c r="E106" t="s">
        <v>772</v>
      </c>
      <c r="F106">
        <v>1</v>
      </c>
      <c r="G106">
        <v>10</v>
      </c>
      <c r="H106" t="s">
        <v>782</v>
      </c>
      <c r="I106" t="s">
        <v>783</v>
      </c>
      <c r="J106">
        <v>418</v>
      </c>
    </row>
    <row r="107" spans="1:10" x14ac:dyDescent="0.2">
      <c r="A107" t="s">
        <v>771</v>
      </c>
      <c r="B107">
        <v>33</v>
      </c>
      <c r="C107">
        <v>47</v>
      </c>
      <c r="D107">
        <v>10</v>
      </c>
      <c r="E107" t="s">
        <v>772</v>
      </c>
      <c r="F107">
        <v>2</v>
      </c>
      <c r="G107">
        <v>11</v>
      </c>
      <c r="H107" t="s">
        <v>784</v>
      </c>
      <c r="I107" t="s">
        <v>785</v>
      </c>
      <c r="J107">
        <v>385</v>
      </c>
    </row>
    <row r="108" spans="1:10" x14ac:dyDescent="0.2">
      <c r="A108" t="s">
        <v>771</v>
      </c>
      <c r="B108">
        <v>33</v>
      </c>
      <c r="C108">
        <v>47</v>
      </c>
      <c r="D108">
        <v>10</v>
      </c>
      <c r="E108" t="s">
        <v>772</v>
      </c>
      <c r="F108">
        <v>3</v>
      </c>
      <c r="G108">
        <v>12</v>
      </c>
      <c r="H108" t="s">
        <v>786</v>
      </c>
      <c r="I108" t="s">
        <v>787</v>
      </c>
      <c r="J108">
        <v>362</v>
      </c>
    </row>
    <row r="109" spans="1:10" x14ac:dyDescent="0.2">
      <c r="A109" t="s">
        <v>771</v>
      </c>
      <c r="B109">
        <v>33</v>
      </c>
      <c r="C109">
        <v>47</v>
      </c>
      <c r="D109">
        <v>10</v>
      </c>
      <c r="E109" t="s">
        <v>772</v>
      </c>
      <c r="F109">
        <v>4</v>
      </c>
      <c r="G109">
        <v>13</v>
      </c>
      <c r="H109" t="s">
        <v>788</v>
      </c>
      <c r="I109" t="s">
        <v>789</v>
      </c>
      <c r="J109">
        <v>383</v>
      </c>
    </row>
    <row r="110" spans="1:10" x14ac:dyDescent="0.2">
      <c r="A110" t="s">
        <v>771</v>
      </c>
      <c r="B110">
        <v>33</v>
      </c>
      <c r="C110">
        <v>47</v>
      </c>
      <c r="D110">
        <v>10</v>
      </c>
      <c r="E110" t="s">
        <v>772</v>
      </c>
      <c r="F110">
        <v>5</v>
      </c>
      <c r="G110">
        <v>14</v>
      </c>
      <c r="H110" t="s">
        <v>790</v>
      </c>
      <c r="I110" t="s">
        <v>791</v>
      </c>
      <c r="J110">
        <v>968</v>
      </c>
    </row>
    <row r="111" spans="1:10" x14ac:dyDescent="0.2">
      <c r="A111" t="s">
        <v>792</v>
      </c>
      <c r="B111">
        <v>71</v>
      </c>
      <c r="C111">
        <v>50</v>
      </c>
      <c r="D111">
        <v>8</v>
      </c>
      <c r="E111" t="s">
        <v>793</v>
      </c>
      <c r="F111">
        <v>1</v>
      </c>
      <c r="G111">
        <v>2</v>
      </c>
      <c r="H111" t="s">
        <v>660</v>
      </c>
      <c r="I111" t="s">
        <v>794</v>
      </c>
      <c r="J111">
        <v>227</v>
      </c>
    </row>
    <row r="112" spans="1:10" x14ac:dyDescent="0.2">
      <c r="A112" t="s">
        <v>792</v>
      </c>
      <c r="B112">
        <v>71</v>
      </c>
      <c r="C112">
        <v>50</v>
      </c>
      <c r="D112">
        <v>8</v>
      </c>
      <c r="E112" t="s">
        <v>793</v>
      </c>
      <c r="F112">
        <v>2</v>
      </c>
      <c r="G112">
        <v>3</v>
      </c>
      <c r="H112" t="s">
        <v>662</v>
      </c>
      <c r="I112" t="s">
        <v>795</v>
      </c>
      <c r="J112">
        <v>247</v>
      </c>
    </row>
    <row r="113" spans="1:10" x14ac:dyDescent="0.2">
      <c r="A113" t="s">
        <v>792</v>
      </c>
      <c r="B113">
        <v>71</v>
      </c>
      <c r="C113">
        <v>50</v>
      </c>
      <c r="D113">
        <v>8</v>
      </c>
      <c r="E113" t="s">
        <v>793</v>
      </c>
      <c r="F113">
        <v>3</v>
      </c>
      <c r="G113">
        <v>4</v>
      </c>
      <c r="H113" t="s">
        <v>717</v>
      </c>
      <c r="I113" t="s">
        <v>796</v>
      </c>
      <c r="J113">
        <v>232</v>
      </c>
    </row>
    <row r="114" spans="1:10" x14ac:dyDescent="0.2">
      <c r="A114" t="s">
        <v>792</v>
      </c>
      <c r="B114">
        <v>71</v>
      </c>
      <c r="C114">
        <v>50</v>
      </c>
      <c r="D114">
        <v>8</v>
      </c>
      <c r="E114" t="s">
        <v>793</v>
      </c>
      <c r="F114">
        <v>4</v>
      </c>
      <c r="G114">
        <v>5</v>
      </c>
      <c r="H114" t="s">
        <v>720</v>
      </c>
      <c r="I114" t="s">
        <v>797</v>
      </c>
      <c r="J114">
        <v>274</v>
      </c>
    </row>
    <row r="115" spans="1:10" x14ac:dyDescent="0.2">
      <c r="A115" t="s">
        <v>792</v>
      </c>
      <c r="B115">
        <v>71</v>
      </c>
      <c r="C115">
        <v>50</v>
      </c>
      <c r="D115">
        <v>8</v>
      </c>
      <c r="E115" t="s">
        <v>793</v>
      </c>
      <c r="F115">
        <v>5</v>
      </c>
      <c r="G115">
        <v>6</v>
      </c>
      <c r="H115" t="s">
        <v>723</v>
      </c>
      <c r="I115" t="s">
        <v>798</v>
      </c>
      <c r="J115">
        <v>255</v>
      </c>
    </row>
    <row r="116" spans="1:10" x14ac:dyDescent="0.2">
      <c r="A116" t="s">
        <v>792</v>
      </c>
      <c r="B116">
        <v>71</v>
      </c>
      <c r="C116">
        <v>50</v>
      </c>
      <c r="D116">
        <v>8</v>
      </c>
      <c r="E116" t="s">
        <v>793</v>
      </c>
      <c r="F116">
        <v>6</v>
      </c>
      <c r="G116">
        <v>7</v>
      </c>
      <c r="H116" t="s">
        <v>726</v>
      </c>
      <c r="I116" t="s">
        <v>799</v>
      </c>
      <c r="J116">
        <v>268</v>
      </c>
    </row>
    <row r="117" spans="1:10" x14ac:dyDescent="0.2">
      <c r="A117" t="s">
        <v>792</v>
      </c>
      <c r="B117">
        <v>71</v>
      </c>
      <c r="C117">
        <v>50</v>
      </c>
      <c r="D117">
        <v>8</v>
      </c>
      <c r="E117" t="s">
        <v>793</v>
      </c>
      <c r="F117">
        <v>7</v>
      </c>
      <c r="G117">
        <v>8</v>
      </c>
      <c r="H117" t="s">
        <v>729</v>
      </c>
      <c r="I117" t="s">
        <v>800</v>
      </c>
      <c r="J117" s="2">
        <v>1108</v>
      </c>
    </row>
    <row r="118" spans="1:10" x14ac:dyDescent="0.2">
      <c r="A118" t="s">
        <v>792</v>
      </c>
      <c r="B118">
        <v>71</v>
      </c>
      <c r="C118">
        <v>50</v>
      </c>
      <c r="D118">
        <v>8</v>
      </c>
      <c r="E118" t="s">
        <v>793</v>
      </c>
      <c r="F118">
        <v>8</v>
      </c>
      <c r="G118">
        <v>9</v>
      </c>
      <c r="H118" t="s">
        <v>646</v>
      </c>
      <c r="I118" t="s">
        <v>801</v>
      </c>
      <c r="J118">
        <v>897</v>
      </c>
    </row>
    <row r="119" spans="1:10" x14ac:dyDescent="0.2">
      <c r="A119" t="s">
        <v>802</v>
      </c>
      <c r="B119">
        <v>79</v>
      </c>
      <c r="C119" t="s">
        <v>588</v>
      </c>
      <c r="D119">
        <v>1</v>
      </c>
      <c r="E119" t="s">
        <v>803</v>
      </c>
      <c r="F119" t="s">
        <v>588</v>
      </c>
      <c r="G119">
        <v>5</v>
      </c>
      <c r="H119" t="s">
        <v>729</v>
      </c>
      <c r="I119" t="s">
        <v>804</v>
      </c>
      <c r="J119">
        <v>10</v>
      </c>
    </row>
    <row r="120" spans="1:10" x14ac:dyDescent="0.2">
      <c r="A120" t="s">
        <v>802</v>
      </c>
      <c r="B120">
        <v>79</v>
      </c>
      <c r="C120" t="s">
        <v>588</v>
      </c>
      <c r="D120">
        <v>1</v>
      </c>
      <c r="E120" t="s">
        <v>803</v>
      </c>
      <c r="F120" t="s">
        <v>588</v>
      </c>
      <c r="G120">
        <v>12</v>
      </c>
      <c r="H120" t="s">
        <v>805</v>
      </c>
      <c r="I120" t="s">
        <v>806</v>
      </c>
      <c r="J120">
        <v>126</v>
      </c>
    </row>
    <row r="121" spans="1:10" x14ac:dyDescent="0.2">
      <c r="A121" t="s">
        <v>807</v>
      </c>
      <c r="B121">
        <v>103</v>
      </c>
      <c r="C121" t="s">
        <v>588</v>
      </c>
      <c r="D121">
        <v>2</v>
      </c>
      <c r="E121" t="s">
        <v>808</v>
      </c>
      <c r="F121" t="s">
        <v>588</v>
      </c>
      <c r="G121">
        <v>10</v>
      </c>
      <c r="H121" t="s">
        <v>590</v>
      </c>
      <c r="I121" t="s">
        <v>809</v>
      </c>
      <c r="J121">
        <v>37</v>
      </c>
    </row>
    <row r="122" spans="1:10" x14ac:dyDescent="0.2">
      <c r="A122" t="s">
        <v>807</v>
      </c>
      <c r="B122">
        <v>103</v>
      </c>
      <c r="C122" t="s">
        <v>588</v>
      </c>
      <c r="D122">
        <v>2</v>
      </c>
      <c r="E122" t="s">
        <v>808</v>
      </c>
      <c r="F122" t="s">
        <v>588</v>
      </c>
      <c r="G122">
        <v>47</v>
      </c>
      <c r="H122" t="s">
        <v>810</v>
      </c>
      <c r="I122" t="s">
        <v>811</v>
      </c>
      <c r="J122">
        <v>55</v>
      </c>
    </row>
    <row r="123" spans="1:10" x14ac:dyDescent="0.2">
      <c r="A123" t="s">
        <v>812</v>
      </c>
      <c r="B123">
        <v>103</v>
      </c>
      <c r="C123" t="s">
        <v>588</v>
      </c>
      <c r="D123">
        <v>10</v>
      </c>
      <c r="E123" t="s">
        <v>813</v>
      </c>
      <c r="F123" t="s">
        <v>588</v>
      </c>
      <c r="G123">
        <v>9</v>
      </c>
      <c r="H123" t="s">
        <v>814</v>
      </c>
      <c r="I123" t="s">
        <v>815</v>
      </c>
      <c r="J123">
        <v>128</v>
      </c>
    </row>
    <row r="124" spans="1:10" x14ac:dyDescent="0.2">
      <c r="A124" t="s">
        <v>812</v>
      </c>
      <c r="B124">
        <v>103</v>
      </c>
      <c r="C124" t="s">
        <v>588</v>
      </c>
      <c r="D124">
        <v>10</v>
      </c>
      <c r="E124" t="s">
        <v>813</v>
      </c>
      <c r="F124" t="s">
        <v>588</v>
      </c>
      <c r="G124">
        <v>12</v>
      </c>
      <c r="H124" t="s">
        <v>816</v>
      </c>
      <c r="I124" t="s">
        <v>817</v>
      </c>
      <c r="J124">
        <v>2</v>
      </c>
    </row>
    <row r="125" spans="1:10" x14ac:dyDescent="0.2">
      <c r="A125" t="s">
        <v>812</v>
      </c>
      <c r="B125">
        <v>103</v>
      </c>
      <c r="C125" t="s">
        <v>588</v>
      </c>
      <c r="D125">
        <v>10</v>
      </c>
      <c r="E125" t="s">
        <v>813</v>
      </c>
      <c r="F125" t="s">
        <v>588</v>
      </c>
      <c r="G125">
        <v>13</v>
      </c>
      <c r="H125" t="s">
        <v>818</v>
      </c>
      <c r="I125" t="s">
        <v>819</v>
      </c>
      <c r="J125">
        <v>50</v>
      </c>
    </row>
    <row r="126" spans="1:10" x14ac:dyDescent="0.2">
      <c r="A126" t="s">
        <v>812</v>
      </c>
      <c r="B126">
        <v>103</v>
      </c>
      <c r="C126" t="s">
        <v>588</v>
      </c>
      <c r="D126">
        <v>10</v>
      </c>
      <c r="E126" t="s">
        <v>813</v>
      </c>
      <c r="F126" t="s">
        <v>588</v>
      </c>
      <c r="G126">
        <v>14</v>
      </c>
      <c r="H126" t="s">
        <v>820</v>
      </c>
      <c r="I126" t="s">
        <v>821</v>
      </c>
      <c r="J126">
        <v>54</v>
      </c>
    </row>
    <row r="127" spans="1:10" x14ac:dyDescent="0.2">
      <c r="A127" t="s">
        <v>812</v>
      </c>
      <c r="B127">
        <v>103</v>
      </c>
      <c r="C127" t="s">
        <v>588</v>
      </c>
      <c r="D127">
        <v>10</v>
      </c>
      <c r="E127" t="s">
        <v>813</v>
      </c>
      <c r="F127" t="s">
        <v>588</v>
      </c>
      <c r="G127">
        <v>15</v>
      </c>
      <c r="H127" t="s">
        <v>596</v>
      </c>
      <c r="I127" t="s">
        <v>822</v>
      </c>
      <c r="J127">
        <v>52</v>
      </c>
    </row>
    <row r="128" spans="1:10" x14ac:dyDescent="0.2">
      <c r="A128" t="s">
        <v>823</v>
      </c>
      <c r="B128">
        <v>103</v>
      </c>
      <c r="C128" t="s">
        <v>600</v>
      </c>
      <c r="D128">
        <v>79</v>
      </c>
      <c r="E128" t="s">
        <v>824</v>
      </c>
      <c r="F128" t="s">
        <v>600</v>
      </c>
      <c r="G128">
        <v>1</v>
      </c>
      <c r="H128" t="s">
        <v>602</v>
      </c>
      <c r="I128" t="s">
        <v>632</v>
      </c>
      <c r="J128">
        <v>47</v>
      </c>
    </row>
    <row r="129" spans="1:11" x14ac:dyDescent="0.2">
      <c r="A129" t="s">
        <v>823</v>
      </c>
      <c r="B129">
        <v>103</v>
      </c>
      <c r="C129" t="s">
        <v>600</v>
      </c>
      <c r="D129">
        <v>79</v>
      </c>
      <c r="E129" t="s">
        <v>824</v>
      </c>
      <c r="F129" t="s">
        <v>600</v>
      </c>
      <c r="G129">
        <v>2</v>
      </c>
      <c r="H129" t="s">
        <v>604</v>
      </c>
      <c r="I129" t="s">
        <v>690</v>
      </c>
      <c r="J129">
        <v>47</v>
      </c>
    </row>
    <row r="130" spans="1:11" x14ac:dyDescent="0.2">
      <c r="A130" t="s">
        <v>823</v>
      </c>
      <c r="B130">
        <v>103</v>
      </c>
      <c r="C130" t="s">
        <v>600</v>
      </c>
      <c r="D130">
        <v>79</v>
      </c>
      <c r="E130" t="s">
        <v>824</v>
      </c>
      <c r="F130" t="s">
        <v>600</v>
      </c>
      <c r="G130">
        <v>3</v>
      </c>
      <c r="H130" t="s">
        <v>606</v>
      </c>
      <c r="I130" t="s">
        <v>825</v>
      </c>
      <c r="J130">
        <v>47</v>
      </c>
    </row>
    <row r="131" spans="1:11" x14ac:dyDescent="0.2">
      <c r="A131" t="s">
        <v>826</v>
      </c>
      <c r="B131">
        <v>103</v>
      </c>
      <c r="C131" t="s">
        <v>600</v>
      </c>
      <c r="D131">
        <v>80</v>
      </c>
      <c r="E131" t="s">
        <v>827</v>
      </c>
      <c r="F131" t="s">
        <v>600</v>
      </c>
      <c r="G131">
        <v>1</v>
      </c>
      <c r="H131" t="s">
        <v>602</v>
      </c>
      <c r="I131" t="s">
        <v>632</v>
      </c>
      <c r="J131">
        <v>47</v>
      </c>
    </row>
    <row r="132" spans="1:11" x14ac:dyDescent="0.2">
      <c r="A132" t="s">
        <v>826</v>
      </c>
      <c r="B132">
        <v>103</v>
      </c>
      <c r="C132" t="s">
        <v>600</v>
      </c>
      <c r="D132">
        <v>80</v>
      </c>
      <c r="E132" t="s">
        <v>827</v>
      </c>
      <c r="F132" t="s">
        <v>600</v>
      </c>
      <c r="G132">
        <v>2</v>
      </c>
      <c r="H132" t="s">
        <v>604</v>
      </c>
      <c r="I132" t="s">
        <v>690</v>
      </c>
      <c r="J132">
        <v>47</v>
      </c>
    </row>
    <row r="133" spans="1:11" x14ac:dyDescent="0.2">
      <c r="A133" t="s">
        <v>826</v>
      </c>
      <c r="B133">
        <v>103</v>
      </c>
      <c r="C133" t="s">
        <v>600</v>
      </c>
      <c r="D133">
        <v>80</v>
      </c>
      <c r="E133" t="s">
        <v>827</v>
      </c>
      <c r="F133" t="s">
        <v>600</v>
      </c>
      <c r="G133">
        <v>3</v>
      </c>
      <c r="H133" t="s">
        <v>606</v>
      </c>
      <c r="I133" t="s">
        <v>825</v>
      </c>
      <c r="J133">
        <v>47</v>
      </c>
    </row>
    <row r="134" spans="1:11" x14ac:dyDescent="0.2">
      <c r="A134" s="3"/>
      <c r="B134" s="3"/>
      <c r="C134" s="3"/>
      <c r="D134" s="3"/>
      <c r="E134" s="3" t="s">
        <v>828</v>
      </c>
      <c r="F134" s="3"/>
      <c r="G134" s="3"/>
      <c r="H134" s="3"/>
      <c r="I134" s="3"/>
      <c r="J134" s="4">
        <v>25497</v>
      </c>
      <c r="K134" s="3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97"/>
  <sheetViews>
    <sheetView topLeftCell="A147" workbookViewId="0">
      <selection activeCell="F178" sqref="F178"/>
    </sheetView>
  </sheetViews>
  <sheetFormatPr defaultRowHeight="12.75" x14ac:dyDescent="0.2"/>
  <cols>
    <col min="1" max="1" width="21.140625" customWidth="1"/>
    <col min="2" max="2" width="29.85546875" customWidth="1"/>
    <col min="3" max="5" width="21.140625" customWidth="1"/>
  </cols>
  <sheetData>
    <row r="1" spans="1:5" s="3" customFormat="1" x14ac:dyDescent="0.2"/>
    <row r="2" spans="1:5" x14ac:dyDescent="0.2">
      <c r="A2" s="3" t="s">
        <v>830</v>
      </c>
      <c r="B2" s="3" t="s">
        <v>323</v>
      </c>
      <c r="C2" s="3" t="s">
        <v>324</v>
      </c>
      <c r="D2" s="3" t="s">
        <v>171</v>
      </c>
      <c r="E2" s="3"/>
    </row>
    <row r="3" spans="1:5" x14ac:dyDescent="0.2">
      <c r="A3" t="s">
        <v>173</v>
      </c>
      <c r="B3">
        <v>10676</v>
      </c>
      <c r="C3">
        <v>32</v>
      </c>
      <c r="D3">
        <v>144</v>
      </c>
    </row>
    <row r="4" spans="1:5" x14ac:dyDescent="0.2">
      <c r="A4" t="s">
        <v>173</v>
      </c>
      <c r="B4">
        <v>10676</v>
      </c>
      <c r="C4">
        <v>33</v>
      </c>
      <c r="D4">
        <v>131</v>
      </c>
    </row>
    <row r="5" spans="1:5" x14ac:dyDescent="0.2">
      <c r="A5" t="s">
        <v>173</v>
      </c>
      <c r="B5">
        <v>10676</v>
      </c>
      <c r="C5">
        <v>34</v>
      </c>
      <c r="D5">
        <v>133</v>
      </c>
    </row>
    <row r="6" spans="1:5" x14ac:dyDescent="0.2">
      <c r="A6" t="s">
        <v>173</v>
      </c>
      <c r="B6">
        <v>10676</v>
      </c>
      <c r="C6">
        <v>35</v>
      </c>
      <c r="D6">
        <v>67</v>
      </c>
    </row>
    <row r="7" spans="1:5" x14ac:dyDescent="0.2">
      <c r="A7" t="s">
        <v>174</v>
      </c>
      <c r="B7">
        <v>3178</v>
      </c>
      <c r="C7">
        <v>1</v>
      </c>
      <c r="D7">
        <v>363</v>
      </c>
    </row>
    <row r="8" spans="1:5" x14ac:dyDescent="0.2">
      <c r="A8" t="s">
        <v>174</v>
      </c>
      <c r="B8">
        <v>3178</v>
      </c>
      <c r="C8">
        <v>2</v>
      </c>
      <c r="D8">
        <v>383</v>
      </c>
    </row>
    <row r="9" spans="1:5" x14ac:dyDescent="0.2">
      <c r="A9" t="s">
        <v>175</v>
      </c>
      <c r="B9">
        <v>6094</v>
      </c>
      <c r="C9">
        <v>1</v>
      </c>
      <c r="D9" s="2">
        <v>1657</v>
      </c>
    </row>
    <row r="10" spans="1:5" x14ac:dyDescent="0.2">
      <c r="A10" t="s">
        <v>175</v>
      </c>
      <c r="B10">
        <v>6094</v>
      </c>
      <c r="C10">
        <v>2</v>
      </c>
      <c r="D10" s="2">
        <v>1672</v>
      </c>
    </row>
    <row r="11" spans="1:5" x14ac:dyDescent="0.2">
      <c r="A11" t="s">
        <v>175</v>
      </c>
      <c r="B11">
        <v>6094</v>
      </c>
      <c r="C11">
        <v>3</v>
      </c>
      <c r="D11" s="2">
        <v>1636</v>
      </c>
    </row>
    <row r="12" spans="1:5" x14ac:dyDescent="0.2">
      <c r="A12" t="s">
        <v>176</v>
      </c>
      <c r="B12">
        <v>3140</v>
      </c>
      <c r="C12">
        <v>1</v>
      </c>
      <c r="D12">
        <v>568</v>
      </c>
    </row>
    <row r="13" spans="1:5" x14ac:dyDescent="0.2">
      <c r="A13" t="s">
        <v>176</v>
      </c>
      <c r="B13">
        <v>3140</v>
      </c>
      <c r="C13">
        <v>2</v>
      </c>
      <c r="D13">
        <v>718</v>
      </c>
    </row>
    <row r="14" spans="1:5" x14ac:dyDescent="0.2">
      <c r="A14" t="s">
        <v>176</v>
      </c>
      <c r="B14">
        <v>3140</v>
      </c>
      <c r="C14">
        <v>3</v>
      </c>
      <c r="D14" s="2">
        <v>1539</v>
      </c>
    </row>
    <row r="15" spans="1:5" x14ac:dyDescent="0.2">
      <c r="A15" t="s">
        <v>177</v>
      </c>
      <c r="B15">
        <v>3096</v>
      </c>
      <c r="C15" t="s">
        <v>178</v>
      </c>
      <c r="D15">
        <v>0</v>
      </c>
    </row>
    <row r="16" spans="1:5" x14ac:dyDescent="0.2">
      <c r="A16" t="s">
        <v>177</v>
      </c>
      <c r="B16">
        <v>3096</v>
      </c>
      <c r="C16" t="s">
        <v>179</v>
      </c>
      <c r="D16">
        <v>0</v>
      </c>
    </row>
    <row r="17" spans="1:4" x14ac:dyDescent="0.2">
      <c r="A17" t="s">
        <v>177</v>
      </c>
      <c r="B17">
        <v>3096</v>
      </c>
      <c r="C17">
        <v>3</v>
      </c>
      <c r="D17">
        <v>0</v>
      </c>
    </row>
    <row r="18" spans="1:4" x14ac:dyDescent="0.2">
      <c r="A18" t="s">
        <v>180</v>
      </c>
      <c r="B18">
        <v>10641</v>
      </c>
      <c r="C18">
        <v>1</v>
      </c>
      <c r="D18">
        <v>155</v>
      </c>
    </row>
    <row r="19" spans="1:4" x14ac:dyDescent="0.2">
      <c r="A19" t="s">
        <v>180</v>
      </c>
      <c r="B19">
        <v>10641</v>
      </c>
      <c r="C19">
        <v>2</v>
      </c>
      <c r="D19">
        <v>161</v>
      </c>
    </row>
    <row r="20" spans="1:4" x14ac:dyDescent="0.2">
      <c r="A20" t="s">
        <v>181</v>
      </c>
      <c r="B20">
        <v>8226</v>
      </c>
      <c r="C20">
        <v>1</v>
      </c>
      <c r="D20" s="2">
        <v>1119</v>
      </c>
    </row>
    <row r="21" spans="1:4" x14ac:dyDescent="0.2">
      <c r="A21" t="s">
        <v>182</v>
      </c>
      <c r="B21">
        <v>10143</v>
      </c>
      <c r="C21">
        <v>1</v>
      </c>
      <c r="D21">
        <v>291</v>
      </c>
    </row>
    <row r="22" spans="1:4" x14ac:dyDescent="0.2">
      <c r="A22" t="s">
        <v>183</v>
      </c>
      <c r="B22">
        <v>3118</v>
      </c>
      <c r="C22">
        <v>1</v>
      </c>
      <c r="D22" s="2">
        <v>2167</v>
      </c>
    </row>
    <row r="23" spans="1:4" x14ac:dyDescent="0.2">
      <c r="A23" t="s">
        <v>183</v>
      </c>
      <c r="B23">
        <v>3118</v>
      </c>
      <c r="C23">
        <v>2</v>
      </c>
      <c r="D23" s="2">
        <v>1995</v>
      </c>
    </row>
    <row r="24" spans="1:4" x14ac:dyDescent="0.2">
      <c r="A24" t="s">
        <v>184</v>
      </c>
      <c r="B24">
        <v>3159</v>
      </c>
      <c r="C24">
        <v>1</v>
      </c>
      <c r="D24">
        <v>377</v>
      </c>
    </row>
    <row r="25" spans="1:4" x14ac:dyDescent="0.2">
      <c r="A25" t="s">
        <v>184</v>
      </c>
      <c r="B25">
        <v>3159</v>
      </c>
      <c r="C25">
        <v>2</v>
      </c>
      <c r="D25">
        <v>201</v>
      </c>
    </row>
    <row r="26" spans="1:4" x14ac:dyDescent="0.2">
      <c r="A26" t="s">
        <v>185</v>
      </c>
      <c r="B26">
        <v>3160</v>
      </c>
      <c r="C26">
        <v>71</v>
      </c>
      <c r="D26">
        <v>61</v>
      </c>
    </row>
    <row r="27" spans="1:4" x14ac:dyDescent="0.2">
      <c r="A27" t="s">
        <v>185</v>
      </c>
      <c r="B27">
        <v>3160</v>
      </c>
      <c r="C27">
        <v>81</v>
      </c>
      <c r="D27">
        <v>56</v>
      </c>
    </row>
    <row r="28" spans="1:4" x14ac:dyDescent="0.2">
      <c r="A28" t="s">
        <v>186</v>
      </c>
      <c r="B28">
        <v>10603</v>
      </c>
      <c r="C28">
        <v>1</v>
      </c>
      <c r="D28">
        <v>191</v>
      </c>
    </row>
    <row r="29" spans="1:4" x14ac:dyDescent="0.2">
      <c r="A29" t="s">
        <v>187</v>
      </c>
      <c r="B29">
        <v>3161</v>
      </c>
      <c r="C29">
        <v>1</v>
      </c>
      <c r="D29">
        <v>565</v>
      </c>
    </row>
    <row r="30" spans="1:4" x14ac:dyDescent="0.2">
      <c r="A30" t="s">
        <v>187</v>
      </c>
      <c r="B30">
        <v>3161</v>
      </c>
      <c r="C30">
        <v>2</v>
      </c>
      <c r="D30">
        <v>636</v>
      </c>
    </row>
    <row r="31" spans="1:4" x14ac:dyDescent="0.2">
      <c r="A31" t="s">
        <v>187</v>
      </c>
      <c r="B31">
        <v>3161</v>
      </c>
      <c r="C31">
        <v>3</v>
      </c>
      <c r="D31">
        <v>207</v>
      </c>
    </row>
    <row r="32" spans="1:4" x14ac:dyDescent="0.2">
      <c r="A32" t="s">
        <v>187</v>
      </c>
      <c r="B32">
        <v>3161</v>
      </c>
      <c r="C32">
        <v>4</v>
      </c>
      <c r="D32">
        <v>237</v>
      </c>
    </row>
    <row r="33" spans="1:4" x14ac:dyDescent="0.2">
      <c r="A33" t="s">
        <v>188</v>
      </c>
      <c r="B33">
        <v>3098</v>
      </c>
      <c r="C33">
        <v>1</v>
      </c>
      <c r="D33">
        <v>214</v>
      </c>
    </row>
    <row r="34" spans="1:4" x14ac:dyDescent="0.2">
      <c r="A34" t="s">
        <v>188</v>
      </c>
      <c r="B34">
        <v>3098</v>
      </c>
      <c r="C34">
        <v>2</v>
      </c>
      <c r="D34">
        <v>209</v>
      </c>
    </row>
    <row r="35" spans="1:4" x14ac:dyDescent="0.2">
      <c r="A35" t="s">
        <v>188</v>
      </c>
      <c r="B35">
        <v>3098</v>
      </c>
      <c r="C35">
        <v>3</v>
      </c>
      <c r="D35">
        <v>208</v>
      </c>
    </row>
    <row r="36" spans="1:4" x14ac:dyDescent="0.2">
      <c r="A36" t="s">
        <v>188</v>
      </c>
      <c r="B36">
        <v>3098</v>
      </c>
      <c r="C36">
        <v>4</v>
      </c>
      <c r="D36">
        <v>428</v>
      </c>
    </row>
    <row r="37" spans="1:4" x14ac:dyDescent="0.2">
      <c r="A37" t="s">
        <v>189</v>
      </c>
      <c r="B37">
        <v>10343</v>
      </c>
      <c r="C37" t="s">
        <v>190</v>
      </c>
      <c r="D37">
        <v>152</v>
      </c>
    </row>
    <row r="38" spans="1:4" x14ac:dyDescent="0.2">
      <c r="A38" t="s">
        <v>191</v>
      </c>
      <c r="B38">
        <v>10113</v>
      </c>
      <c r="C38" t="s">
        <v>192</v>
      </c>
      <c r="D38">
        <v>273</v>
      </c>
    </row>
    <row r="39" spans="1:4" x14ac:dyDescent="0.2">
      <c r="A39" t="s">
        <v>193</v>
      </c>
      <c r="B39">
        <v>3134</v>
      </c>
      <c r="C39">
        <v>1</v>
      </c>
      <c r="D39">
        <v>8</v>
      </c>
    </row>
    <row r="40" spans="1:4" x14ac:dyDescent="0.2">
      <c r="A40" t="s">
        <v>194</v>
      </c>
      <c r="B40">
        <v>3179</v>
      </c>
      <c r="C40">
        <v>1</v>
      </c>
      <c r="D40" s="2">
        <v>1155</v>
      </c>
    </row>
    <row r="41" spans="1:4" x14ac:dyDescent="0.2">
      <c r="A41" t="s">
        <v>194</v>
      </c>
      <c r="B41">
        <v>3179</v>
      </c>
      <c r="C41">
        <v>2</v>
      </c>
      <c r="D41" s="2">
        <v>1029</v>
      </c>
    </row>
    <row r="42" spans="1:4" x14ac:dyDescent="0.2">
      <c r="A42" t="s">
        <v>194</v>
      </c>
      <c r="B42">
        <v>3179</v>
      </c>
      <c r="C42">
        <v>3</v>
      </c>
      <c r="D42" s="2">
        <v>1087</v>
      </c>
    </row>
    <row r="43" spans="1:4" x14ac:dyDescent="0.2">
      <c r="A43" t="s">
        <v>195</v>
      </c>
      <c r="B43">
        <v>3145</v>
      </c>
      <c r="C43">
        <v>17</v>
      </c>
      <c r="D43">
        <v>246</v>
      </c>
    </row>
    <row r="44" spans="1:4" x14ac:dyDescent="0.2">
      <c r="A44" t="s">
        <v>196</v>
      </c>
      <c r="B44">
        <v>3122</v>
      </c>
      <c r="C44">
        <v>1</v>
      </c>
      <c r="D44" s="2">
        <v>1471</v>
      </c>
    </row>
    <row r="45" spans="1:4" x14ac:dyDescent="0.2">
      <c r="A45" t="s">
        <v>196</v>
      </c>
      <c r="B45">
        <v>3122</v>
      </c>
      <c r="C45">
        <v>2</v>
      </c>
      <c r="D45" s="2">
        <v>1553</v>
      </c>
    </row>
    <row r="46" spans="1:4" x14ac:dyDescent="0.2">
      <c r="A46" t="s">
        <v>196</v>
      </c>
      <c r="B46">
        <v>3122</v>
      </c>
      <c r="C46">
        <v>3</v>
      </c>
      <c r="D46" s="2">
        <v>1437</v>
      </c>
    </row>
    <row r="47" spans="1:4" x14ac:dyDescent="0.2">
      <c r="A47" t="s">
        <v>197</v>
      </c>
      <c r="B47">
        <v>3176</v>
      </c>
      <c r="C47">
        <v>6</v>
      </c>
      <c r="D47">
        <v>131</v>
      </c>
    </row>
    <row r="48" spans="1:4" x14ac:dyDescent="0.2">
      <c r="A48" t="s">
        <v>198</v>
      </c>
      <c r="B48">
        <v>3136</v>
      </c>
      <c r="C48">
        <v>1</v>
      </c>
      <c r="D48" s="2">
        <v>2154</v>
      </c>
    </row>
    <row r="49" spans="1:4" x14ac:dyDescent="0.2">
      <c r="A49" t="s">
        <v>198</v>
      </c>
      <c r="B49">
        <v>3136</v>
      </c>
      <c r="C49">
        <v>2</v>
      </c>
      <c r="D49" s="2">
        <v>2133</v>
      </c>
    </row>
    <row r="50" spans="1:4" x14ac:dyDescent="0.2">
      <c r="A50" t="s">
        <v>199</v>
      </c>
      <c r="B50">
        <v>3157</v>
      </c>
      <c r="C50">
        <v>10</v>
      </c>
      <c r="D50">
        <v>211</v>
      </c>
    </row>
    <row r="51" spans="1:4" x14ac:dyDescent="0.2">
      <c r="A51" t="s">
        <v>200</v>
      </c>
      <c r="B51">
        <v>3148</v>
      </c>
      <c r="C51">
        <v>1</v>
      </c>
      <c r="D51">
        <v>314</v>
      </c>
    </row>
    <row r="52" spans="1:4" x14ac:dyDescent="0.2">
      <c r="A52" t="s">
        <v>200</v>
      </c>
      <c r="B52">
        <v>3148</v>
      </c>
      <c r="C52">
        <v>2</v>
      </c>
      <c r="D52">
        <v>293</v>
      </c>
    </row>
    <row r="53" spans="1:4" x14ac:dyDescent="0.2">
      <c r="A53" t="s">
        <v>200</v>
      </c>
      <c r="B53">
        <v>3148</v>
      </c>
      <c r="C53">
        <v>3</v>
      </c>
      <c r="D53">
        <v>543</v>
      </c>
    </row>
    <row r="54" spans="1:4" x14ac:dyDescent="0.2">
      <c r="A54" t="s">
        <v>200</v>
      </c>
      <c r="B54">
        <v>3148</v>
      </c>
      <c r="C54">
        <v>4</v>
      </c>
      <c r="D54">
        <v>500</v>
      </c>
    </row>
    <row r="55" spans="1:4" x14ac:dyDescent="0.2">
      <c r="A55" t="s">
        <v>201</v>
      </c>
      <c r="B55">
        <v>3181</v>
      </c>
      <c r="C55">
        <v>1</v>
      </c>
      <c r="D55">
        <v>10</v>
      </c>
    </row>
    <row r="56" spans="1:4" x14ac:dyDescent="0.2">
      <c r="A56" t="s">
        <v>201</v>
      </c>
      <c r="B56">
        <v>3181</v>
      </c>
      <c r="C56">
        <v>2</v>
      </c>
      <c r="D56">
        <v>6</v>
      </c>
    </row>
    <row r="57" spans="1:4" x14ac:dyDescent="0.2">
      <c r="A57" t="s">
        <v>201</v>
      </c>
      <c r="B57">
        <v>3181</v>
      </c>
      <c r="C57">
        <v>3</v>
      </c>
      <c r="D57">
        <v>9</v>
      </c>
    </row>
    <row r="58" spans="1:4" x14ac:dyDescent="0.2">
      <c r="A58" t="s">
        <v>201</v>
      </c>
      <c r="B58">
        <v>3181</v>
      </c>
      <c r="C58">
        <v>33</v>
      </c>
      <c r="D58">
        <v>556</v>
      </c>
    </row>
    <row r="59" spans="1:4" x14ac:dyDescent="0.2">
      <c r="A59" t="s">
        <v>202</v>
      </c>
      <c r="B59">
        <v>3149</v>
      </c>
      <c r="C59">
        <v>1</v>
      </c>
      <c r="D59" s="2">
        <v>1560</v>
      </c>
    </row>
    <row r="60" spans="1:4" x14ac:dyDescent="0.2">
      <c r="A60" t="s">
        <v>202</v>
      </c>
      <c r="B60">
        <v>3149</v>
      </c>
      <c r="C60">
        <v>2</v>
      </c>
      <c r="D60" s="2">
        <v>1673</v>
      </c>
    </row>
    <row r="61" spans="1:4" x14ac:dyDescent="0.2">
      <c r="A61" t="s">
        <v>203</v>
      </c>
      <c r="B61">
        <v>3111</v>
      </c>
      <c r="C61">
        <v>1</v>
      </c>
      <c r="D61">
        <v>5</v>
      </c>
    </row>
    <row r="62" spans="1:4" x14ac:dyDescent="0.2">
      <c r="A62" t="s">
        <v>203</v>
      </c>
      <c r="B62">
        <v>3111</v>
      </c>
      <c r="C62">
        <v>2</v>
      </c>
      <c r="D62">
        <v>5</v>
      </c>
    </row>
    <row r="63" spans="1:4" x14ac:dyDescent="0.2">
      <c r="A63" t="s">
        <v>204</v>
      </c>
      <c r="B63">
        <v>3138</v>
      </c>
      <c r="C63">
        <v>3</v>
      </c>
      <c r="D63">
        <v>190</v>
      </c>
    </row>
    <row r="64" spans="1:4" x14ac:dyDescent="0.2">
      <c r="A64" t="s">
        <v>204</v>
      </c>
      <c r="B64">
        <v>3138</v>
      </c>
      <c r="C64">
        <v>4</v>
      </c>
      <c r="D64">
        <v>195</v>
      </c>
    </row>
    <row r="65" spans="1:4" x14ac:dyDescent="0.2">
      <c r="A65" t="s">
        <v>204</v>
      </c>
      <c r="B65">
        <v>3138</v>
      </c>
      <c r="C65">
        <v>5</v>
      </c>
      <c r="D65">
        <v>245</v>
      </c>
    </row>
    <row r="66" spans="1:4" x14ac:dyDescent="0.2">
      <c r="A66" t="s">
        <v>205</v>
      </c>
      <c r="B66">
        <v>54571</v>
      </c>
      <c r="C66">
        <v>1</v>
      </c>
      <c r="D66">
        <v>103</v>
      </c>
    </row>
    <row r="67" spans="1:4" x14ac:dyDescent="0.2">
      <c r="A67" t="s">
        <v>205</v>
      </c>
      <c r="B67">
        <v>54571</v>
      </c>
      <c r="C67">
        <v>2</v>
      </c>
      <c r="D67">
        <v>109</v>
      </c>
    </row>
    <row r="68" spans="1:4" x14ac:dyDescent="0.2">
      <c r="A68" t="s">
        <v>206</v>
      </c>
      <c r="B68">
        <v>50888</v>
      </c>
      <c r="C68">
        <v>1</v>
      </c>
      <c r="D68">
        <v>291</v>
      </c>
    </row>
    <row r="69" spans="1:4" x14ac:dyDescent="0.2">
      <c r="A69" t="s">
        <v>207</v>
      </c>
      <c r="B69">
        <v>50039</v>
      </c>
      <c r="C69">
        <v>0</v>
      </c>
      <c r="D69">
        <v>188</v>
      </c>
    </row>
    <row r="70" spans="1:4" x14ac:dyDescent="0.2">
      <c r="A70" t="s">
        <v>208</v>
      </c>
      <c r="B70">
        <v>50776</v>
      </c>
      <c r="C70">
        <v>1</v>
      </c>
      <c r="D70">
        <v>134</v>
      </c>
    </row>
    <row r="71" spans="1:4" x14ac:dyDescent="0.2">
      <c r="A71" t="s">
        <v>208</v>
      </c>
      <c r="B71">
        <v>50776</v>
      </c>
      <c r="C71">
        <v>2</v>
      </c>
      <c r="D71">
        <v>130</v>
      </c>
    </row>
    <row r="72" spans="1:4" x14ac:dyDescent="0.2">
      <c r="A72" t="s">
        <v>209</v>
      </c>
      <c r="B72">
        <v>8012</v>
      </c>
      <c r="C72">
        <v>11</v>
      </c>
      <c r="D72">
        <v>11</v>
      </c>
    </row>
    <row r="73" spans="1:4" x14ac:dyDescent="0.2">
      <c r="A73" t="s">
        <v>209</v>
      </c>
      <c r="B73">
        <v>8012</v>
      </c>
      <c r="C73">
        <v>12</v>
      </c>
      <c r="D73">
        <v>9</v>
      </c>
    </row>
    <row r="74" spans="1:4" x14ac:dyDescent="0.2">
      <c r="A74" t="s">
        <v>209</v>
      </c>
      <c r="B74">
        <v>8012</v>
      </c>
      <c r="C74">
        <v>21</v>
      </c>
      <c r="D74">
        <v>5</v>
      </c>
    </row>
    <row r="75" spans="1:4" x14ac:dyDescent="0.2">
      <c r="A75" t="s">
        <v>209</v>
      </c>
      <c r="B75">
        <v>8012</v>
      </c>
      <c r="C75">
        <v>22</v>
      </c>
      <c r="D75">
        <v>11</v>
      </c>
    </row>
    <row r="76" spans="1:4" x14ac:dyDescent="0.2">
      <c r="A76" t="s">
        <v>209</v>
      </c>
      <c r="B76">
        <v>8012</v>
      </c>
      <c r="C76">
        <v>31</v>
      </c>
      <c r="D76">
        <v>13</v>
      </c>
    </row>
    <row r="77" spans="1:4" x14ac:dyDescent="0.2">
      <c r="A77" t="s">
        <v>209</v>
      </c>
      <c r="B77">
        <v>8012</v>
      </c>
      <c r="C77">
        <v>32</v>
      </c>
      <c r="D77">
        <v>6</v>
      </c>
    </row>
    <row r="78" spans="1:4" x14ac:dyDescent="0.2">
      <c r="A78" t="s">
        <v>209</v>
      </c>
      <c r="B78">
        <v>8012</v>
      </c>
      <c r="C78">
        <v>41</v>
      </c>
      <c r="D78">
        <v>11</v>
      </c>
    </row>
    <row r="79" spans="1:4" x14ac:dyDescent="0.2">
      <c r="A79" t="s">
        <v>209</v>
      </c>
      <c r="B79">
        <v>8012</v>
      </c>
      <c r="C79">
        <v>42</v>
      </c>
      <c r="D79">
        <v>9</v>
      </c>
    </row>
    <row r="80" spans="1:4" x14ac:dyDescent="0.2">
      <c r="A80" t="s">
        <v>210</v>
      </c>
      <c r="B80">
        <v>3168</v>
      </c>
      <c r="C80">
        <v>91</v>
      </c>
      <c r="D80">
        <v>10</v>
      </c>
    </row>
    <row r="81" spans="1:4" x14ac:dyDescent="0.2">
      <c r="A81" t="s">
        <v>210</v>
      </c>
      <c r="B81">
        <v>3168</v>
      </c>
      <c r="C81">
        <v>92</v>
      </c>
      <c r="D81">
        <v>9</v>
      </c>
    </row>
    <row r="82" spans="1:4" x14ac:dyDescent="0.2">
      <c r="A82" t="s">
        <v>211</v>
      </c>
      <c r="B82">
        <v>3099</v>
      </c>
      <c r="C82">
        <v>3</v>
      </c>
      <c r="D82">
        <v>0</v>
      </c>
    </row>
    <row r="83" spans="1:4" x14ac:dyDescent="0.2">
      <c r="A83" t="s">
        <v>211</v>
      </c>
      <c r="B83">
        <v>3099</v>
      </c>
      <c r="C83">
        <v>4</v>
      </c>
      <c r="D83">
        <v>0</v>
      </c>
    </row>
    <row r="84" spans="1:4" x14ac:dyDescent="0.2">
      <c r="A84" t="s">
        <v>211</v>
      </c>
      <c r="B84">
        <v>3099</v>
      </c>
      <c r="C84">
        <v>5</v>
      </c>
      <c r="D84">
        <v>0</v>
      </c>
    </row>
    <row r="85" spans="1:4" x14ac:dyDescent="0.2">
      <c r="A85" t="s">
        <v>211</v>
      </c>
      <c r="B85">
        <v>3099</v>
      </c>
      <c r="C85">
        <v>6</v>
      </c>
      <c r="D85">
        <v>0</v>
      </c>
    </row>
    <row r="86" spans="1:4" x14ac:dyDescent="0.2">
      <c r="A86" t="s">
        <v>212</v>
      </c>
      <c r="B86">
        <v>54144</v>
      </c>
      <c r="C86">
        <v>1</v>
      </c>
      <c r="D86">
        <v>102</v>
      </c>
    </row>
    <row r="87" spans="1:4" x14ac:dyDescent="0.2">
      <c r="A87" t="s">
        <v>213</v>
      </c>
      <c r="B87">
        <v>3113</v>
      </c>
      <c r="C87">
        <v>5</v>
      </c>
      <c r="D87">
        <v>48</v>
      </c>
    </row>
    <row r="88" spans="1:4" x14ac:dyDescent="0.2">
      <c r="A88" t="s">
        <v>213</v>
      </c>
      <c r="B88">
        <v>3113</v>
      </c>
      <c r="C88">
        <v>1</v>
      </c>
      <c r="D88">
        <v>266</v>
      </c>
    </row>
    <row r="89" spans="1:4" x14ac:dyDescent="0.2">
      <c r="A89" t="s">
        <v>213</v>
      </c>
      <c r="B89">
        <v>3113</v>
      </c>
      <c r="C89">
        <v>2</v>
      </c>
      <c r="D89">
        <v>412</v>
      </c>
    </row>
    <row r="90" spans="1:4" x14ac:dyDescent="0.2">
      <c r="A90" t="s">
        <v>214</v>
      </c>
      <c r="B90">
        <v>3169</v>
      </c>
      <c r="C90">
        <v>1</v>
      </c>
      <c r="D90">
        <v>84</v>
      </c>
    </row>
    <row r="91" spans="1:4" x14ac:dyDescent="0.2">
      <c r="A91" t="s">
        <v>215</v>
      </c>
      <c r="B91">
        <v>880010</v>
      </c>
      <c r="C91">
        <v>1</v>
      </c>
      <c r="D91">
        <v>289</v>
      </c>
    </row>
    <row r="92" spans="1:4" x14ac:dyDescent="0.2">
      <c r="A92" t="s">
        <v>216</v>
      </c>
      <c r="B92">
        <v>50607</v>
      </c>
      <c r="C92" t="s">
        <v>192</v>
      </c>
      <c r="D92">
        <v>701</v>
      </c>
    </row>
    <row r="93" spans="1:4" x14ac:dyDescent="0.2">
      <c r="A93" t="s">
        <v>217</v>
      </c>
      <c r="B93">
        <v>50974</v>
      </c>
      <c r="C93">
        <v>1</v>
      </c>
      <c r="D93">
        <v>124</v>
      </c>
    </row>
    <row r="94" spans="1:4" x14ac:dyDescent="0.2">
      <c r="A94" t="s">
        <v>217</v>
      </c>
      <c r="B94">
        <v>50974</v>
      </c>
      <c r="C94">
        <v>2</v>
      </c>
      <c r="D94">
        <v>123</v>
      </c>
    </row>
    <row r="95" spans="1:4" x14ac:dyDescent="0.2">
      <c r="A95" t="s">
        <v>218</v>
      </c>
      <c r="B95">
        <v>3130</v>
      </c>
      <c r="C95">
        <v>12</v>
      </c>
      <c r="D95">
        <v>64</v>
      </c>
    </row>
    <row r="96" spans="1:4" x14ac:dyDescent="0.2">
      <c r="A96" t="s">
        <v>218</v>
      </c>
      <c r="B96">
        <v>3130</v>
      </c>
      <c r="C96">
        <v>14</v>
      </c>
      <c r="D96">
        <v>72</v>
      </c>
    </row>
    <row r="97" spans="1:4" x14ac:dyDescent="0.2">
      <c r="A97" t="s">
        <v>218</v>
      </c>
      <c r="B97">
        <v>3130</v>
      </c>
      <c r="C97">
        <v>15</v>
      </c>
      <c r="D97">
        <v>355</v>
      </c>
    </row>
    <row r="98" spans="1:4" x14ac:dyDescent="0.2">
      <c r="A98" t="s">
        <v>219</v>
      </c>
      <c r="B98">
        <v>3131</v>
      </c>
      <c r="C98">
        <v>1</v>
      </c>
      <c r="D98">
        <v>295</v>
      </c>
    </row>
    <row r="99" spans="1:4" x14ac:dyDescent="0.2">
      <c r="A99" t="s">
        <v>219</v>
      </c>
      <c r="B99">
        <v>3131</v>
      </c>
      <c r="C99">
        <v>2</v>
      </c>
      <c r="D99">
        <v>294</v>
      </c>
    </row>
    <row r="100" spans="1:4" x14ac:dyDescent="0.2">
      <c r="A100" t="s">
        <v>219</v>
      </c>
      <c r="B100">
        <v>3131</v>
      </c>
      <c r="C100">
        <v>3</v>
      </c>
      <c r="D100">
        <v>380</v>
      </c>
    </row>
    <row r="101" spans="1:4" x14ac:dyDescent="0.2">
      <c r="A101" t="s">
        <v>219</v>
      </c>
      <c r="B101">
        <v>3131</v>
      </c>
      <c r="C101">
        <v>4</v>
      </c>
      <c r="D101">
        <v>392</v>
      </c>
    </row>
    <row r="102" spans="1:4" x14ac:dyDescent="0.2">
      <c r="A102" t="s">
        <v>220</v>
      </c>
      <c r="B102">
        <v>3152</v>
      </c>
      <c r="C102" t="s">
        <v>221</v>
      </c>
      <c r="D102">
        <v>134</v>
      </c>
    </row>
    <row r="103" spans="1:4" x14ac:dyDescent="0.2">
      <c r="A103" t="s">
        <v>220</v>
      </c>
      <c r="B103">
        <v>3152</v>
      </c>
      <c r="C103" t="s">
        <v>361</v>
      </c>
      <c r="D103">
        <v>122</v>
      </c>
    </row>
    <row r="104" spans="1:4" x14ac:dyDescent="0.2">
      <c r="A104" t="s">
        <v>220</v>
      </c>
      <c r="B104">
        <v>3152</v>
      </c>
      <c r="C104" t="s">
        <v>178</v>
      </c>
      <c r="D104">
        <v>130</v>
      </c>
    </row>
    <row r="105" spans="1:4" x14ac:dyDescent="0.2">
      <c r="A105" t="s">
        <v>220</v>
      </c>
      <c r="B105">
        <v>3152</v>
      </c>
      <c r="C105" t="s">
        <v>222</v>
      </c>
      <c r="D105">
        <v>134</v>
      </c>
    </row>
    <row r="106" spans="1:4" x14ac:dyDescent="0.2">
      <c r="A106" t="s">
        <v>220</v>
      </c>
      <c r="B106">
        <v>3152</v>
      </c>
      <c r="C106">
        <v>3</v>
      </c>
      <c r="D106">
        <v>263</v>
      </c>
    </row>
    <row r="107" spans="1:4" x14ac:dyDescent="0.2">
      <c r="A107" t="s">
        <v>220</v>
      </c>
      <c r="B107">
        <v>3152</v>
      </c>
      <c r="C107">
        <v>4</v>
      </c>
      <c r="D107">
        <v>302</v>
      </c>
    </row>
    <row r="108" spans="1:4" x14ac:dyDescent="0.2">
      <c r="A108" t="s">
        <v>223</v>
      </c>
      <c r="B108">
        <v>3115</v>
      </c>
      <c r="C108">
        <v>1</v>
      </c>
      <c r="D108">
        <v>161</v>
      </c>
    </row>
    <row r="109" spans="1:4" x14ac:dyDescent="0.2">
      <c r="A109" t="s">
        <v>223</v>
      </c>
      <c r="B109">
        <v>3115</v>
      </c>
      <c r="C109">
        <v>2</v>
      </c>
      <c r="D109">
        <v>152</v>
      </c>
    </row>
    <row r="110" spans="1:4" x14ac:dyDescent="0.2">
      <c r="A110" t="s">
        <v>223</v>
      </c>
      <c r="B110">
        <v>3115</v>
      </c>
      <c r="C110">
        <v>3</v>
      </c>
      <c r="D110">
        <v>151</v>
      </c>
    </row>
    <row r="111" spans="1:4" x14ac:dyDescent="0.2">
      <c r="A111" t="s">
        <v>224</v>
      </c>
      <c r="B111">
        <v>3116</v>
      </c>
      <c r="C111">
        <v>1</v>
      </c>
      <c r="D111">
        <v>3</v>
      </c>
    </row>
    <row r="112" spans="1:4" x14ac:dyDescent="0.2">
      <c r="A112" t="s">
        <v>224</v>
      </c>
      <c r="B112">
        <v>3116</v>
      </c>
      <c r="C112">
        <v>2</v>
      </c>
      <c r="D112">
        <v>4</v>
      </c>
    </row>
    <row r="113" spans="1:8" x14ac:dyDescent="0.2">
      <c r="A113" t="s">
        <v>225</v>
      </c>
      <c r="B113">
        <v>880006</v>
      </c>
      <c r="C113">
        <v>1</v>
      </c>
      <c r="D113">
        <v>12</v>
      </c>
    </row>
    <row r="114" spans="1:8" x14ac:dyDescent="0.2">
      <c r="A114" t="s">
        <v>225</v>
      </c>
      <c r="B114">
        <v>880006</v>
      </c>
      <c r="C114">
        <v>2</v>
      </c>
      <c r="D114">
        <v>10</v>
      </c>
    </row>
    <row r="115" spans="1:8" x14ac:dyDescent="0.2">
      <c r="A115" t="s">
        <v>225</v>
      </c>
      <c r="B115">
        <v>880006</v>
      </c>
      <c r="C115">
        <v>3</v>
      </c>
      <c r="D115">
        <v>5</v>
      </c>
    </row>
    <row r="116" spans="1:8" x14ac:dyDescent="0.2">
      <c r="A116" t="s">
        <v>225</v>
      </c>
      <c r="B116">
        <v>880006</v>
      </c>
      <c r="C116">
        <v>4</v>
      </c>
      <c r="D116">
        <v>6</v>
      </c>
    </row>
    <row r="117" spans="1:8" x14ac:dyDescent="0.2">
      <c r="A117" t="s">
        <v>226</v>
      </c>
      <c r="B117">
        <v>3132</v>
      </c>
      <c r="C117">
        <v>1</v>
      </c>
      <c r="D117">
        <v>47</v>
      </c>
    </row>
    <row r="118" spans="1:8" x14ac:dyDescent="0.2">
      <c r="A118" t="s">
        <v>226</v>
      </c>
      <c r="B118">
        <v>3132</v>
      </c>
      <c r="C118">
        <v>2</v>
      </c>
      <c r="D118">
        <v>32</v>
      </c>
    </row>
    <row r="119" spans="1:8" x14ac:dyDescent="0.2">
      <c r="A119" t="s">
        <v>226</v>
      </c>
      <c r="B119">
        <v>3132</v>
      </c>
      <c r="C119">
        <v>3</v>
      </c>
      <c r="D119">
        <v>40</v>
      </c>
    </row>
    <row r="120" spans="1:8" x14ac:dyDescent="0.2">
      <c r="A120" t="s">
        <v>226</v>
      </c>
      <c r="B120">
        <v>3132</v>
      </c>
      <c r="C120">
        <v>4</v>
      </c>
      <c r="D120">
        <v>42</v>
      </c>
    </row>
    <row r="121" spans="1:8" x14ac:dyDescent="0.2">
      <c r="A121" t="s">
        <v>226</v>
      </c>
      <c r="B121">
        <v>3132</v>
      </c>
      <c r="C121" t="s">
        <v>773</v>
      </c>
      <c r="D121">
        <v>14</v>
      </c>
    </row>
    <row r="122" spans="1:8" x14ac:dyDescent="0.2">
      <c r="A122" t="s">
        <v>227</v>
      </c>
      <c r="B122">
        <v>50611</v>
      </c>
      <c r="C122">
        <v>31</v>
      </c>
      <c r="D122">
        <v>98</v>
      </c>
    </row>
    <row r="123" spans="1:8" x14ac:dyDescent="0.2">
      <c r="A123" t="s">
        <v>228</v>
      </c>
      <c r="B123">
        <v>50879</v>
      </c>
      <c r="C123" t="s">
        <v>229</v>
      </c>
      <c r="D123">
        <v>161</v>
      </c>
    </row>
    <row r="124" spans="1:8" x14ac:dyDescent="0.2">
      <c r="A124" t="s">
        <v>230</v>
      </c>
      <c r="B124">
        <v>10870</v>
      </c>
      <c r="C124" t="s">
        <v>231</v>
      </c>
      <c r="D124">
        <v>16</v>
      </c>
    </row>
    <row r="125" spans="1:8" x14ac:dyDescent="0.2">
      <c r="A125" t="s">
        <v>230</v>
      </c>
      <c r="B125">
        <v>10870</v>
      </c>
      <c r="C125" t="s">
        <v>232</v>
      </c>
      <c r="D125">
        <v>141</v>
      </c>
    </row>
    <row r="126" spans="1:8" x14ac:dyDescent="0.2">
      <c r="D126">
        <f>SUM(D3:D125)</f>
        <v>44863</v>
      </c>
    </row>
    <row r="128" spans="1:8" ht="13.5" thickBot="1" x14ac:dyDescent="0.25">
      <c r="A128" s="168"/>
      <c r="B128" s="168"/>
      <c r="C128" s="168"/>
      <c r="D128" s="168"/>
      <c r="E128" s="168"/>
      <c r="F128" s="168"/>
      <c r="G128" s="168"/>
      <c r="H128" s="168"/>
    </row>
    <row r="129" spans="1:5" x14ac:dyDescent="0.2">
      <c r="A129" s="3" t="s">
        <v>233</v>
      </c>
    </row>
    <row r="131" spans="1:5" x14ac:dyDescent="0.2">
      <c r="A131" s="3" t="s">
        <v>172</v>
      </c>
      <c r="B131" s="3" t="s">
        <v>830</v>
      </c>
      <c r="C131" s="3" t="s">
        <v>323</v>
      </c>
      <c r="D131" s="3" t="s">
        <v>324</v>
      </c>
      <c r="E131" s="3" t="s">
        <v>171</v>
      </c>
    </row>
    <row r="132" spans="1:5" x14ac:dyDescent="0.2">
      <c r="A132" t="s">
        <v>135</v>
      </c>
      <c r="B132" t="s">
        <v>136</v>
      </c>
      <c r="C132">
        <v>22</v>
      </c>
      <c r="D132">
        <v>15</v>
      </c>
      <c r="E132">
        <v>25</v>
      </c>
    </row>
    <row r="133" spans="1:5" x14ac:dyDescent="0.2">
      <c r="A133" t="s">
        <v>135</v>
      </c>
      <c r="B133" t="s">
        <v>136</v>
      </c>
      <c r="C133">
        <v>22</v>
      </c>
      <c r="D133">
        <v>17</v>
      </c>
      <c r="E133">
        <v>15</v>
      </c>
    </row>
    <row r="134" spans="1:5" x14ac:dyDescent="0.2">
      <c r="A134" t="s">
        <v>135</v>
      </c>
      <c r="B134" t="s">
        <v>136</v>
      </c>
      <c r="C134">
        <v>22</v>
      </c>
      <c r="D134">
        <v>19</v>
      </c>
      <c r="E134">
        <v>29</v>
      </c>
    </row>
    <row r="135" spans="1:5" x14ac:dyDescent="0.2">
      <c r="A135" t="s">
        <v>135</v>
      </c>
      <c r="B135" t="s">
        <v>136</v>
      </c>
      <c r="C135">
        <v>22</v>
      </c>
      <c r="D135">
        <v>21</v>
      </c>
      <c r="E135">
        <v>55</v>
      </c>
    </row>
    <row r="136" spans="1:5" x14ac:dyDescent="0.2">
      <c r="A136" t="s">
        <v>135</v>
      </c>
      <c r="B136" t="s">
        <v>137</v>
      </c>
      <c r="C136">
        <v>50</v>
      </c>
      <c r="D136">
        <v>6</v>
      </c>
      <c r="E136">
        <v>18</v>
      </c>
    </row>
    <row r="137" spans="1:5" x14ac:dyDescent="0.2">
      <c r="A137" t="s">
        <v>135</v>
      </c>
      <c r="B137" t="s">
        <v>137</v>
      </c>
      <c r="C137">
        <v>50</v>
      </c>
      <c r="D137">
        <v>9</v>
      </c>
      <c r="E137">
        <v>15</v>
      </c>
    </row>
    <row r="138" spans="1:5" x14ac:dyDescent="0.2">
      <c r="A138" t="s">
        <v>138</v>
      </c>
      <c r="B138" t="s">
        <v>139</v>
      </c>
      <c r="C138">
        <v>4</v>
      </c>
      <c r="D138">
        <v>101</v>
      </c>
      <c r="E138">
        <v>0</v>
      </c>
    </row>
    <row r="139" spans="1:5" x14ac:dyDescent="0.2">
      <c r="A139" t="s">
        <v>140</v>
      </c>
      <c r="B139" t="s">
        <v>141</v>
      </c>
      <c r="C139">
        <v>32</v>
      </c>
      <c r="D139">
        <v>34</v>
      </c>
      <c r="E139">
        <v>176</v>
      </c>
    </row>
    <row r="140" spans="1:5" x14ac:dyDescent="0.2">
      <c r="A140" t="s">
        <v>140</v>
      </c>
      <c r="B140" t="s">
        <v>141</v>
      </c>
      <c r="C140">
        <v>32</v>
      </c>
      <c r="D140">
        <v>35</v>
      </c>
      <c r="E140">
        <v>180</v>
      </c>
    </row>
    <row r="141" spans="1:5" x14ac:dyDescent="0.2">
      <c r="A141" t="s">
        <v>142</v>
      </c>
      <c r="B141" t="s">
        <v>143</v>
      </c>
      <c r="C141">
        <v>87</v>
      </c>
      <c r="D141">
        <v>31</v>
      </c>
      <c r="E141">
        <v>98</v>
      </c>
    </row>
    <row r="142" spans="1:5" x14ac:dyDescent="0.2">
      <c r="A142" t="s">
        <v>144</v>
      </c>
      <c r="B142" t="s">
        <v>145</v>
      </c>
      <c r="C142">
        <v>55</v>
      </c>
      <c r="D142">
        <v>43</v>
      </c>
      <c r="E142">
        <v>15</v>
      </c>
    </row>
    <row r="143" spans="1:5" x14ac:dyDescent="0.2">
      <c r="A143" t="s">
        <v>144</v>
      </c>
      <c r="B143" t="s">
        <v>145</v>
      </c>
      <c r="C143">
        <v>55</v>
      </c>
      <c r="D143">
        <v>45</v>
      </c>
      <c r="E143">
        <v>32</v>
      </c>
    </row>
    <row r="144" spans="1:5" x14ac:dyDescent="0.2">
      <c r="A144" t="s">
        <v>144</v>
      </c>
      <c r="B144" t="s">
        <v>145</v>
      </c>
      <c r="C144">
        <v>55</v>
      </c>
      <c r="D144">
        <v>44</v>
      </c>
      <c r="E144">
        <v>77</v>
      </c>
    </row>
    <row r="145" spans="1:5" x14ac:dyDescent="0.2">
      <c r="A145" t="s">
        <v>146</v>
      </c>
      <c r="B145" t="s">
        <v>147</v>
      </c>
      <c r="C145">
        <v>8</v>
      </c>
      <c r="D145">
        <v>33</v>
      </c>
      <c r="E145">
        <v>101</v>
      </c>
    </row>
    <row r="146" spans="1:5" x14ac:dyDescent="0.2">
      <c r="A146" t="s">
        <v>146</v>
      </c>
      <c r="B146" t="s">
        <v>147</v>
      </c>
      <c r="C146">
        <v>8</v>
      </c>
      <c r="D146">
        <v>34</v>
      </c>
      <c r="E146">
        <v>90</v>
      </c>
    </row>
    <row r="147" spans="1:5" x14ac:dyDescent="0.2">
      <c r="A147" t="s">
        <v>148</v>
      </c>
      <c r="B147" t="s">
        <v>149</v>
      </c>
      <c r="C147">
        <v>16</v>
      </c>
      <c r="D147">
        <v>3</v>
      </c>
      <c r="E147">
        <v>41</v>
      </c>
    </row>
    <row r="148" spans="1:5" x14ac:dyDescent="0.2">
      <c r="A148" t="s">
        <v>148</v>
      </c>
      <c r="B148" t="s">
        <v>149</v>
      </c>
      <c r="C148">
        <v>16</v>
      </c>
      <c r="D148">
        <v>35</v>
      </c>
      <c r="E148">
        <v>345</v>
      </c>
    </row>
    <row r="149" spans="1:5" x14ac:dyDescent="0.2">
      <c r="A149" t="s">
        <v>148</v>
      </c>
      <c r="B149" t="s">
        <v>150</v>
      </c>
      <c r="C149">
        <v>25</v>
      </c>
      <c r="D149">
        <v>89</v>
      </c>
      <c r="E149">
        <v>102</v>
      </c>
    </row>
    <row r="150" spans="1:5" x14ac:dyDescent="0.2">
      <c r="A150" t="s">
        <v>148</v>
      </c>
      <c r="B150" t="s">
        <v>150</v>
      </c>
      <c r="C150">
        <v>25</v>
      </c>
      <c r="D150">
        <v>90</v>
      </c>
      <c r="E150">
        <v>163</v>
      </c>
    </row>
    <row r="151" spans="1:5" x14ac:dyDescent="0.2">
      <c r="A151" t="s">
        <v>148</v>
      </c>
      <c r="B151" t="s">
        <v>151</v>
      </c>
      <c r="C151">
        <v>30</v>
      </c>
      <c r="D151">
        <v>32</v>
      </c>
      <c r="E151">
        <v>71</v>
      </c>
    </row>
    <row r="152" spans="1:5" x14ac:dyDescent="0.2">
      <c r="A152" t="s">
        <v>148</v>
      </c>
      <c r="B152" t="s">
        <v>151</v>
      </c>
      <c r="C152">
        <v>30</v>
      </c>
      <c r="D152">
        <v>33</v>
      </c>
      <c r="E152">
        <v>80</v>
      </c>
    </row>
    <row r="153" spans="1:5" x14ac:dyDescent="0.2">
      <c r="A153" t="s">
        <v>152</v>
      </c>
      <c r="B153" t="s">
        <v>153</v>
      </c>
      <c r="C153">
        <v>5</v>
      </c>
      <c r="D153">
        <v>40</v>
      </c>
      <c r="E153">
        <v>90</v>
      </c>
    </row>
    <row r="154" spans="1:5" x14ac:dyDescent="0.2">
      <c r="A154" t="s">
        <v>152</v>
      </c>
      <c r="B154" t="s">
        <v>153</v>
      </c>
      <c r="C154">
        <v>5</v>
      </c>
      <c r="D154">
        <v>41</v>
      </c>
      <c r="E154">
        <v>89</v>
      </c>
    </row>
    <row r="155" spans="1:5" x14ac:dyDescent="0.2">
      <c r="A155" t="s">
        <v>154</v>
      </c>
      <c r="B155" t="s">
        <v>155</v>
      </c>
      <c r="C155">
        <v>9</v>
      </c>
      <c r="D155">
        <v>32</v>
      </c>
      <c r="E155">
        <v>16</v>
      </c>
    </row>
    <row r="156" spans="1:5" x14ac:dyDescent="0.2">
      <c r="A156" t="s">
        <v>156</v>
      </c>
      <c r="B156" t="s">
        <v>157</v>
      </c>
      <c r="C156">
        <v>28</v>
      </c>
      <c r="D156">
        <v>39</v>
      </c>
      <c r="E156">
        <v>126</v>
      </c>
    </row>
    <row r="157" spans="1:5" x14ac:dyDescent="0.2">
      <c r="A157" t="s">
        <v>158</v>
      </c>
      <c r="B157" t="s">
        <v>159</v>
      </c>
      <c r="C157">
        <v>48</v>
      </c>
      <c r="D157">
        <v>41</v>
      </c>
      <c r="E157">
        <v>100</v>
      </c>
    </row>
    <row r="158" spans="1:5" x14ac:dyDescent="0.2">
      <c r="A158" t="s">
        <v>158</v>
      </c>
      <c r="B158" t="s">
        <v>159</v>
      </c>
      <c r="C158">
        <v>48</v>
      </c>
      <c r="D158">
        <v>42</v>
      </c>
      <c r="E158">
        <v>66</v>
      </c>
    </row>
    <row r="159" spans="1:5" x14ac:dyDescent="0.2">
      <c r="A159" t="s">
        <v>158</v>
      </c>
      <c r="B159" t="s">
        <v>159</v>
      </c>
      <c r="C159">
        <v>48</v>
      </c>
      <c r="D159">
        <v>67</v>
      </c>
      <c r="E159">
        <v>165</v>
      </c>
    </row>
    <row r="160" spans="1:5" x14ac:dyDescent="0.2">
      <c r="A160" t="s">
        <v>160</v>
      </c>
      <c r="B160" t="s">
        <v>143</v>
      </c>
      <c r="C160">
        <v>1</v>
      </c>
      <c r="D160">
        <v>31</v>
      </c>
      <c r="E160">
        <v>0</v>
      </c>
    </row>
    <row r="161" spans="1:5" x14ac:dyDescent="0.2">
      <c r="A161" t="s">
        <v>161</v>
      </c>
      <c r="B161" t="s">
        <v>162</v>
      </c>
      <c r="C161">
        <v>1501</v>
      </c>
      <c r="D161">
        <v>20</v>
      </c>
      <c r="E161">
        <v>49</v>
      </c>
    </row>
    <row r="162" spans="1:5" x14ac:dyDescent="0.2">
      <c r="A162" t="s">
        <v>161</v>
      </c>
      <c r="B162" t="s">
        <v>162</v>
      </c>
      <c r="C162">
        <v>1501</v>
      </c>
      <c r="D162">
        <v>21</v>
      </c>
      <c r="E162">
        <v>83</v>
      </c>
    </row>
    <row r="163" spans="1:5" x14ac:dyDescent="0.2">
      <c r="A163" t="s">
        <v>161</v>
      </c>
      <c r="B163" t="s">
        <v>162</v>
      </c>
      <c r="C163">
        <v>1501</v>
      </c>
      <c r="D163">
        <v>22</v>
      </c>
      <c r="E163">
        <v>105</v>
      </c>
    </row>
    <row r="166" spans="1:5" x14ac:dyDescent="0.2">
      <c r="A166" t="s">
        <v>161</v>
      </c>
      <c r="B166" t="s">
        <v>162</v>
      </c>
      <c r="C166">
        <v>1501</v>
      </c>
      <c r="D166">
        <v>23</v>
      </c>
      <c r="E166">
        <v>127</v>
      </c>
    </row>
    <row r="167" spans="1:5" x14ac:dyDescent="0.2">
      <c r="A167" t="s">
        <v>161</v>
      </c>
      <c r="B167" t="s">
        <v>163</v>
      </c>
      <c r="C167">
        <v>1551</v>
      </c>
      <c r="D167">
        <v>52</v>
      </c>
      <c r="E167">
        <v>86</v>
      </c>
    </row>
    <row r="168" spans="1:5" x14ac:dyDescent="0.2">
      <c r="A168" t="s">
        <v>161</v>
      </c>
      <c r="B168" t="s">
        <v>164</v>
      </c>
      <c r="C168">
        <v>9702</v>
      </c>
      <c r="D168">
        <v>16</v>
      </c>
      <c r="E168">
        <v>0</v>
      </c>
    </row>
    <row r="169" spans="1:5" x14ac:dyDescent="0.2">
      <c r="A169" t="s">
        <v>161</v>
      </c>
      <c r="B169" t="s">
        <v>164</v>
      </c>
      <c r="C169">
        <v>9702</v>
      </c>
      <c r="D169">
        <v>17</v>
      </c>
      <c r="E169">
        <v>1</v>
      </c>
    </row>
    <row r="170" spans="1:5" x14ac:dyDescent="0.2">
      <c r="A170" t="s">
        <v>161</v>
      </c>
      <c r="B170" t="s">
        <v>164</v>
      </c>
      <c r="C170">
        <v>9702</v>
      </c>
      <c r="D170">
        <v>98</v>
      </c>
      <c r="E170">
        <v>0</v>
      </c>
    </row>
    <row r="171" spans="1:5" x14ac:dyDescent="0.2">
      <c r="A171" t="s">
        <v>161</v>
      </c>
      <c r="B171" t="s">
        <v>164</v>
      </c>
      <c r="C171">
        <v>9702</v>
      </c>
      <c r="D171">
        <v>99</v>
      </c>
      <c r="E171">
        <v>0</v>
      </c>
    </row>
    <row r="172" spans="1:5" x14ac:dyDescent="0.2">
      <c r="A172" t="s">
        <v>165</v>
      </c>
      <c r="B172" t="s">
        <v>166</v>
      </c>
      <c r="C172">
        <v>7</v>
      </c>
      <c r="D172">
        <v>31</v>
      </c>
      <c r="E172">
        <v>0</v>
      </c>
    </row>
    <row r="173" spans="1:5" x14ac:dyDescent="0.2">
      <c r="A173" t="s">
        <v>167</v>
      </c>
      <c r="B173" t="s">
        <v>168</v>
      </c>
      <c r="C173">
        <v>9</v>
      </c>
      <c r="D173">
        <v>35</v>
      </c>
      <c r="E173">
        <v>187</v>
      </c>
    </row>
    <row r="174" spans="1:5" x14ac:dyDescent="0.2">
      <c r="A174" t="s">
        <v>169</v>
      </c>
      <c r="B174" t="s">
        <v>170</v>
      </c>
      <c r="C174">
        <v>16</v>
      </c>
      <c r="D174">
        <v>31</v>
      </c>
      <c r="E174">
        <v>0</v>
      </c>
    </row>
    <row r="175" spans="1:5" x14ac:dyDescent="0.2">
      <c r="A175" t="s">
        <v>169</v>
      </c>
      <c r="B175" t="s">
        <v>170</v>
      </c>
      <c r="C175">
        <v>16</v>
      </c>
      <c r="D175">
        <v>34</v>
      </c>
      <c r="E175">
        <v>137</v>
      </c>
    </row>
    <row r="176" spans="1:5" x14ac:dyDescent="0.2">
      <c r="A176" t="s">
        <v>169</v>
      </c>
      <c r="B176" t="s">
        <v>170</v>
      </c>
      <c r="C176">
        <v>16</v>
      </c>
      <c r="D176">
        <v>35</v>
      </c>
      <c r="E176">
        <v>112</v>
      </c>
    </row>
    <row r="177" spans="1:6" x14ac:dyDescent="0.2">
      <c r="A177" t="s">
        <v>169</v>
      </c>
      <c r="B177" t="s">
        <v>170</v>
      </c>
      <c r="C177">
        <v>16</v>
      </c>
      <c r="D177">
        <v>36</v>
      </c>
      <c r="E177">
        <v>211</v>
      </c>
    </row>
    <row r="178" spans="1:6" x14ac:dyDescent="0.2">
      <c r="E178">
        <f>SUM(E132:E177)</f>
        <v>3478</v>
      </c>
      <c r="F178">
        <f>E178+D126</f>
        <v>48341</v>
      </c>
    </row>
    <row r="197" spans="1:8" s="168" customFormat="1" ht="13.5" thickBot="1" x14ac:dyDescent="0.25">
      <c r="A197"/>
      <c r="B197"/>
      <c r="C197"/>
      <c r="D197"/>
      <c r="E197"/>
      <c r="F197"/>
      <c r="G197"/>
      <c r="H19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"/>
  <sheetViews>
    <sheetView workbookViewId="0">
      <selection activeCell="B6" sqref="B6"/>
    </sheetView>
  </sheetViews>
  <sheetFormatPr defaultRowHeight="12.75" x14ac:dyDescent="0.2"/>
  <cols>
    <col min="1" max="1" width="25.85546875" customWidth="1"/>
    <col min="2" max="2" width="15.85546875" customWidth="1"/>
  </cols>
  <sheetData>
    <row r="1" spans="1:2" ht="25.5" x14ac:dyDescent="0.2">
      <c r="A1" s="1" t="s">
        <v>830</v>
      </c>
      <c r="B1" s="1" t="s">
        <v>365</v>
      </c>
    </row>
    <row r="2" spans="1:2" x14ac:dyDescent="0.2">
      <c r="A2" t="s">
        <v>366</v>
      </c>
      <c r="B2">
        <v>275</v>
      </c>
    </row>
    <row r="3" spans="1:2" x14ac:dyDescent="0.2">
      <c r="A3" t="s">
        <v>367</v>
      </c>
      <c r="B3">
        <v>42</v>
      </c>
    </row>
    <row r="4" spans="1:2" x14ac:dyDescent="0.2">
      <c r="A4" t="s">
        <v>368</v>
      </c>
      <c r="B4">
        <v>262</v>
      </c>
    </row>
    <row r="5" spans="1:2" x14ac:dyDescent="0.2">
      <c r="A5" t="s">
        <v>369</v>
      </c>
      <c r="B5">
        <v>46</v>
      </c>
    </row>
    <row r="6" spans="1:2" x14ac:dyDescent="0.2">
      <c r="B6">
        <f>SUM(B2:B5)</f>
        <v>625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115"/>
  <sheetViews>
    <sheetView topLeftCell="L55" workbookViewId="0">
      <selection activeCell="T80" sqref="T80"/>
    </sheetView>
  </sheetViews>
  <sheetFormatPr defaultRowHeight="12.75" x14ac:dyDescent="0.2"/>
  <cols>
    <col min="1" max="1" width="26.5703125" customWidth="1"/>
    <col min="3" max="3" width="12.28515625" customWidth="1"/>
    <col min="6" max="6" width="13.140625" customWidth="1"/>
    <col min="8" max="8" width="13" customWidth="1"/>
    <col min="9" max="9" width="12.7109375" customWidth="1"/>
    <col min="10" max="10" width="13.140625" customWidth="1"/>
    <col min="11" max="11" width="13.28515625" customWidth="1"/>
    <col min="12" max="12" width="13" customWidth="1"/>
    <col min="13" max="13" width="12.85546875" customWidth="1"/>
    <col min="14" max="14" width="12.42578125" customWidth="1"/>
    <col min="15" max="15" width="11.85546875" customWidth="1"/>
    <col min="17" max="17" width="13" customWidth="1"/>
  </cols>
  <sheetData>
    <row r="1" spans="1:28" ht="51" x14ac:dyDescent="0.2">
      <c r="A1" s="1" t="s">
        <v>581</v>
      </c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t="s">
        <v>386</v>
      </c>
      <c r="B2">
        <v>21</v>
      </c>
      <c r="C2" t="s">
        <v>387</v>
      </c>
      <c r="D2" t="s">
        <v>388</v>
      </c>
      <c r="F2" t="s">
        <v>389</v>
      </c>
      <c r="G2" t="s">
        <v>390</v>
      </c>
      <c r="H2" t="s">
        <v>391</v>
      </c>
      <c r="K2" s="2">
        <v>1491000</v>
      </c>
      <c r="L2" s="2">
        <v>2340336</v>
      </c>
      <c r="M2" s="2">
        <v>2340336</v>
      </c>
      <c r="N2" s="2">
        <v>1491000</v>
      </c>
      <c r="O2" s="2">
        <v>1915688</v>
      </c>
      <c r="P2">
        <v>160</v>
      </c>
      <c r="Q2">
        <v>160</v>
      </c>
    </row>
    <row r="3" spans="1:28" x14ac:dyDescent="0.2">
      <c r="A3" t="s">
        <v>392</v>
      </c>
      <c r="B3">
        <v>31</v>
      </c>
      <c r="C3" t="s">
        <v>393</v>
      </c>
      <c r="D3">
        <v>1</v>
      </c>
      <c r="E3" t="s">
        <v>394</v>
      </c>
      <c r="G3" t="s">
        <v>395</v>
      </c>
      <c r="H3" s="2">
        <v>4616000</v>
      </c>
      <c r="I3" s="2">
        <v>4538000</v>
      </c>
      <c r="J3" s="2">
        <v>4017000</v>
      </c>
      <c r="K3" s="2">
        <v>4308000</v>
      </c>
      <c r="L3" s="2">
        <v>5295505</v>
      </c>
      <c r="M3" s="2">
        <v>5295505</v>
      </c>
      <c r="N3" s="2">
        <v>4616000</v>
      </c>
      <c r="O3" s="2">
        <v>4955753</v>
      </c>
      <c r="P3">
        <v>414</v>
      </c>
    </row>
    <row r="4" spans="1:28" x14ac:dyDescent="0.2">
      <c r="A4" t="s">
        <v>396</v>
      </c>
      <c r="B4">
        <v>31</v>
      </c>
      <c r="C4" t="s">
        <v>393</v>
      </c>
      <c r="D4">
        <v>6</v>
      </c>
      <c r="E4" t="s">
        <v>773</v>
      </c>
      <c r="F4" t="s">
        <v>397</v>
      </c>
      <c r="G4" t="s">
        <v>398</v>
      </c>
      <c r="H4" s="2">
        <v>93580</v>
      </c>
      <c r="I4" s="2">
        <v>87167</v>
      </c>
      <c r="J4" s="2">
        <v>210839</v>
      </c>
      <c r="K4" s="2">
        <v>450506</v>
      </c>
      <c r="L4" s="2">
        <v>259836</v>
      </c>
      <c r="M4" s="2">
        <v>450506</v>
      </c>
      <c r="N4" s="2">
        <v>259836</v>
      </c>
      <c r="O4" s="2">
        <v>355171</v>
      </c>
      <c r="P4">
        <v>30</v>
      </c>
    </row>
    <row r="5" spans="1:28" x14ac:dyDescent="0.2">
      <c r="A5" t="s">
        <v>396</v>
      </c>
      <c r="B5">
        <v>31</v>
      </c>
      <c r="C5" t="s">
        <v>399</v>
      </c>
      <c r="D5">
        <v>1</v>
      </c>
      <c r="E5" t="s">
        <v>716</v>
      </c>
      <c r="F5" t="s">
        <v>397</v>
      </c>
      <c r="G5" t="s">
        <v>398</v>
      </c>
      <c r="H5" s="2">
        <v>28581</v>
      </c>
      <c r="I5" s="2">
        <v>21087</v>
      </c>
      <c r="J5" s="2">
        <v>71389</v>
      </c>
      <c r="K5" s="2">
        <v>171224</v>
      </c>
      <c r="L5" s="2">
        <v>145106</v>
      </c>
      <c r="M5" s="2">
        <v>171224</v>
      </c>
      <c r="N5" s="2">
        <v>145106</v>
      </c>
      <c r="O5" s="2">
        <v>158165</v>
      </c>
      <c r="P5">
        <v>13</v>
      </c>
    </row>
    <row r="6" spans="1:28" x14ac:dyDescent="0.2">
      <c r="A6" t="s">
        <v>396</v>
      </c>
      <c r="B6">
        <v>31</v>
      </c>
      <c r="C6" t="s">
        <v>399</v>
      </c>
      <c r="D6">
        <v>1</v>
      </c>
      <c r="E6" t="s">
        <v>719</v>
      </c>
      <c r="F6" t="s">
        <v>397</v>
      </c>
      <c r="G6" t="s">
        <v>398</v>
      </c>
      <c r="H6" s="2">
        <v>102313</v>
      </c>
      <c r="I6" s="2">
        <v>92027</v>
      </c>
      <c r="J6" s="2">
        <v>183338</v>
      </c>
      <c r="K6" s="2">
        <v>424081</v>
      </c>
      <c r="L6" s="2">
        <v>239660</v>
      </c>
      <c r="M6" s="2">
        <v>424081</v>
      </c>
      <c r="N6" s="2">
        <v>239660</v>
      </c>
      <c r="O6" s="2">
        <v>331871</v>
      </c>
      <c r="P6">
        <v>28</v>
      </c>
    </row>
    <row r="7" spans="1:28" x14ac:dyDescent="0.2">
      <c r="A7" t="s">
        <v>396</v>
      </c>
      <c r="B7">
        <v>31</v>
      </c>
      <c r="C7" t="s">
        <v>399</v>
      </c>
      <c r="D7">
        <v>1</v>
      </c>
      <c r="E7" t="s">
        <v>722</v>
      </c>
      <c r="F7" t="s">
        <v>397</v>
      </c>
      <c r="G7" t="s">
        <v>398</v>
      </c>
      <c r="H7" s="2">
        <v>21542</v>
      </c>
      <c r="I7" s="2">
        <v>22919</v>
      </c>
      <c r="J7" s="2">
        <v>98327</v>
      </c>
      <c r="K7" s="2">
        <v>271156</v>
      </c>
      <c r="L7" s="2">
        <v>164442</v>
      </c>
      <c r="M7" s="2">
        <v>271156</v>
      </c>
      <c r="N7" s="2">
        <v>164442</v>
      </c>
      <c r="O7" s="2">
        <v>217799</v>
      </c>
      <c r="P7">
        <v>18</v>
      </c>
    </row>
    <row r="8" spans="1:28" x14ac:dyDescent="0.2">
      <c r="A8" t="s">
        <v>396</v>
      </c>
      <c r="B8">
        <v>31</v>
      </c>
      <c r="C8" t="s">
        <v>399</v>
      </c>
      <c r="D8">
        <v>1</v>
      </c>
      <c r="E8" t="s">
        <v>725</v>
      </c>
      <c r="F8" t="s">
        <v>397</v>
      </c>
      <c r="G8" t="s">
        <v>398</v>
      </c>
      <c r="H8" s="2">
        <v>94947</v>
      </c>
      <c r="I8" s="2">
        <v>91959</v>
      </c>
      <c r="J8" s="2">
        <v>206187</v>
      </c>
      <c r="K8" s="2">
        <v>459659</v>
      </c>
      <c r="L8" s="2">
        <v>213736</v>
      </c>
      <c r="M8" s="2">
        <v>459659</v>
      </c>
      <c r="N8" s="2">
        <v>213736</v>
      </c>
      <c r="O8" s="2">
        <v>336697</v>
      </c>
      <c r="P8">
        <v>28</v>
      </c>
    </row>
    <row r="9" spans="1:28" x14ac:dyDescent="0.2">
      <c r="A9" t="s">
        <v>396</v>
      </c>
      <c r="B9">
        <v>31</v>
      </c>
      <c r="C9" t="s">
        <v>399</v>
      </c>
      <c r="D9">
        <v>1</v>
      </c>
      <c r="E9" t="s">
        <v>728</v>
      </c>
      <c r="F9" t="s">
        <v>397</v>
      </c>
      <c r="G9" t="s">
        <v>398</v>
      </c>
      <c r="H9" s="2">
        <v>23028</v>
      </c>
      <c r="I9" s="2">
        <v>17755</v>
      </c>
      <c r="J9" s="2">
        <v>88407</v>
      </c>
      <c r="K9" s="2">
        <v>204571</v>
      </c>
      <c r="L9" s="2">
        <v>150471</v>
      </c>
      <c r="M9" s="2">
        <v>204571</v>
      </c>
      <c r="N9" s="2">
        <v>150471</v>
      </c>
      <c r="O9" s="2">
        <v>177521</v>
      </c>
      <c r="P9">
        <v>15</v>
      </c>
    </row>
    <row r="10" spans="1:28" x14ac:dyDescent="0.2">
      <c r="A10" t="s">
        <v>396</v>
      </c>
      <c r="B10">
        <v>31</v>
      </c>
      <c r="C10" t="s">
        <v>399</v>
      </c>
      <c r="D10">
        <v>1</v>
      </c>
      <c r="E10" t="s">
        <v>731</v>
      </c>
      <c r="F10" t="s">
        <v>397</v>
      </c>
      <c r="G10" t="s">
        <v>398</v>
      </c>
      <c r="H10" s="2">
        <v>92630</v>
      </c>
      <c r="I10" s="2">
        <v>86512</v>
      </c>
      <c r="J10" s="2">
        <v>190038</v>
      </c>
      <c r="K10" s="2">
        <v>212282</v>
      </c>
      <c r="L10" s="2">
        <v>244129</v>
      </c>
      <c r="M10" s="2">
        <v>244129</v>
      </c>
      <c r="N10" s="2">
        <v>212282</v>
      </c>
      <c r="O10" s="2">
        <v>228206</v>
      </c>
      <c r="P10">
        <v>19</v>
      </c>
    </row>
    <row r="11" spans="1:28" x14ac:dyDescent="0.2">
      <c r="A11" t="s">
        <v>396</v>
      </c>
      <c r="B11">
        <v>31</v>
      </c>
      <c r="C11" t="s">
        <v>399</v>
      </c>
      <c r="D11">
        <v>1</v>
      </c>
      <c r="E11" t="s">
        <v>733</v>
      </c>
      <c r="F11" t="s">
        <v>397</v>
      </c>
      <c r="G11" t="s">
        <v>398</v>
      </c>
      <c r="H11" s="2">
        <v>31058</v>
      </c>
      <c r="I11" s="2">
        <v>19119</v>
      </c>
      <c r="J11" s="2">
        <v>76954</v>
      </c>
      <c r="K11" s="2">
        <v>188969</v>
      </c>
      <c r="L11" s="2">
        <v>141262</v>
      </c>
      <c r="M11" s="2">
        <v>188969</v>
      </c>
      <c r="N11" s="2">
        <v>141262</v>
      </c>
      <c r="O11" s="2">
        <v>165116</v>
      </c>
      <c r="P11">
        <v>14</v>
      </c>
    </row>
    <row r="12" spans="1:28" x14ac:dyDescent="0.2">
      <c r="A12" t="s">
        <v>396</v>
      </c>
      <c r="B12">
        <v>31</v>
      </c>
      <c r="C12" t="s">
        <v>399</v>
      </c>
      <c r="D12">
        <v>1</v>
      </c>
      <c r="E12" t="s">
        <v>736</v>
      </c>
      <c r="F12" t="s">
        <v>397</v>
      </c>
      <c r="G12" t="s">
        <v>398</v>
      </c>
      <c r="H12" s="2">
        <v>28841</v>
      </c>
      <c r="I12" s="2">
        <v>22858</v>
      </c>
      <c r="J12" s="2">
        <v>78659</v>
      </c>
      <c r="K12" s="2">
        <v>186502</v>
      </c>
      <c r="L12" s="2">
        <v>149093</v>
      </c>
      <c r="M12" s="2">
        <v>186502</v>
      </c>
      <c r="N12" s="2">
        <v>149093</v>
      </c>
      <c r="O12" s="2">
        <v>167798</v>
      </c>
      <c r="P12">
        <v>14</v>
      </c>
    </row>
    <row r="13" spans="1:28" x14ac:dyDescent="0.2">
      <c r="A13" t="s">
        <v>396</v>
      </c>
      <c r="B13">
        <v>31</v>
      </c>
      <c r="C13" t="s">
        <v>399</v>
      </c>
      <c r="D13">
        <v>1</v>
      </c>
      <c r="E13" t="s">
        <v>739</v>
      </c>
      <c r="F13" t="s">
        <v>397</v>
      </c>
      <c r="G13" t="s">
        <v>398</v>
      </c>
      <c r="H13" s="2">
        <v>32913</v>
      </c>
      <c r="I13" s="2">
        <v>19864</v>
      </c>
      <c r="J13" s="2">
        <v>69563</v>
      </c>
      <c r="K13" s="2">
        <v>258334</v>
      </c>
      <c r="L13" s="2">
        <v>156143</v>
      </c>
      <c r="M13" s="2">
        <v>258334</v>
      </c>
      <c r="N13" s="2">
        <v>156143</v>
      </c>
      <c r="O13" s="2">
        <v>207238</v>
      </c>
      <c r="P13">
        <v>17</v>
      </c>
    </row>
    <row r="14" spans="1:28" x14ac:dyDescent="0.2">
      <c r="A14" t="s">
        <v>396</v>
      </c>
      <c r="B14">
        <v>31</v>
      </c>
      <c r="C14" t="s">
        <v>399</v>
      </c>
      <c r="D14">
        <v>1</v>
      </c>
      <c r="E14" t="s">
        <v>400</v>
      </c>
      <c r="F14" t="s">
        <v>397</v>
      </c>
      <c r="G14" t="s">
        <v>398</v>
      </c>
      <c r="H14" s="2">
        <v>26654</v>
      </c>
      <c r="I14" s="2">
        <v>24912</v>
      </c>
      <c r="J14" s="2">
        <v>69477</v>
      </c>
      <c r="K14" s="2">
        <v>199741</v>
      </c>
      <c r="L14" s="2">
        <v>158159</v>
      </c>
      <c r="M14" s="2">
        <v>199741</v>
      </c>
      <c r="N14" s="2">
        <v>158159</v>
      </c>
      <c r="O14" s="2">
        <v>178950</v>
      </c>
      <c r="P14">
        <v>15</v>
      </c>
    </row>
    <row r="15" spans="1:28" x14ac:dyDescent="0.2">
      <c r="A15" t="s">
        <v>396</v>
      </c>
      <c r="B15">
        <v>31</v>
      </c>
      <c r="C15" t="s">
        <v>393</v>
      </c>
      <c r="D15">
        <v>6</v>
      </c>
      <c r="E15" t="s">
        <v>401</v>
      </c>
      <c r="G15" t="s">
        <v>402</v>
      </c>
      <c r="H15" t="s">
        <v>391</v>
      </c>
      <c r="I15" t="s">
        <v>403</v>
      </c>
      <c r="J15" s="2">
        <v>64000</v>
      </c>
      <c r="K15" s="2">
        <v>255000</v>
      </c>
      <c r="L15" s="2">
        <v>622999</v>
      </c>
      <c r="M15" s="2">
        <v>622999</v>
      </c>
      <c r="N15" s="2">
        <v>255000</v>
      </c>
      <c r="O15" s="2">
        <v>439000</v>
      </c>
      <c r="P15">
        <v>37</v>
      </c>
    </row>
    <row r="16" spans="1:28" x14ac:dyDescent="0.2">
      <c r="A16" t="s">
        <v>396</v>
      </c>
      <c r="B16">
        <v>31</v>
      </c>
      <c r="C16" t="s">
        <v>393</v>
      </c>
      <c r="D16">
        <v>6</v>
      </c>
      <c r="E16" t="s">
        <v>404</v>
      </c>
      <c r="G16" t="s">
        <v>402</v>
      </c>
      <c r="H16" t="s">
        <v>391</v>
      </c>
      <c r="I16" t="s">
        <v>403</v>
      </c>
      <c r="J16" s="2">
        <v>20000</v>
      </c>
      <c r="K16" s="2">
        <v>815000</v>
      </c>
      <c r="L16" s="2">
        <v>659642</v>
      </c>
      <c r="M16" s="2">
        <v>815000</v>
      </c>
      <c r="N16" s="2">
        <v>659642</v>
      </c>
      <c r="O16" s="2">
        <v>737321</v>
      </c>
      <c r="P16">
        <v>62</v>
      </c>
      <c r="Q16">
        <v>723</v>
      </c>
    </row>
    <row r="17" spans="1:17" x14ac:dyDescent="0.2">
      <c r="A17" t="s">
        <v>405</v>
      </c>
      <c r="B17">
        <v>7</v>
      </c>
      <c r="C17" t="s">
        <v>406</v>
      </c>
      <c r="D17">
        <v>1</v>
      </c>
      <c r="E17" t="s">
        <v>1495</v>
      </c>
      <c r="G17" t="s">
        <v>407</v>
      </c>
      <c r="H17" s="2">
        <v>1019000</v>
      </c>
      <c r="I17" s="2">
        <v>1562000</v>
      </c>
      <c r="J17" s="2">
        <v>1491000</v>
      </c>
      <c r="K17" s="2">
        <v>2588000</v>
      </c>
      <c r="L17" s="2">
        <v>1517741</v>
      </c>
      <c r="M17" s="2">
        <v>2588000</v>
      </c>
      <c r="N17" s="2">
        <v>1562000</v>
      </c>
      <c r="O17" s="2">
        <v>2075000</v>
      </c>
      <c r="P17">
        <v>173</v>
      </c>
    </row>
    <row r="18" spans="1:17" x14ac:dyDescent="0.2">
      <c r="A18" t="s">
        <v>405</v>
      </c>
      <c r="B18">
        <v>7</v>
      </c>
      <c r="C18" t="s">
        <v>406</v>
      </c>
      <c r="D18">
        <v>2</v>
      </c>
      <c r="E18" t="s">
        <v>1498</v>
      </c>
      <c r="G18" t="s">
        <v>407</v>
      </c>
      <c r="H18" s="2">
        <v>992000</v>
      </c>
      <c r="I18" s="2">
        <v>1692000</v>
      </c>
      <c r="J18" s="2">
        <v>1610000</v>
      </c>
      <c r="K18" s="2">
        <v>2467000</v>
      </c>
      <c r="L18" s="2">
        <v>1998951</v>
      </c>
      <c r="M18" s="2">
        <v>2467000</v>
      </c>
      <c r="N18" s="2">
        <v>1998951</v>
      </c>
      <c r="O18" s="2">
        <v>2232976</v>
      </c>
      <c r="P18">
        <v>187</v>
      </c>
    </row>
    <row r="19" spans="1:17" x14ac:dyDescent="0.2">
      <c r="A19" t="s">
        <v>405</v>
      </c>
      <c r="B19">
        <v>7</v>
      </c>
      <c r="C19" t="s">
        <v>406</v>
      </c>
      <c r="D19">
        <v>3</v>
      </c>
      <c r="E19" t="s">
        <v>1500</v>
      </c>
      <c r="G19" t="s">
        <v>408</v>
      </c>
      <c r="H19" s="2">
        <v>2203000</v>
      </c>
      <c r="I19" s="2">
        <v>3299000</v>
      </c>
      <c r="J19" s="2">
        <v>2566000</v>
      </c>
      <c r="K19" s="2">
        <v>4602000</v>
      </c>
      <c r="L19" s="2">
        <v>3396823</v>
      </c>
      <c r="M19" s="2">
        <v>4602000</v>
      </c>
      <c r="N19" s="2">
        <v>3396823</v>
      </c>
      <c r="O19" s="2">
        <v>3999412</v>
      </c>
      <c r="P19">
        <v>334</v>
      </c>
    </row>
    <row r="20" spans="1:17" x14ac:dyDescent="0.2">
      <c r="A20" t="s">
        <v>405</v>
      </c>
      <c r="B20">
        <v>7</v>
      </c>
      <c r="C20" t="s">
        <v>406</v>
      </c>
      <c r="D20">
        <v>4</v>
      </c>
      <c r="E20" t="s">
        <v>409</v>
      </c>
      <c r="G20" t="s">
        <v>410</v>
      </c>
      <c r="H20" s="2">
        <v>17607</v>
      </c>
      <c r="I20" s="2">
        <v>42129</v>
      </c>
      <c r="J20" s="2">
        <v>25342</v>
      </c>
      <c r="K20" t="s">
        <v>411</v>
      </c>
      <c r="L20" s="2">
        <v>50727</v>
      </c>
      <c r="M20" s="2">
        <v>50727</v>
      </c>
      <c r="N20" s="2">
        <v>42129</v>
      </c>
      <c r="O20" s="2">
        <v>46428</v>
      </c>
      <c r="P20">
        <v>4</v>
      </c>
    </row>
    <row r="21" spans="1:17" x14ac:dyDescent="0.2">
      <c r="A21" t="s">
        <v>405</v>
      </c>
      <c r="B21">
        <v>7</v>
      </c>
      <c r="C21" t="s">
        <v>406</v>
      </c>
      <c r="D21">
        <v>5</v>
      </c>
      <c r="E21" t="s">
        <v>412</v>
      </c>
      <c r="G21" t="s">
        <v>413</v>
      </c>
      <c r="H21" s="2">
        <v>18606</v>
      </c>
      <c r="I21" s="2">
        <v>1900</v>
      </c>
      <c r="J21" s="2">
        <v>18249</v>
      </c>
      <c r="K21" t="s">
        <v>411</v>
      </c>
      <c r="L21" s="2">
        <v>54875</v>
      </c>
      <c r="M21" s="2">
        <v>54875</v>
      </c>
      <c r="N21" s="2">
        <v>18249</v>
      </c>
      <c r="O21" s="2">
        <v>36562</v>
      </c>
      <c r="P21">
        <v>3</v>
      </c>
    </row>
    <row r="22" spans="1:17" x14ac:dyDescent="0.2">
      <c r="A22" t="s">
        <v>405</v>
      </c>
      <c r="B22">
        <v>7</v>
      </c>
      <c r="C22" t="s">
        <v>406</v>
      </c>
      <c r="D22">
        <v>6</v>
      </c>
      <c r="E22" t="s">
        <v>414</v>
      </c>
      <c r="G22" t="s">
        <v>410</v>
      </c>
      <c r="H22" s="2">
        <v>28995</v>
      </c>
      <c r="I22" s="2">
        <v>7841</v>
      </c>
      <c r="J22" s="2">
        <v>35305</v>
      </c>
      <c r="K22" t="s">
        <v>411</v>
      </c>
      <c r="L22" s="2">
        <v>49679</v>
      </c>
      <c r="M22" s="2">
        <v>49679</v>
      </c>
      <c r="N22" s="2">
        <v>35305</v>
      </c>
      <c r="O22" s="2">
        <v>42492</v>
      </c>
      <c r="P22">
        <v>4</v>
      </c>
      <c r="Q22">
        <v>705</v>
      </c>
    </row>
    <row r="23" spans="1:17" x14ac:dyDescent="0.2">
      <c r="A23" t="s">
        <v>415</v>
      </c>
      <c r="B23">
        <v>15</v>
      </c>
      <c r="C23" t="s">
        <v>416</v>
      </c>
      <c r="D23">
        <v>1</v>
      </c>
      <c r="E23" t="s">
        <v>417</v>
      </c>
      <c r="G23" t="s">
        <v>418</v>
      </c>
      <c r="H23" s="2">
        <v>15221000</v>
      </c>
      <c r="I23" s="2">
        <v>15768000</v>
      </c>
      <c r="J23" s="2">
        <v>15406000</v>
      </c>
      <c r="K23" s="2">
        <v>16863000</v>
      </c>
      <c r="L23" s="2">
        <v>18584462</v>
      </c>
      <c r="M23" s="2">
        <v>18584462</v>
      </c>
      <c r="N23" s="2">
        <v>16863000</v>
      </c>
      <c r="O23" s="2">
        <v>17723731</v>
      </c>
      <c r="P23" s="2">
        <v>1481</v>
      </c>
    </row>
    <row r="24" spans="1:17" x14ac:dyDescent="0.2">
      <c r="A24" t="s">
        <v>415</v>
      </c>
      <c r="B24">
        <v>15</v>
      </c>
      <c r="C24" t="s">
        <v>416</v>
      </c>
      <c r="D24">
        <v>2</v>
      </c>
      <c r="E24" t="s">
        <v>419</v>
      </c>
      <c r="G24" t="s">
        <v>418</v>
      </c>
      <c r="H24" s="2">
        <v>14959000</v>
      </c>
      <c r="I24" s="2">
        <v>14323000</v>
      </c>
      <c r="J24" s="2">
        <v>14140000</v>
      </c>
      <c r="K24" s="2">
        <v>16868000</v>
      </c>
      <c r="L24" s="2">
        <v>15818154</v>
      </c>
      <c r="M24" s="2">
        <v>16868000</v>
      </c>
      <c r="N24" s="2">
        <v>15818154</v>
      </c>
      <c r="O24" s="2">
        <v>16343077</v>
      </c>
      <c r="P24" s="2">
        <v>1366</v>
      </c>
    </row>
    <row r="25" spans="1:17" x14ac:dyDescent="0.2">
      <c r="A25" t="s">
        <v>420</v>
      </c>
      <c r="B25">
        <v>51</v>
      </c>
      <c r="C25" t="s">
        <v>421</v>
      </c>
      <c r="D25">
        <v>1</v>
      </c>
      <c r="E25" t="s">
        <v>417</v>
      </c>
      <c r="G25" t="s">
        <v>422</v>
      </c>
      <c r="H25" s="2">
        <v>1355000</v>
      </c>
      <c r="I25" s="2">
        <v>1682000</v>
      </c>
      <c r="J25" s="2">
        <v>1656000</v>
      </c>
      <c r="K25" s="2">
        <v>2569000</v>
      </c>
      <c r="L25" s="2">
        <v>2429064</v>
      </c>
      <c r="M25" s="2">
        <v>2569000</v>
      </c>
      <c r="N25" s="2">
        <v>2429064</v>
      </c>
      <c r="O25" s="2">
        <v>2499032</v>
      </c>
      <c r="P25">
        <v>209</v>
      </c>
    </row>
    <row r="26" spans="1:17" x14ac:dyDescent="0.2">
      <c r="A26" t="s">
        <v>420</v>
      </c>
      <c r="B26">
        <v>51</v>
      </c>
      <c r="C26" t="s">
        <v>421</v>
      </c>
      <c r="D26">
        <v>2</v>
      </c>
      <c r="E26" t="s">
        <v>419</v>
      </c>
      <c r="G26" t="s">
        <v>422</v>
      </c>
      <c r="H26" s="2">
        <v>1290000</v>
      </c>
      <c r="I26" s="2">
        <v>1366000</v>
      </c>
      <c r="J26" s="2">
        <v>1541000</v>
      </c>
      <c r="K26" s="2">
        <v>2288000</v>
      </c>
      <c r="L26" s="2">
        <v>2224447</v>
      </c>
      <c r="M26" s="2">
        <v>2288000</v>
      </c>
      <c r="N26" s="2">
        <v>2224447</v>
      </c>
      <c r="O26" s="2">
        <v>2256224</v>
      </c>
      <c r="P26">
        <v>189</v>
      </c>
    </row>
    <row r="27" spans="1:17" x14ac:dyDescent="0.2">
      <c r="A27" t="s">
        <v>423</v>
      </c>
      <c r="B27">
        <v>13</v>
      </c>
      <c r="C27" t="s">
        <v>424</v>
      </c>
      <c r="D27">
        <v>1</v>
      </c>
      <c r="E27" t="s">
        <v>425</v>
      </c>
      <c r="G27" t="s">
        <v>426</v>
      </c>
      <c r="H27" s="2">
        <v>26545</v>
      </c>
      <c r="I27" s="2">
        <v>8244</v>
      </c>
      <c r="J27" s="2">
        <v>12826</v>
      </c>
      <c r="K27" t="s">
        <v>411</v>
      </c>
      <c r="L27" s="2">
        <v>17663</v>
      </c>
      <c r="M27" s="2">
        <v>26545</v>
      </c>
      <c r="N27" s="2">
        <v>17663</v>
      </c>
      <c r="O27" s="2">
        <v>22104</v>
      </c>
      <c r="P27">
        <v>2</v>
      </c>
    </row>
    <row r="28" spans="1:17" x14ac:dyDescent="0.2">
      <c r="A28" t="s">
        <v>423</v>
      </c>
      <c r="B28">
        <v>13</v>
      </c>
      <c r="C28" t="s">
        <v>424</v>
      </c>
      <c r="D28">
        <v>2</v>
      </c>
      <c r="E28" t="s">
        <v>427</v>
      </c>
      <c r="G28" t="s">
        <v>426</v>
      </c>
      <c r="H28" s="2">
        <v>13818</v>
      </c>
      <c r="I28" s="2">
        <v>4822</v>
      </c>
      <c r="J28" s="2">
        <v>12826</v>
      </c>
      <c r="K28" t="s">
        <v>411</v>
      </c>
      <c r="L28" s="2">
        <v>33320</v>
      </c>
      <c r="M28" s="2">
        <v>33320</v>
      </c>
      <c r="N28" s="2">
        <v>13818</v>
      </c>
      <c r="O28" s="2">
        <v>23569</v>
      </c>
      <c r="P28">
        <v>2</v>
      </c>
    </row>
    <row r="29" spans="1:17" x14ac:dyDescent="0.2">
      <c r="A29" t="s">
        <v>423</v>
      </c>
      <c r="B29">
        <v>13</v>
      </c>
      <c r="C29" t="s">
        <v>424</v>
      </c>
      <c r="D29">
        <v>3</v>
      </c>
      <c r="E29" t="s">
        <v>428</v>
      </c>
      <c r="G29" t="s">
        <v>429</v>
      </c>
      <c r="H29" s="2">
        <v>48517</v>
      </c>
      <c r="I29" s="2">
        <v>80050</v>
      </c>
      <c r="J29" s="2">
        <v>15115</v>
      </c>
      <c r="K29" t="s">
        <v>411</v>
      </c>
      <c r="L29" s="2">
        <v>103612</v>
      </c>
      <c r="M29" s="2">
        <v>103612</v>
      </c>
      <c r="N29" s="2">
        <v>80050</v>
      </c>
      <c r="O29" s="2">
        <v>91831</v>
      </c>
      <c r="P29">
        <v>8</v>
      </c>
    </row>
    <row r="30" spans="1:17" x14ac:dyDescent="0.2">
      <c r="A30" t="s">
        <v>430</v>
      </c>
      <c r="B30">
        <v>15</v>
      </c>
      <c r="C30" t="s">
        <v>431</v>
      </c>
      <c r="D30">
        <v>1</v>
      </c>
      <c r="E30" t="s">
        <v>417</v>
      </c>
      <c r="G30" t="s">
        <v>432</v>
      </c>
      <c r="H30" s="2">
        <v>51999</v>
      </c>
      <c r="I30" s="2">
        <v>47000</v>
      </c>
      <c r="J30" s="2">
        <v>123000</v>
      </c>
      <c r="K30" s="2">
        <v>574000</v>
      </c>
      <c r="L30" s="2">
        <v>459338</v>
      </c>
      <c r="M30" s="2">
        <v>574000</v>
      </c>
      <c r="N30" s="2">
        <v>459338</v>
      </c>
      <c r="O30" s="2">
        <v>516669</v>
      </c>
      <c r="P30">
        <v>43</v>
      </c>
    </row>
    <row r="31" spans="1:17" x14ac:dyDescent="0.2">
      <c r="A31" t="s">
        <v>430</v>
      </c>
      <c r="B31">
        <v>15</v>
      </c>
      <c r="C31" t="s">
        <v>431</v>
      </c>
      <c r="D31">
        <v>2</v>
      </c>
      <c r="E31" t="s">
        <v>419</v>
      </c>
      <c r="G31" t="s">
        <v>432</v>
      </c>
      <c r="H31" s="2">
        <v>72481</v>
      </c>
      <c r="I31" s="2">
        <v>44000</v>
      </c>
      <c r="J31" s="2">
        <v>119000</v>
      </c>
      <c r="K31" s="2">
        <v>510000</v>
      </c>
      <c r="L31" s="2">
        <v>584884</v>
      </c>
      <c r="M31" s="2">
        <v>584884</v>
      </c>
      <c r="N31" s="2">
        <v>510000</v>
      </c>
      <c r="O31" s="2">
        <v>547442</v>
      </c>
      <c r="P31">
        <v>46</v>
      </c>
    </row>
    <row r="32" spans="1:17" x14ac:dyDescent="0.2">
      <c r="A32" t="s">
        <v>430</v>
      </c>
      <c r="B32">
        <v>15</v>
      </c>
      <c r="C32" t="s">
        <v>431</v>
      </c>
      <c r="D32">
        <v>3</v>
      </c>
      <c r="E32" t="s">
        <v>433</v>
      </c>
      <c r="G32" t="s">
        <v>434</v>
      </c>
      <c r="H32" s="2">
        <v>4041000</v>
      </c>
      <c r="I32" s="2">
        <v>3177000</v>
      </c>
      <c r="J32" s="2">
        <v>2817000</v>
      </c>
      <c r="K32" s="2">
        <v>4353000</v>
      </c>
      <c r="L32" s="2">
        <v>3928411</v>
      </c>
      <c r="M32" s="2">
        <v>4353000</v>
      </c>
      <c r="N32" s="2">
        <v>4041000</v>
      </c>
      <c r="O32" s="2">
        <v>4197000</v>
      </c>
      <c r="P32">
        <v>351</v>
      </c>
    </row>
    <row r="33" spans="1:28" x14ac:dyDescent="0.2">
      <c r="A33" t="s">
        <v>430</v>
      </c>
      <c r="B33">
        <v>15</v>
      </c>
      <c r="C33" t="s">
        <v>431</v>
      </c>
      <c r="D33">
        <v>4</v>
      </c>
      <c r="E33" t="s">
        <v>435</v>
      </c>
      <c r="G33" t="s">
        <v>434</v>
      </c>
      <c r="H33" s="2">
        <v>4092000</v>
      </c>
      <c r="I33" s="2">
        <v>3115000</v>
      </c>
      <c r="J33" s="2">
        <v>3551000</v>
      </c>
      <c r="K33" s="2">
        <v>4661000</v>
      </c>
      <c r="L33" s="2">
        <v>5112242</v>
      </c>
      <c r="M33" s="2">
        <v>5112242</v>
      </c>
      <c r="N33" s="2">
        <v>4661000</v>
      </c>
      <c r="O33" s="2">
        <v>4886621</v>
      </c>
      <c r="P33">
        <v>408</v>
      </c>
    </row>
    <row r="34" spans="1:28" x14ac:dyDescent="0.2">
      <c r="A34" t="s">
        <v>436</v>
      </c>
      <c r="B34">
        <v>51</v>
      </c>
      <c r="C34" t="s">
        <v>437</v>
      </c>
      <c r="D34">
        <v>3</v>
      </c>
      <c r="E34" t="s">
        <v>433</v>
      </c>
      <c r="G34" t="s">
        <v>426</v>
      </c>
      <c r="H34" s="2">
        <v>24047</v>
      </c>
      <c r="I34" s="2">
        <v>5557</v>
      </c>
      <c r="J34" s="2">
        <v>5703</v>
      </c>
      <c r="K34" t="s">
        <v>438</v>
      </c>
      <c r="L34" s="2">
        <v>35468</v>
      </c>
      <c r="M34" s="2">
        <v>35468</v>
      </c>
      <c r="N34" s="2">
        <v>24047</v>
      </c>
      <c r="O34" s="2">
        <v>29758</v>
      </c>
      <c r="P34">
        <v>2</v>
      </c>
    </row>
    <row r="35" spans="1:28" x14ac:dyDescent="0.2">
      <c r="A35" t="s">
        <v>439</v>
      </c>
      <c r="B35">
        <v>51</v>
      </c>
      <c r="C35" t="s">
        <v>437</v>
      </c>
      <c r="D35">
        <v>4</v>
      </c>
      <c r="E35" t="s">
        <v>435</v>
      </c>
      <c r="G35" t="s">
        <v>426</v>
      </c>
      <c r="H35" s="2">
        <v>24445</v>
      </c>
      <c r="I35" s="2">
        <v>4263</v>
      </c>
      <c r="J35" s="2">
        <v>5703</v>
      </c>
      <c r="K35" t="s">
        <v>438</v>
      </c>
      <c r="L35" s="2">
        <v>34672</v>
      </c>
      <c r="M35" s="2">
        <v>34672</v>
      </c>
      <c r="N35" s="2">
        <v>24445</v>
      </c>
      <c r="O35" s="2">
        <v>29559</v>
      </c>
      <c r="P35">
        <v>2</v>
      </c>
      <c r="W35" s="2"/>
      <c r="X35" s="2"/>
      <c r="Y35" s="2"/>
      <c r="AA35" s="2"/>
      <c r="AB35" s="2"/>
    </row>
    <row r="36" spans="1:28" x14ac:dyDescent="0.2">
      <c r="A36" t="s">
        <v>436</v>
      </c>
      <c r="B36">
        <v>51</v>
      </c>
      <c r="C36" t="s">
        <v>437</v>
      </c>
      <c r="D36">
        <v>5</v>
      </c>
      <c r="E36" t="s">
        <v>440</v>
      </c>
      <c r="G36" t="s">
        <v>426</v>
      </c>
      <c r="H36" s="2">
        <v>35587</v>
      </c>
      <c r="I36" s="2">
        <v>3534</v>
      </c>
      <c r="J36" s="2">
        <v>7435</v>
      </c>
      <c r="K36" t="s">
        <v>438</v>
      </c>
      <c r="L36" s="2">
        <v>48365</v>
      </c>
      <c r="M36" s="2">
        <v>48365</v>
      </c>
      <c r="N36" s="2">
        <v>35587</v>
      </c>
      <c r="O36" s="2">
        <v>41976</v>
      </c>
      <c r="P36">
        <v>4</v>
      </c>
    </row>
    <row r="37" spans="1:28" x14ac:dyDescent="0.2">
      <c r="A37" t="s">
        <v>441</v>
      </c>
      <c r="B37">
        <v>43</v>
      </c>
      <c r="C37" t="s">
        <v>442</v>
      </c>
      <c r="D37">
        <v>1</v>
      </c>
      <c r="E37" t="s">
        <v>417</v>
      </c>
      <c r="G37" t="s">
        <v>443</v>
      </c>
      <c r="H37">
        <v>0</v>
      </c>
      <c r="I37" s="2">
        <v>8017000</v>
      </c>
      <c r="J37" s="2">
        <v>6136000</v>
      </c>
      <c r="K37" s="2">
        <v>8167000</v>
      </c>
      <c r="L37" s="2">
        <v>8751042</v>
      </c>
      <c r="M37" s="2">
        <v>8751042</v>
      </c>
      <c r="N37" s="2">
        <v>8167000</v>
      </c>
      <c r="O37" s="2">
        <v>8459021</v>
      </c>
      <c r="P37">
        <v>707</v>
      </c>
    </row>
    <row r="38" spans="1:28" x14ac:dyDescent="0.2">
      <c r="A38" t="s">
        <v>441</v>
      </c>
      <c r="B38">
        <v>43</v>
      </c>
      <c r="C38" t="s">
        <v>442</v>
      </c>
      <c r="D38">
        <v>2</v>
      </c>
      <c r="E38" t="s">
        <v>419</v>
      </c>
      <c r="G38" t="s">
        <v>443</v>
      </c>
      <c r="H38" s="2">
        <v>6398000</v>
      </c>
      <c r="I38" s="2">
        <v>7610000</v>
      </c>
      <c r="J38" s="2">
        <v>7957000</v>
      </c>
      <c r="K38" s="2">
        <v>9504000</v>
      </c>
      <c r="L38" s="2">
        <v>8556398</v>
      </c>
      <c r="M38" s="2">
        <v>9504000</v>
      </c>
      <c r="N38" s="2">
        <v>8556398</v>
      </c>
      <c r="O38" s="2">
        <v>9030199</v>
      </c>
      <c r="P38">
        <v>755</v>
      </c>
    </row>
    <row r="39" spans="1:28" x14ac:dyDescent="0.2">
      <c r="A39" t="s">
        <v>441</v>
      </c>
      <c r="B39">
        <v>43</v>
      </c>
      <c r="C39" t="s">
        <v>442</v>
      </c>
      <c r="D39">
        <v>3</v>
      </c>
      <c r="E39" t="s">
        <v>433</v>
      </c>
      <c r="G39" t="s">
        <v>443</v>
      </c>
      <c r="H39" s="2">
        <v>5713000</v>
      </c>
      <c r="I39" s="2">
        <v>5298000</v>
      </c>
      <c r="J39" s="2">
        <v>7464000</v>
      </c>
      <c r="K39" s="2">
        <v>7201000</v>
      </c>
      <c r="L39" s="2">
        <v>9568802</v>
      </c>
      <c r="M39" s="2">
        <v>9568802</v>
      </c>
      <c r="N39" s="2">
        <v>7464000</v>
      </c>
      <c r="O39" s="2">
        <v>8516401</v>
      </c>
      <c r="P39">
        <v>712</v>
      </c>
    </row>
    <row r="40" spans="1:28" x14ac:dyDescent="0.2">
      <c r="A40" t="s">
        <v>441</v>
      </c>
      <c r="B40">
        <v>43</v>
      </c>
      <c r="C40" t="s">
        <v>442</v>
      </c>
      <c r="D40">
        <v>4</v>
      </c>
      <c r="E40" t="s">
        <v>435</v>
      </c>
      <c r="G40" t="s">
        <v>444</v>
      </c>
      <c r="H40" s="2">
        <v>5793000</v>
      </c>
      <c r="I40" s="2">
        <v>7752000</v>
      </c>
      <c r="J40" s="2">
        <v>8108000</v>
      </c>
      <c r="K40" s="2">
        <v>8748000</v>
      </c>
      <c r="L40" s="2">
        <v>8807000</v>
      </c>
      <c r="M40" s="2">
        <v>8807000</v>
      </c>
      <c r="N40" s="2">
        <v>8748000</v>
      </c>
      <c r="O40" s="2">
        <v>8777500</v>
      </c>
      <c r="P40">
        <v>734</v>
      </c>
      <c r="Q40" s="2">
        <v>7019</v>
      </c>
    </row>
    <row r="41" spans="1:28" x14ac:dyDescent="0.2">
      <c r="A41" t="s">
        <v>445</v>
      </c>
      <c r="B41">
        <v>29</v>
      </c>
      <c r="C41" t="s">
        <v>446</v>
      </c>
      <c r="D41">
        <v>1</v>
      </c>
      <c r="E41" t="s">
        <v>447</v>
      </c>
      <c r="G41" t="s">
        <v>448</v>
      </c>
      <c r="H41" s="2">
        <v>3329000</v>
      </c>
      <c r="I41" s="2">
        <v>2410000</v>
      </c>
      <c r="J41" s="2">
        <v>2023000</v>
      </c>
      <c r="K41" s="2">
        <v>2075000</v>
      </c>
      <c r="L41" s="2">
        <v>3336719</v>
      </c>
      <c r="M41" s="2">
        <v>3336719</v>
      </c>
      <c r="N41" s="2">
        <v>3329000</v>
      </c>
      <c r="O41" s="2">
        <v>3332860</v>
      </c>
      <c r="P41">
        <v>279</v>
      </c>
    </row>
    <row r="42" spans="1:28" x14ac:dyDescent="0.2">
      <c r="A42" t="s">
        <v>445</v>
      </c>
      <c r="B42">
        <v>29</v>
      </c>
      <c r="C42" t="s">
        <v>446</v>
      </c>
      <c r="D42">
        <v>2</v>
      </c>
      <c r="E42" t="s">
        <v>449</v>
      </c>
      <c r="G42" t="s">
        <v>448</v>
      </c>
      <c r="H42" s="2">
        <v>4513000</v>
      </c>
      <c r="I42" s="2">
        <v>2511000</v>
      </c>
      <c r="J42" s="2">
        <v>1608000</v>
      </c>
      <c r="K42" s="2">
        <v>2545000</v>
      </c>
      <c r="L42" s="2">
        <v>1313684</v>
      </c>
      <c r="M42" s="2">
        <v>4513000</v>
      </c>
      <c r="N42" s="2">
        <v>2545000</v>
      </c>
      <c r="O42" s="2">
        <v>3529000</v>
      </c>
      <c r="P42">
        <v>295</v>
      </c>
    </row>
    <row r="43" spans="1:28" x14ac:dyDescent="0.2">
      <c r="A43" t="s">
        <v>445</v>
      </c>
      <c r="B43">
        <v>29</v>
      </c>
      <c r="C43" t="s">
        <v>446</v>
      </c>
      <c r="D43">
        <v>3</v>
      </c>
      <c r="E43" t="s">
        <v>450</v>
      </c>
      <c r="G43" t="s">
        <v>451</v>
      </c>
      <c r="H43" s="2">
        <v>5215000</v>
      </c>
      <c r="I43" s="2">
        <v>2961000</v>
      </c>
      <c r="J43" s="2">
        <v>2902000</v>
      </c>
      <c r="K43" s="2">
        <v>3957000</v>
      </c>
      <c r="L43" s="2">
        <v>4451687</v>
      </c>
      <c r="M43" s="2">
        <v>5215000</v>
      </c>
      <c r="N43" s="2">
        <v>4451687</v>
      </c>
      <c r="O43" s="2">
        <v>4833344</v>
      </c>
      <c r="P43">
        <v>404</v>
      </c>
    </row>
    <row r="44" spans="1:28" x14ac:dyDescent="0.2">
      <c r="A44" t="s">
        <v>452</v>
      </c>
      <c r="B44">
        <v>75</v>
      </c>
      <c r="C44" t="s">
        <v>453</v>
      </c>
      <c r="D44">
        <v>1</v>
      </c>
      <c r="E44" t="s">
        <v>447</v>
      </c>
      <c r="G44" t="s">
        <v>454</v>
      </c>
      <c r="I44" s="2">
        <v>9453000</v>
      </c>
      <c r="J44" s="2">
        <v>11002000</v>
      </c>
      <c r="K44" s="2">
        <v>14754000</v>
      </c>
      <c r="L44" s="2">
        <v>13504300</v>
      </c>
      <c r="M44" s="2">
        <v>14745000</v>
      </c>
      <c r="N44" s="2">
        <v>13504300</v>
      </c>
      <c r="O44" s="2">
        <v>14129150</v>
      </c>
      <c r="P44" s="2">
        <v>1181</v>
      </c>
      <c r="Q44" s="2"/>
      <c r="R44" s="2"/>
      <c r="S44" s="2"/>
      <c r="T44" s="2"/>
    </row>
    <row r="45" spans="1:28" x14ac:dyDescent="0.2">
      <c r="A45" t="s">
        <v>455</v>
      </c>
      <c r="B45">
        <v>19</v>
      </c>
      <c r="C45" t="s">
        <v>456</v>
      </c>
      <c r="D45">
        <v>4</v>
      </c>
      <c r="E45" t="s">
        <v>457</v>
      </c>
      <c r="G45" t="s">
        <v>458</v>
      </c>
      <c r="I45" s="2">
        <v>308000</v>
      </c>
      <c r="J45" s="2">
        <v>323000</v>
      </c>
      <c r="K45" s="2">
        <v>691000</v>
      </c>
      <c r="L45" s="2">
        <v>531491</v>
      </c>
      <c r="M45" s="2">
        <v>691000</v>
      </c>
      <c r="N45" s="2">
        <v>531491</v>
      </c>
      <c r="O45" s="2">
        <v>611246</v>
      </c>
      <c r="P45">
        <v>51</v>
      </c>
    </row>
    <row r="46" spans="1:28" x14ac:dyDescent="0.2">
      <c r="A46" t="s">
        <v>459</v>
      </c>
      <c r="B46">
        <v>63</v>
      </c>
      <c r="C46" t="s">
        <v>460</v>
      </c>
      <c r="D46">
        <v>1</v>
      </c>
      <c r="E46" t="s">
        <v>417</v>
      </c>
      <c r="G46" t="s">
        <v>448</v>
      </c>
      <c r="H46" s="2">
        <v>4288000</v>
      </c>
      <c r="I46" s="2">
        <v>3243000</v>
      </c>
      <c r="J46" s="2">
        <v>3962000</v>
      </c>
      <c r="K46" s="2">
        <v>4415000</v>
      </c>
      <c r="L46" s="2">
        <v>3561745</v>
      </c>
      <c r="M46" s="2">
        <v>4415000</v>
      </c>
      <c r="N46" s="2">
        <v>4288000</v>
      </c>
      <c r="O46" s="2">
        <v>4351500</v>
      </c>
      <c r="P46">
        <v>364</v>
      </c>
    </row>
    <row r="47" spans="1:28" x14ac:dyDescent="0.2">
      <c r="A47" t="s">
        <v>459</v>
      </c>
      <c r="B47">
        <v>63</v>
      </c>
      <c r="C47" t="s">
        <v>460</v>
      </c>
      <c r="D47">
        <v>2</v>
      </c>
      <c r="E47" t="s">
        <v>419</v>
      </c>
      <c r="G47" t="s">
        <v>448</v>
      </c>
      <c r="H47" s="2">
        <v>2707000</v>
      </c>
      <c r="I47" s="2">
        <v>3912000</v>
      </c>
      <c r="J47" s="2">
        <v>3945000</v>
      </c>
      <c r="K47" s="2">
        <v>4039000</v>
      </c>
      <c r="L47" s="2">
        <v>4101479</v>
      </c>
      <c r="M47" s="2">
        <v>4101479</v>
      </c>
      <c r="N47" s="2">
        <v>4039000</v>
      </c>
      <c r="O47" s="2">
        <v>4070240</v>
      </c>
      <c r="P47">
        <v>340</v>
      </c>
    </row>
    <row r="48" spans="1:28" x14ac:dyDescent="0.2">
      <c r="A48" t="s">
        <v>461</v>
      </c>
      <c r="B48">
        <v>3</v>
      </c>
      <c r="C48" t="s">
        <v>462</v>
      </c>
      <c r="D48">
        <v>1</v>
      </c>
      <c r="E48" t="s">
        <v>417</v>
      </c>
      <c r="G48" t="s">
        <v>463</v>
      </c>
      <c r="H48" s="2">
        <v>2335000</v>
      </c>
      <c r="I48" s="2">
        <v>1902000</v>
      </c>
      <c r="J48" s="2">
        <v>1649000</v>
      </c>
      <c r="K48" s="2">
        <v>2213000</v>
      </c>
      <c r="L48" s="2">
        <v>2409266</v>
      </c>
      <c r="M48" s="2">
        <v>2409266</v>
      </c>
      <c r="N48" s="2">
        <v>2335000</v>
      </c>
      <c r="O48" s="2">
        <v>2372133</v>
      </c>
      <c r="P48">
        <v>198</v>
      </c>
    </row>
    <row r="49" spans="1:29" x14ac:dyDescent="0.2">
      <c r="A49" t="s">
        <v>461</v>
      </c>
      <c r="B49">
        <v>3</v>
      </c>
      <c r="C49" t="s">
        <v>462</v>
      </c>
      <c r="D49">
        <v>2</v>
      </c>
      <c r="E49" t="s">
        <v>419</v>
      </c>
      <c r="G49" t="s">
        <v>463</v>
      </c>
      <c r="H49" s="2">
        <v>2353000</v>
      </c>
      <c r="I49" s="2">
        <v>2028000</v>
      </c>
      <c r="J49" s="2">
        <v>1772000</v>
      </c>
      <c r="K49" s="2">
        <v>2236000</v>
      </c>
      <c r="L49" s="2">
        <v>2258174</v>
      </c>
      <c r="M49" s="2">
        <v>2353000</v>
      </c>
      <c r="N49" s="2">
        <v>2258174</v>
      </c>
      <c r="O49" s="2">
        <v>2305587</v>
      </c>
      <c r="P49">
        <v>193</v>
      </c>
    </row>
    <row r="50" spans="1:29" x14ac:dyDescent="0.2">
      <c r="A50" t="s">
        <v>461</v>
      </c>
      <c r="B50">
        <v>3</v>
      </c>
      <c r="C50" t="s">
        <v>462</v>
      </c>
      <c r="D50">
        <v>2</v>
      </c>
      <c r="E50" t="s">
        <v>433</v>
      </c>
      <c r="G50" t="s">
        <v>464</v>
      </c>
      <c r="H50" s="2">
        <v>3161000</v>
      </c>
      <c r="I50" s="2">
        <v>2873000</v>
      </c>
      <c r="J50" s="2">
        <v>2324000</v>
      </c>
      <c r="K50" s="2">
        <v>2873000</v>
      </c>
      <c r="L50" s="2">
        <v>2873417</v>
      </c>
      <c r="M50" s="2">
        <v>3161000</v>
      </c>
      <c r="N50" s="2">
        <v>2873417</v>
      </c>
      <c r="O50" s="2">
        <v>3017209</v>
      </c>
      <c r="P50">
        <v>252</v>
      </c>
    </row>
    <row r="51" spans="1:29" x14ac:dyDescent="0.2">
      <c r="A51" t="s">
        <v>465</v>
      </c>
      <c r="B51">
        <v>79</v>
      </c>
      <c r="C51" t="s">
        <v>466</v>
      </c>
      <c r="D51">
        <v>1</v>
      </c>
      <c r="E51" t="s">
        <v>417</v>
      </c>
      <c r="G51" t="s">
        <v>467</v>
      </c>
      <c r="H51" s="2">
        <v>7650000</v>
      </c>
      <c r="I51" s="2">
        <v>9008000</v>
      </c>
      <c r="J51" s="2">
        <v>6897000</v>
      </c>
      <c r="K51" s="2">
        <v>10715000</v>
      </c>
      <c r="L51" s="2">
        <v>9280419</v>
      </c>
      <c r="M51" s="2">
        <v>10715000</v>
      </c>
      <c r="N51" s="2">
        <v>9280419</v>
      </c>
      <c r="O51" s="2">
        <v>9997710</v>
      </c>
      <c r="P51">
        <v>835</v>
      </c>
    </row>
    <row r="52" spans="1:29" x14ac:dyDescent="0.2">
      <c r="A52" t="s">
        <v>465</v>
      </c>
      <c r="B52">
        <v>79</v>
      </c>
      <c r="C52" t="s">
        <v>466</v>
      </c>
      <c r="D52">
        <v>2</v>
      </c>
      <c r="E52" t="s">
        <v>419</v>
      </c>
      <c r="G52" t="s">
        <v>467</v>
      </c>
      <c r="H52" s="2">
        <v>10048000</v>
      </c>
      <c r="I52" s="2">
        <v>10020000</v>
      </c>
      <c r="J52" s="2">
        <v>9323000</v>
      </c>
      <c r="K52" s="2">
        <v>9676000</v>
      </c>
      <c r="L52" s="2">
        <v>9661658</v>
      </c>
      <c r="M52" s="2">
        <v>10048000</v>
      </c>
      <c r="N52" s="2">
        <v>10020000</v>
      </c>
      <c r="O52" s="2">
        <v>10034000</v>
      </c>
      <c r="P52">
        <v>839</v>
      </c>
    </row>
    <row r="53" spans="1:29" x14ac:dyDescent="0.2">
      <c r="A53" t="s">
        <v>468</v>
      </c>
      <c r="B53">
        <v>15</v>
      </c>
      <c r="C53" t="s">
        <v>469</v>
      </c>
      <c r="D53">
        <v>1</v>
      </c>
      <c r="E53" t="s">
        <v>417</v>
      </c>
      <c r="G53" t="s">
        <v>470</v>
      </c>
      <c r="H53" s="2">
        <v>16872000</v>
      </c>
      <c r="I53" s="2">
        <v>20452000</v>
      </c>
      <c r="J53" s="2">
        <v>20408000</v>
      </c>
      <c r="K53" s="2">
        <v>19123000</v>
      </c>
      <c r="L53" s="2">
        <v>19664739</v>
      </c>
      <c r="M53" s="2">
        <v>20452000</v>
      </c>
      <c r="N53" s="2">
        <v>20408000</v>
      </c>
      <c r="O53" s="2">
        <v>20430000</v>
      </c>
      <c r="P53" s="2">
        <v>1707</v>
      </c>
    </row>
    <row r="54" spans="1:29" x14ac:dyDescent="0.2">
      <c r="A54" t="s">
        <v>468</v>
      </c>
      <c r="B54">
        <v>15</v>
      </c>
      <c r="C54" t="s">
        <v>469</v>
      </c>
      <c r="D54">
        <v>4</v>
      </c>
      <c r="E54" t="s">
        <v>471</v>
      </c>
      <c r="G54" t="s">
        <v>426</v>
      </c>
      <c r="H54" s="2">
        <v>27585</v>
      </c>
      <c r="I54">
        <v>181</v>
      </c>
      <c r="J54" s="2">
        <v>19447</v>
      </c>
      <c r="K54" s="2">
        <v>51955</v>
      </c>
      <c r="L54" s="2">
        <v>25386</v>
      </c>
      <c r="M54" s="2">
        <v>51955</v>
      </c>
      <c r="N54" s="2">
        <v>27585</v>
      </c>
      <c r="O54" s="2">
        <v>39770</v>
      </c>
      <c r="P54">
        <v>3</v>
      </c>
    </row>
    <row r="55" spans="1:29" x14ac:dyDescent="0.2">
      <c r="A55" t="s">
        <v>468</v>
      </c>
      <c r="B55">
        <v>15</v>
      </c>
      <c r="C55" t="s">
        <v>469</v>
      </c>
      <c r="D55">
        <v>5</v>
      </c>
      <c r="E55" t="s">
        <v>472</v>
      </c>
      <c r="G55" t="s">
        <v>426</v>
      </c>
      <c r="H55" s="2">
        <v>27585</v>
      </c>
      <c r="I55">
        <v>181</v>
      </c>
      <c r="J55" s="2">
        <v>19447</v>
      </c>
      <c r="K55" s="2">
        <v>51955</v>
      </c>
      <c r="L55" s="2">
        <v>31923</v>
      </c>
      <c r="M55" s="2">
        <v>51955</v>
      </c>
      <c r="N55" s="2">
        <v>31923</v>
      </c>
      <c r="O55" s="2">
        <v>41939</v>
      </c>
      <c r="P55">
        <v>4</v>
      </c>
      <c r="Q55" s="2">
        <v>6944</v>
      </c>
    </row>
    <row r="56" spans="1:29" x14ac:dyDescent="0.2">
      <c r="A56" s="4" t="s">
        <v>1012</v>
      </c>
      <c r="B56" s="4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4">
        <v>15551</v>
      </c>
      <c r="Q56" s="4">
        <f>SUM(Q1:Q55)</f>
        <v>15551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9" s="168" customFormat="1" ht="13.5" thickBot="1" x14ac:dyDescent="0.25"/>
    <row r="58" spans="1:29" x14ac:dyDescent="0.2">
      <c r="A58" s="3" t="s">
        <v>293</v>
      </c>
    </row>
    <row r="60" spans="1:29" ht="51" x14ac:dyDescent="0.2">
      <c r="A60" s="1" t="s">
        <v>581</v>
      </c>
      <c r="B60" s="1" t="s">
        <v>370</v>
      </c>
      <c r="C60" s="1" t="s">
        <v>323</v>
      </c>
      <c r="D60" s="1" t="s">
        <v>371</v>
      </c>
      <c r="E60" s="1" t="s">
        <v>473</v>
      </c>
      <c r="F60" s="1" t="s">
        <v>474</v>
      </c>
      <c r="G60" s="1" t="s">
        <v>475</v>
      </c>
      <c r="H60" s="1" t="s">
        <v>375</v>
      </c>
      <c r="I60" s="1" t="s">
        <v>376</v>
      </c>
      <c r="J60" s="1" t="s">
        <v>377</v>
      </c>
      <c r="K60" s="1" t="s">
        <v>378</v>
      </c>
      <c r="L60" s="1" t="s">
        <v>379</v>
      </c>
      <c r="M60" s="1" t="s">
        <v>380</v>
      </c>
      <c r="N60" s="1" t="s">
        <v>476</v>
      </c>
      <c r="O60" s="1" t="s">
        <v>381</v>
      </c>
      <c r="P60" s="1" t="s">
        <v>382</v>
      </c>
      <c r="Q60" s="1" t="s">
        <v>383</v>
      </c>
      <c r="R60" s="1" t="s">
        <v>384</v>
      </c>
      <c r="S60" s="1" t="s">
        <v>385</v>
      </c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t="s">
        <v>477</v>
      </c>
      <c r="B61">
        <v>91</v>
      </c>
      <c r="C61">
        <v>5</v>
      </c>
      <c r="D61" t="s">
        <v>478</v>
      </c>
      <c r="E61">
        <v>1</v>
      </c>
      <c r="F61" t="s">
        <v>479</v>
      </c>
      <c r="H61">
        <v>316</v>
      </c>
      <c r="I61" s="2">
        <v>347165</v>
      </c>
      <c r="J61" s="2">
        <v>385511</v>
      </c>
      <c r="K61" s="2">
        <v>345789</v>
      </c>
      <c r="L61" s="2">
        <v>369907</v>
      </c>
      <c r="M61" s="2">
        <v>344603</v>
      </c>
      <c r="O61" s="2">
        <v>385511</v>
      </c>
      <c r="P61" s="2">
        <v>369907</v>
      </c>
      <c r="Q61" s="2">
        <v>377709</v>
      </c>
      <c r="R61">
        <v>78</v>
      </c>
      <c r="S61">
        <v>78</v>
      </c>
    </row>
    <row r="62" spans="1:29" x14ac:dyDescent="0.2">
      <c r="A62" t="s">
        <v>480</v>
      </c>
      <c r="B62">
        <v>63</v>
      </c>
      <c r="C62">
        <v>8</v>
      </c>
      <c r="D62" t="s">
        <v>481</v>
      </c>
      <c r="E62" t="s">
        <v>482</v>
      </c>
      <c r="F62" t="s">
        <v>483</v>
      </c>
      <c r="H62">
        <v>271</v>
      </c>
      <c r="I62" s="2">
        <v>441871</v>
      </c>
      <c r="K62" s="2">
        <v>448141</v>
      </c>
      <c r="O62" s="2">
        <v>448141</v>
      </c>
      <c r="P62" s="2">
        <v>441871</v>
      </c>
      <c r="Q62" s="2">
        <v>445006</v>
      </c>
      <c r="R62">
        <v>92</v>
      </c>
    </row>
    <row r="63" spans="1:29" x14ac:dyDescent="0.2">
      <c r="A63" t="s">
        <v>480</v>
      </c>
      <c r="B63">
        <v>63</v>
      </c>
      <c r="C63">
        <v>8</v>
      </c>
      <c r="D63" t="s">
        <v>481</v>
      </c>
      <c r="E63" t="s">
        <v>484</v>
      </c>
      <c r="F63" t="s">
        <v>485</v>
      </c>
      <c r="H63">
        <v>321</v>
      </c>
      <c r="I63" s="2">
        <v>672573</v>
      </c>
      <c r="K63" s="2">
        <v>799668</v>
      </c>
      <c r="O63" s="2">
        <v>799668</v>
      </c>
      <c r="P63" s="2">
        <v>672573</v>
      </c>
      <c r="Q63" s="2">
        <v>736121</v>
      </c>
      <c r="R63">
        <v>152</v>
      </c>
    </row>
    <row r="64" spans="1:29" x14ac:dyDescent="0.2">
      <c r="A64" t="s">
        <v>480</v>
      </c>
      <c r="B64">
        <v>63</v>
      </c>
      <c r="C64">
        <v>8</v>
      </c>
      <c r="D64" t="s">
        <v>481</v>
      </c>
      <c r="E64" t="s">
        <v>486</v>
      </c>
      <c r="F64" t="s">
        <v>1502</v>
      </c>
      <c r="H64">
        <v>321</v>
      </c>
      <c r="I64" s="2">
        <v>552577</v>
      </c>
      <c r="K64" s="2">
        <v>785291</v>
      </c>
      <c r="O64" s="2">
        <v>785291</v>
      </c>
      <c r="P64" s="2">
        <v>552577</v>
      </c>
      <c r="Q64" s="2">
        <v>668934</v>
      </c>
      <c r="R64">
        <v>138</v>
      </c>
    </row>
    <row r="65" spans="1:20" x14ac:dyDescent="0.2">
      <c r="A65" t="s">
        <v>480</v>
      </c>
      <c r="B65">
        <v>63</v>
      </c>
      <c r="C65">
        <v>8</v>
      </c>
      <c r="D65" t="s">
        <v>481</v>
      </c>
      <c r="E65" t="s">
        <v>487</v>
      </c>
      <c r="F65" t="s">
        <v>488</v>
      </c>
      <c r="H65">
        <v>321</v>
      </c>
      <c r="I65" s="2">
        <v>765374</v>
      </c>
      <c r="K65" s="2">
        <v>644587</v>
      </c>
      <c r="O65" s="2">
        <v>765374</v>
      </c>
      <c r="P65" s="2">
        <v>644587</v>
      </c>
      <c r="Q65" s="2">
        <v>704981</v>
      </c>
      <c r="R65">
        <v>145</v>
      </c>
      <c r="S65">
        <v>526</v>
      </c>
    </row>
    <row r="66" spans="1:20" x14ac:dyDescent="0.2">
      <c r="A66" t="s">
        <v>489</v>
      </c>
      <c r="B66">
        <v>91</v>
      </c>
      <c r="C66">
        <v>10</v>
      </c>
      <c r="D66" t="s">
        <v>490</v>
      </c>
      <c r="E66" t="s">
        <v>491</v>
      </c>
      <c r="F66" t="s">
        <v>492</v>
      </c>
      <c r="H66">
        <v>360</v>
      </c>
      <c r="I66" s="2">
        <v>750311</v>
      </c>
      <c r="J66" s="2">
        <v>694024</v>
      </c>
      <c r="K66" s="2">
        <v>832953</v>
      </c>
      <c r="L66" s="2">
        <v>742356</v>
      </c>
      <c r="M66">
        <v>0</v>
      </c>
      <c r="O66" s="2">
        <v>832953</v>
      </c>
      <c r="P66" s="2">
        <v>750311</v>
      </c>
      <c r="Q66" s="2">
        <v>791632</v>
      </c>
      <c r="R66">
        <v>163</v>
      </c>
      <c r="S66">
        <v>163</v>
      </c>
    </row>
    <row r="67" spans="1:20" x14ac:dyDescent="0.2">
      <c r="A67" t="s">
        <v>493</v>
      </c>
      <c r="B67">
        <v>55</v>
      </c>
      <c r="C67">
        <v>3</v>
      </c>
      <c r="D67" t="s">
        <v>494</v>
      </c>
      <c r="E67">
        <v>14</v>
      </c>
      <c r="F67" t="s">
        <v>495</v>
      </c>
      <c r="H67">
        <v>315</v>
      </c>
      <c r="I67" s="2">
        <v>578234</v>
      </c>
      <c r="J67" s="2">
        <v>687910</v>
      </c>
      <c r="K67" s="2">
        <v>896405</v>
      </c>
      <c r="L67" s="2">
        <v>651866</v>
      </c>
      <c r="M67" s="2">
        <v>832674</v>
      </c>
      <c r="O67" s="2">
        <v>896405</v>
      </c>
      <c r="P67" s="2">
        <v>832674</v>
      </c>
      <c r="Q67" s="2">
        <v>864540</v>
      </c>
      <c r="R67">
        <v>178</v>
      </c>
    </row>
    <row r="68" spans="1:20" x14ac:dyDescent="0.2">
      <c r="A68" t="s">
        <v>493</v>
      </c>
      <c r="B68">
        <v>55</v>
      </c>
      <c r="C68">
        <v>3</v>
      </c>
      <c r="D68" t="s">
        <v>494</v>
      </c>
      <c r="E68">
        <v>15</v>
      </c>
      <c r="F68" t="s">
        <v>496</v>
      </c>
      <c r="H68">
        <v>315</v>
      </c>
      <c r="I68" s="2">
        <v>738461</v>
      </c>
      <c r="J68" s="2">
        <v>634962</v>
      </c>
      <c r="K68" s="2">
        <v>454991</v>
      </c>
      <c r="L68" s="2">
        <v>794571</v>
      </c>
      <c r="M68" s="2">
        <v>848228</v>
      </c>
      <c r="O68" s="2">
        <v>848228</v>
      </c>
      <c r="P68" s="2">
        <v>794571</v>
      </c>
      <c r="Q68" s="2">
        <v>821400</v>
      </c>
      <c r="R68">
        <v>169</v>
      </c>
      <c r="S68">
        <v>347</v>
      </c>
    </row>
    <row r="69" spans="1:20" x14ac:dyDescent="0.2">
      <c r="A69" t="s">
        <v>497</v>
      </c>
      <c r="B69">
        <v>79</v>
      </c>
      <c r="C69">
        <v>46</v>
      </c>
      <c r="D69" t="s">
        <v>498</v>
      </c>
      <c r="E69">
        <v>1</v>
      </c>
      <c r="F69" t="s">
        <v>499</v>
      </c>
      <c r="H69">
        <v>545</v>
      </c>
      <c r="I69" s="2">
        <v>1604756</v>
      </c>
      <c r="J69" s="2">
        <v>1723630</v>
      </c>
      <c r="K69" s="2">
        <v>1690954</v>
      </c>
      <c r="L69" s="2">
        <v>1790819</v>
      </c>
      <c r="M69" s="2">
        <v>1760458</v>
      </c>
      <c r="O69" s="2">
        <v>1790819</v>
      </c>
      <c r="P69" s="2">
        <v>1760458</v>
      </c>
      <c r="Q69" s="2">
        <v>1775639</v>
      </c>
      <c r="R69">
        <v>366</v>
      </c>
      <c r="S69">
        <v>366</v>
      </c>
    </row>
    <row r="70" spans="1:20" x14ac:dyDescent="0.2">
      <c r="A70" t="s">
        <v>500</v>
      </c>
      <c r="B70">
        <v>31</v>
      </c>
      <c r="C70">
        <v>12</v>
      </c>
      <c r="D70" t="s">
        <v>501</v>
      </c>
      <c r="E70">
        <v>4</v>
      </c>
      <c r="F70" t="s">
        <v>1502</v>
      </c>
      <c r="G70" t="s">
        <v>502</v>
      </c>
      <c r="H70">
        <v>380</v>
      </c>
      <c r="I70" s="2">
        <v>1004608</v>
      </c>
      <c r="J70" s="2">
        <v>1091415</v>
      </c>
      <c r="K70" s="2">
        <v>1026041</v>
      </c>
      <c r="L70" s="2">
        <v>964264</v>
      </c>
      <c r="M70" s="2">
        <v>843418</v>
      </c>
      <c r="O70" s="2">
        <v>1091415</v>
      </c>
      <c r="P70" s="2">
        <v>1026041</v>
      </c>
      <c r="Q70" s="2">
        <v>1058728</v>
      </c>
      <c r="R70">
        <v>218</v>
      </c>
      <c r="S70">
        <v>218</v>
      </c>
    </row>
    <row r="71" spans="1:20" x14ac:dyDescent="0.2">
      <c r="A71" t="s">
        <v>503</v>
      </c>
      <c r="B71">
        <v>57</v>
      </c>
      <c r="C71">
        <v>3</v>
      </c>
      <c r="D71" t="s">
        <v>504</v>
      </c>
      <c r="E71">
        <v>3</v>
      </c>
      <c r="F71" t="s">
        <v>1500</v>
      </c>
      <c r="H71">
        <v>260</v>
      </c>
      <c r="I71" s="2">
        <v>424759</v>
      </c>
      <c r="J71" s="2">
        <v>486813</v>
      </c>
      <c r="K71" s="2">
        <v>435960</v>
      </c>
      <c r="L71" s="2">
        <v>366212</v>
      </c>
      <c r="M71" s="2">
        <v>465922</v>
      </c>
      <c r="O71" s="2">
        <v>486813</v>
      </c>
      <c r="P71" s="2">
        <v>465922</v>
      </c>
      <c r="Q71" s="2">
        <v>476368</v>
      </c>
      <c r="R71">
        <v>98</v>
      </c>
    </row>
    <row r="72" spans="1:20" x14ac:dyDescent="0.2">
      <c r="A72" t="s">
        <v>503</v>
      </c>
      <c r="B72">
        <v>57</v>
      </c>
      <c r="C72">
        <v>3</v>
      </c>
      <c r="D72" t="s">
        <v>504</v>
      </c>
      <c r="E72">
        <v>4</v>
      </c>
      <c r="F72" t="s">
        <v>1502</v>
      </c>
      <c r="H72">
        <v>260</v>
      </c>
      <c r="I72" s="2">
        <v>76330</v>
      </c>
      <c r="J72" s="2">
        <v>107784</v>
      </c>
      <c r="K72" s="2">
        <v>79211</v>
      </c>
      <c r="L72" s="2">
        <v>75583</v>
      </c>
      <c r="M72" s="2">
        <v>71749</v>
      </c>
      <c r="O72" s="2">
        <v>107784</v>
      </c>
      <c r="P72" s="2">
        <v>79211</v>
      </c>
      <c r="Q72" s="2">
        <v>93498</v>
      </c>
      <c r="R72">
        <v>19</v>
      </c>
      <c r="S72">
        <v>117</v>
      </c>
    </row>
    <row r="73" spans="1:20" x14ac:dyDescent="0.2">
      <c r="A73" t="s">
        <v>505</v>
      </c>
      <c r="B73">
        <v>41</v>
      </c>
      <c r="C73">
        <v>3</v>
      </c>
      <c r="D73" t="s">
        <v>506</v>
      </c>
      <c r="E73">
        <v>10</v>
      </c>
      <c r="F73" t="s">
        <v>435</v>
      </c>
      <c r="G73" t="s">
        <v>507</v>
      </c>
      <c r="H73">
        <v>955</v>
      </c>
      <c r="I73" s="2">
        <v>3615443</v>
      </c>
      <c r="J73" s="2">
        <v>3654636</v>
      </c>
      <c r="K73" s="2">
        <v>3682262</v>
      </c>
      <c r="L73" s="2">
        <v>3578331</v>
      </c>
      <c r="M73" s="2">
        <v>3567271</v>
      </c>
      <c r="O73" s="2">
        <v>3682262</v>
      </c>
      <c r="P73" s="2">
        <v>3654636</v>
      </c>
      <c r="Q73" s="2">
        <v>3668449</v>
      </c>
      <c r="R73">
        <v>755</v>
      </c>
      <c r="S73">
        <v>755</v>
      </c>
    </row>
    <row r="74" spans="1:20" x14ac:dyDescent="0.2">
      <c r="A74" t="s">
        <v>508</v>
      </c>
      <c r="B74">
        <v>19</v>
      </c>
      <c r="D74" t="s">
        <v>509</v>
      </c>
      <c r="E74" t="s">
        <v>510</v>
      </c>
      <c r="F74" t="s">
        <v>511</v>
      </c>
      <c r="H74">
        <v>313</v>
      </c>
      <c r="M74" s="2">
        <v>20001</v>
      </c>
      <c r="N74" s="2">
        <v>29645</v>
      </c>
      <c r="O74" s="2">
        <v>20001</v>
      </c>
      <c r="P74" s="2">
        <v>29645</v>
      </c>
      <c r="Q74" s="2">
        <v>24823</v>
      </c>
      <c r="R74">
        <v>5</v>
      </c>
    </row>
    <row r="75" spans="1:20" x14ac:dyDescent="0.2">
      <c r="A75" t="s">
        <v>508</v>
      </c>
      <c r="B75">
        <v>19</v>
      </c>
      <c r="D75" t="s">
        <v>509</v>
      </c>
      <c r="E75" t="s">
        <v>510</v>
      </c>
      <c r="F75" t="s">
        <v>512</v>
      </c>
      <c r="H75">
        <v>313</v>
      </c>
      <c r="M75" s="2">
        <v>20001</v>
      </c>
      <c r="N75" s="2">
        <v>29645</v>
      </c>
      <c r="O75" s="2">
        <v>20001</v>
      </c>
      <c r="P75" s="2">
        <v>29645</v>
      </c>
      <c r="Q75" s="2">
        <v>24823</v>
      </c>
      <c r="R75">
        <v>5</v>
      </c>
    </row>
    <row r="76" spans="1:20" x14ac:dyDescent="0.2">
      <c r="A76" t="s">
        <v>508</v>
      </c>
      <c r="B76">
        <v>19</v>
      </c>
      <c r="D76" t="s">
        <v>509</v>
      </c>
      <c r="E76" t="s">
        <v>510</v>
      </c>
      <c r="F76" t="s">
        <v>513</v>
      </c>
      <c r="H76">
        <v>313</v>
      </c>
      <c r="M76" s="2">
        <v>20001</v>
      </c>
      <c r="N76" s="2">
        <v>29645</v>
      </c>
      <c r="O76" s="2">
        <v>20001</v>
      </c>
      <c r="P76" s="2">
        <v>29645</v>
      </c>
      <c r="Q76" s="2">
        <v>24823</v>
      </c>
      <c r="R76">
        <v>5</v>
      </c>
    </row>
    <row r="77" spans="1:20" x14ac:dyDescent="0.2">
      <c r="A77" t="s">
        <v>508</v>
      </c>
      <c r="B77">
        <v>19</v>
      </c>
      <c r="D77" t="s">
        <v>509</v>
      </c>
      <c r="E77" t="s">
        <v>514</v>
      </c>
      <c r="F77" t="s">
        <v>515</v>
      </c>
      <c r="H77">
        <v>1337</v>
      </c>
      <c r="M77" s="2">
        <v>3368248</v>
      </c>
      <c r="N77" s="2">
        <v>3751023</v>
      </c>
      <c r="O77" s="2">
        <v>3368248</v>
      </c>
      <c r="P77" s="2">
        <v>3751023</v>
      </c>
      <c r="Q77" s="2">
        <v>3559636</v>
      </c>
      <c r="R77">
        <v>733</v>
      </c>
      <c r="S77">
        <v>748</v>
      </c>
    </row>
    <row r="78" spans="1:20" x14ac:dyDescent="0.2">
      <c r="A78" t="s">
        <v>516</v>
      </c>
      <c r="B78">
        <v>69</v>
      </c>
      <c r="C78">
        <v>43</v>
      </c>
      <c r="D78" t="s">
        <v>517</v>
      </c>
      <c r="E78">
        <v>5</v>
      </c>
      <c r="F78" t="s">
        <v>518</v>
      </c>
      <c r="H78">
        <v>305</v>
      </c>
      <c r="I78" s="2">
        <v>35613</v>
      </c>
      <c r="J78" s="2">
        <v>41738</v>
      </c>
      <c r="K78" s="2">
        <v>42963</v>
      </c>
      <c r="L78" s="2">
        <v>58056</v>
      </c>
      <c r="M78" s="2">
        <v>151788</v>
      </c>
      <c r="O78" s="2">
        <v>151788</v>
      </c>
      <c r="P78" s="2">
        <v>58056</v>
      </c>
      <c r="Q78" s="2">
        <v>104922</v>
      </c>
      <c r="R78">
        <v>22</v>
      </c>
      <c r="S78">
        <v>22</v>
      </c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1012</v>
      </c>
      <c r="R79" s="3">
        <v>3340</v>
      </c>
      <c r="S79" s="3"/>
      <c r="T79" s="3"/>
    </row>
    <row r="80" spans="1:20" x14ac:dyDescent="0.2">
      <c r="T80" s="2">
        <f>R79+Q56</f>
        <v>18891</v>
      </c>
    </row>
    <row r="82" spans="8:29" x14ac:dyDescent="0.2">
      <c r="H82" s="2"/>
      <c r="I82" s="2"/>
      <c r="J82" s="2"/>
      <c r="K82" s="2"/>
      <c r="L82" s="2"/>
      <c r="M82" s="2"/>
      <c r="N82" s="2"/>
      <c r="O82" s="2"/>
      <c r="P82" s="2"/>
    </row>
    <row r="83" spans="8:29" x14ac:dyDescent="0.2">
      <c r="H83" s="2"/>
      <c r="I83" s="2"/>
      <c r="J83" s="2"/>
      <c r="K83" s="2"/>
      <c r="L83" s="2"/>
      <c r="M83" s="2"/>
      <c r="N83" s="2"/>
      <c r="O83" s="2"/>
      <c r="P83" s="2"/>
    </row>
    <row r="84" spans="8:29" x14ac:dyDescent="0.2">
      <c r="H84" s="2"/>
      <c r="I84" s="2"/>
      <c r="J84" s="2"/>
      <c r="K84" s="2"/>
      <c r="L84" s="2"/>
      <c r="M84" s="2"/>
      <c r="N84" s="2"/>
      <c r="O84" s="2"/>
    </row>
    <row r="85" spans="8:29" x14ac:dyDescent="0.2">
      <c r="H85" s="2"/>
      <c r="I85" s="2"/>
      <c r="J85" s="2"/>
      <c r="K85" s="2"/>
      <c r="L85" s="2"/>
      <c r="M85" s="2"/>
      <c r="N85" s="2"/>
      <c r="O85" s="2"/>
    </row>
    <row r="86" spans="8:29" x14ac:dyDescent="0.2">
      <c r="H86" s="2"/>
      <c r="I86" s="2"/>
      <c r="J86" s="2"/>
      <c r="L86" s="2"/>
      <c r="M86" s="2"/>
      <c r="N86" s="2"/>
      <c r="O86" s="2"/>
    </row>
    <row r="87" spans="8:29" x14ac:dyDescent="0.2">
      <c r="H87" s="2"/>
      <c r="I87" s="2"/>
      <c r="J87" s="2"/>
      <c r="L87" s="2"/>
      <c r="M87" s="2"/>
      <c r="N87" s="2"/>
      <c r="O87" s="2"/>
    </row>
    <row r="88" spans="8:29" x14ac:dyDescent="0.2">
      <c r="H88" s="2"/>
      <c r="I88" s="2"/>
      <c r="J88" s="2"/>
      <c r="L88" s="2"/>
      <c r="M88" s="2"/>
      <c r="N88" s="2"/>
      <c r="O88" s="2"/>
    </row>
    <row r="89" spans="8:29" x14ac:dyDescent="0.2">
      <c r="H89" s="2"/>
      <c r="I89" s="2"/>
      <c r="J89" s="2"/>
      <c r="K89" s="2"/>
      <c r="L89" s="2"/>
      <c r="M89" s="2"/>
      <c r="N89" s="2"/>
      <c r="O89" s="2"/>
    </row>
    <row r="90" spans="8:29" x14ac:dyDescent="0.2">
      <c r="H90" s="2"/>
      <c r="I90" s="2"/>
      <c r="J90" s="2"/>
      <c r="K90" s="2"/>
      <c r="L90" s="2"/>
      <c r="M90" s="2"/>
      <c r="N90" s="2"/>
      <c r="O90" s="2"/>
    </row>
    <row r="91" spans="8:29" x14ac:dyDescent="0.2">
      <c r="H91" s="2"/>
      <c r="I91" s="2"/>
      <c r="J91" s="2"/>
      <c r="K91" s="2"/>
      <c r="L91" s="2"/>
      <c r="M91" s="2"/>
      <c r="N91" s="2"/>
      <c r="O91" s="2"/>
    </row>
    <row r="92" spans="8:29" x14ac:dyDescent="0.2">
      <c r="H92" s="2"/>
      <c r="I92" s="2"/>
      <c r="J92" s="2"/>
      <c r="K92" s="2"/>
      <c r="L92" s="2"/>
      <c r="M92" s="2"/>
      <c r="N92" s="2"/>
      <c r="O92" s="2"/>
    </row>
    <row r="93" spans="8:29" x14ac:dyDescent="0.2">
      <c r="H93" s="2"/>
      <c r="I93" s="2"/>
      <c r="J93" s="2"/>
      <c r="L93" s="2"/>
      <c r="M93" s="2"/>
      <c r="N93" s="2"/>
      <c r="O93" s="2"/>
    </row>
    <row r="94" spans="8:29" x14ac:dyDescent="0.2">
      <c r="H94" s="2"/>
      <c r="I94" s="2"/>
      <c r="J94" s="2"/>
      <c r="L94" s="2"/>
      <c r="M94" s="2"/>
      <c r="N94" s="2"/>
      <c r="O94" s="2"/>
      <c r="W94" s="2"/>
      <c r="X94" s="2"/>
      <c r="Y94" s="2"/>
      <c r="AA94" s="2"/>
      <c r="AB94" s="2"/>
      <c r="AC94" s="2"/>
    </row>
    <row r="95" spans="8:29" x14ac:dyDescent="0.2">
      <c r="H95" s="2"/>
      <c r="I95" s="2"/>
      <c r="J95" s="2"/>
      <c r="L95" s="2"/>
      <c r="M95" s="2"/>
      <c r="N95" s="2"/>
      <c r="O95" s="2"/>
    </row>
    <row r="96" spans="8:29" x14ac:dyDescent="0.2">
      <c r="I96" s="2"/>
      <c r="J96" s="2"/>
      <c r="K96" s="2"/>
      <c r="L96" s="2"/>
      <c r="M96" s="2"/>
      <c r="N96" s="2"/>
      <c r="O96" s="2"/>
    </row>
    <row r="97" spans="8:20" x14ac:dyDescent="0.2">
      <c r="H97" s="2"/>
      <c r="I97" s="2"/>
      <c r="J97" s="2"/>
      <c r="K97" s="2"/>
      <c r="L97" s="2"/>
      <c r="M97" s="2"/>
      <c r="N97" s="2"/>
      <c r="O97" s="2"/>
    </row>
    <row r="98" spans="8:20" x14ac:dyDescent="0.2">
      <c r="H98" s="2"/>
      <c r="I98" s="2"/>
      <c r="J98" s="2"/>
      <c r="K98" s="2"/>
      <c r="L98" s="2"/>
      <c r="M98" s="2"/>
      <c r="N98" s="2"/>
      <c r="O98" s="2"/>
    </row>
    <row r="99" spans="8:20" x14ac:dyDescent="0.2">
      <c r="H99" s="2"/>
      <c r="I99" s="2"/>
      <c r="J99" s="2"/>
      <c r="K99" s="2"/>
      <c r="L99" s="2"/>
      <c r="M99" s="2"/>
      <c r="N99" s="2"/>
      <c r="O99" s="2"/>
      <c r="Q99" s="2"/>
    </row>
    <row r="100" spans="8:20" x14ac:dyDescent="0.2">
      <c r="H100" s="2"/>
      <c r="I100" s="2"/>
      <c r="J100" s="2"/>
      <c r="K100" s="2"/>
      <c r="L100" s="2"/>
      <c r="M100" s="2"/>
      <c r="N100" s="2"/>
      <c r="O100" s="2"/>
    </row>
    <row r="101" spans="8:20" x14ac:dyDescent="0.2">
      <c r="H101" s="2"/>
      <c r="I101" s="2"/>
      <c r="J101" s="2"/>
      <c r="K101" s="2"/>
      <c r="L101" s="2"/>
      <c r="M101" s="2"/>
      <c r="N101" s="2"/>
      <c r="O101" s="2"/>
    </row>
    <row r="102" spans="8:20" x14ac:dyDescent="0.2">
      <c r="H102" s="2"/>
      <c r="I102" s="2"/>
      <c r="J102" s="2"/>
      <c r="K102" s="2"/>
      <c r="L102" s="2"/>
      <c r="M102" s="2"/>
      <c r="N102" s="2"/>
      <c r="O102" s="2"/>
    </row>
    <row r="103" spans="8:20" x14ac:dyDescent="0.2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8:20" x14ac:dyDescent="0.2">
      <c r="I104" s="2"/>
      <c r="J104" s="2"/>
      <c r="K104" s="2"/>
      <c r="L104" s="2"/>
      <c r="M104" s="2"/>
      <c r="N104" s="2"/>
      <c r="O104" s="2"/>
    </row>
    <row r="105" spans="8:20" x14ac:dyDescent="0.2">
      <c r="H105" s="2"/>
      <c r="I105" s="2"/>
      <c r="J105" s="2"/>
      <c r="K105" s="2"/>
      <c r="L105" s="2"/>
      <c r="M105" s="2"/>
      <c r="N105" s="2"/>
      <c r="O105" s="2"/>
    </row>
    <row r="106" spans="8:20" x14ac:dyDescent="0.2">
      <c r="H106" s="2"/>
      <c r="I106" s="2"/>
      <c r="J106" s="2"/>
      <c r="K106" s="2"/>
      <c r="L106" s="2"/>
      <c r="M106" s="2"/>
      <c r="N106" s="2"/>
      <c r="O106" s="2"/>
    </row>
    <row r="107" spans="8:20" x14ac:dyDescent="0.2">
      <c r="H107" s="2"/>
      <c r="I107" s="2"/>
      <c r="J107" s="2"/>
      <c r="K107" s="2"/>
      <c r="L107" s="2"/>
      <c r="M107" s="2"/>
      <c r="N107" s="2"/>
      <c r="O107" s="2"/>
    </row>
    <row r="108" spans="8:20" x14ac:dyDescent="0.2">
      <c r="H108" s="2"/>
      <c r="I108" s="2"/>
      <c r="J108" s="2"/>
      <c r="K108" s="2"/>
      <c r="L108" s="2"/>
      <c r="M108" s="2"/>
      <c r="N108" s="2"/>
      <c r="O108" s="2"/>
    </row>
    <row r="109" spans="8:20" x14ac:dyDescent="0.2">
      <c r="H109" s="2"/>
      <c r="I109" s="2"/>
      <c r="J109" s="2"/>
      <c r="K109" s="2"/>
      <c r="L109" s="2"/>
      <c r="M109" s="2"/>
      <c r="N109" s="2"/>
      <c r="O109" s="2"/>
    </row>
    <row r="110" spans="8:20" x14ac:dyDescent="0.2">
      <c r="H110" s="2"/>
      <c r="I110" s="2"/>
      <c r="J110" s="2"/>
      <c r="K110" s="2"/>
      <c r="L110" s="2"/>
      <c r="M110" s="2"/>
      <c r="N110" s="2"/>
      <c r="O110" s="2"/>
    </row>
    <row r="111" spans="8:20" x14ac:dyDescent="0.2">
      <c r="H111" s="2"/>
      <c r="I111" s="2"/>
      <c r="J111" s="2"/>
      <c r="K111" s="2"/>
      <c r="L111" s="2"/>
      <c r="M111" s="2"/>
      <c r="N111" s="2"/>
      <c r="O111" s="2"/>
    </row>
    <row r="112" spans="8:20" x14ac:dyDescent="0.2">
      <c r="H112" s="2"/>
      <c r="I112" s="2"/>
      <c r="J112" s="2"/>
      <c r="K112" s="2"/>
      <c r="L112" s="2"/>
      <c r="M112" s="2"/>
      <c r="N112" s="2"/>
      <c r="O112" s="2"/>
      <c r="P112" s="2"/>
    </row>
    <row r="113" spans="1:29" x14ac:dyDescent="0.2">
      <c r="H113" s="2"/>
      <c r="J113" s="2"/>
      <c r="K113" s="2"/>
      <c r="L113" s="2"/>
      <c r="M113" s="2"/>
      <c r="N113" s="2"/>
      <c r="O113" s="2"/>
    </row>
    <row r="114" spans="1:29" x14ac:dyDescent="0.2">
      <c r="H114" s="2"/>
      <c r="J114" s="2"/>
      <c r="K114" s="2"/>
      <c r="L114" s="2"/>
      <c r="M114" s="2"/>
      <c r="N114" s="2"/>
      <c r="O114" s="2"/>
      <c r="Q114" s="2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4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84"/>
  <sheetViews>
    <sheetView tabSelected="1" topLeftCell="A58" workbookViewId="0">
      <selection activeCell="E85" sqref="E85"/>
    </sheetView>
  </sheetViews>
  <sheetFormatPr defaultRowHeight="12.75" x14ac:dyDescent="0.2"/>
  <cols>
    <col min="1" max="1" width="36.28515625" customWidth="1"/>
    <col min="2" max="2" width="11" customWidth="1"/>
    <col min="3" max="3" width="8" customWidth="1"/>
    <col min="4" max="4" width="11.7109375" customWidth="1"/>
    <col min="5" max="5" width="17.5703125" customWidth="1"/>
    <col min="6" max="6" width="15.7109375" customWidth="1"/>
  </cols>
  <sheetData>
    <row r="1" spans="1:6" s="3" customFormat="1" x14ac:dyDescent="0.2">
      <c r="A1" s="3" t="s">
        <v>830</v>
      </c>
      <c r="D1" s="3" t="s">
        <v>519</v>
      </c>
      <c r="E1" s="3" t="s">
        <v>520</v>
      </c>
      <c r="F1" s="3" t="s">
        <v>521</v>
      </c>
    </row>
    <row r="2" spans="1:6" x14ac:dyDescent="0.2">
      <c r="A2" t="s">
        <v>522</v>
      </c>
      <c r="D2">
        <v>50996</v>
      </c>
      <c r="E2">
        <v>1</v>
      </c>
      <c r="F2">
        <v>97</v>
      </c>
    </row>
    <row r="3" spans="1:6" x14ac:dyDescent="0.2">
      <c r="A3" t="s">
        <v>522</v>
      </c>
      <c r="D3">
        <v>50996</v>
      </c>
      <c r="E3">
        <v>2</v>
      </c>
      <c r="F3">
        <v>112</v>
      </c>
    </row>
    <row r="4" spans="1:6" x14ac:dyDescent="0.2">
      <c r="A4" t="s">
        <v>523</v>
      </c>
      <c r="D4">
        <v>3796</v>
      </c>
      <c r="E4">
        <v>3</v>
      </c>
      <c r="F4">
        <v>174</v>
      </c>
    </row>
    <row r="5" spans="1:6" x14ac:dyDescent="0.2">
      <c r="A5" t="s">
        <v>523</v>
      </c>
      <c r="D5">
        <v>3796</v>
      </c>
      <c r="E5">
        <v>4</v>
      </c>
      <c r="F5">
        <v>491</v>
      </c>
    </row>
    <row r="6" spans="1:6" x14ac:dyDescent="0.2">
      <c r="A6" t="s">
        <v>524</v>
      </c>
      <c r="D6">
        <v>3803</v>
      </c>
      <c r="E6">
        <v>1</v>
      </c>
      <c r="F6">
        <v>378</v>
      </c>
    </row>
    <row r="7" spans="1:6" x14ac:dyDescent="0.2">
      <c r="A7" t="s">
        <v>524</v>
      </c>
      <c r="D7">
        <v>3803</v>
      </c>
      <c r="E7">
        <v>2</v>
      </c>
      <c r="F7">
        <v>392</v>
      </c>
    </row>
    <row r="8" spans="1:6" x14ac:dyDescent="0.2">
      <c r="A8" t="s">
        <v>524</v>
      </c>
      <c r="D8">
        <v>3803</v>
      </c>
      <c r="E8">
        <v>3</v>
      </c>
      <c r="F8">
        <v>470</v>
      </c>
    </row>
    <row r="9" spans="1:6" x14ac:dyDescent="0.2">
      <c r="A9" t="s">
        <v>524</v>
      </c>
      <c r="D9">
        <v>3803</v>
      </c>
      <c r="E9">
        <v>4</v>
      </c>
      <c r="F9">
        <v>725</v>
      </c>
    </row>
    <row r="10" spans="1:6" x14ac:dyDescent="0.2">
      <c r="A10" t="s">
        <v>525</v>
      </c>
      <c r="D10">
        <v>10017</v>
      </c>
      <c r="E10" t="s">
        <v>526</v>
      </c>
      <c r="F10">
        <v>74</v>
      </c>
    </row>
    <row r="11" spans="1:6" x14ac:dyDescent="0.2">
      <c r="A11" t="s">
        <v>527</v>
      </c>
      <c r="D11">
        <v>3797</v>
      </c>
      <c r="E11">
        <f>--8</f>
        <v>8</v>
      </c>
      <c r="F11">
        <v>334</v>
      </c>
    </row>
    <row r="12" spans="1:6" x14ac:dyDescent="0.2">
      <c r="A12" t="s">
        <v>527</v>
      </c>
      <c r="D12">
        <v>3797</v>
      </c>
      <c r="E12">
        <v>3</v>
      </c>
      <c r="F12">
        <v>294</v>
      </c>
    </row>
    <row r="13" spans="1:6" x14ac:dyDescent="0.2">
      <c r="A13" t="s">
        <v>527</v>
      </c>
      <c r="D13">
        <v>3797</v>
      </c>
      <c r="E13">
        <v>4</v>
      </c>
      <c r="F13">
        <v>495</v>
      </c>
    </row>
    <row r="14" spans="1:6" x14ac:dyDescent="0.2">
      <c r="A14" t="s">
        <v>527</v>
      </c>
      <c r="D14">
        <v>3797</v>
      </c>
      <c r="E14">
        <v>5</v>
      </c>
      <c r="F14">
        <v>978</v>
      </c>
    </row>
    <row r="15" spans="1:6" x14ac:dyDescent="0.2">
      <c r="A15" t="s">
        <v>527</v>
      </c>
      <c r="D15">
        <v>3797</v>
      </c>
      <c r="E15">
        <v>6</v>
      </c>
      <c r="F15">
        <v>1711</v>
      </c>
    </row>
    <row r="16" spans="1:6" x14ac:dyDescent="0.2">
      <c r="A16" t="s">
        <v>527</v>
      </c>
      <c r="D16">
        <v>3797</v>
      </c>
      <c r="E16">
        <v>7</v>
      </c>
      <c r="F16">
        <v>402</v>
      </c>
    </row>
    <row r="17" spans="1:6" x14ac:dyDescent="0.2">
      <c r="A17" t="s">
        <v>528</v>
      </c>
      <c r="D17">
        <v>3775</v>
      </c>
      <c r="E17">
        <v>1</v>
      </c>
      <c r="F17">
        <v>696</v>
      </c>
    </row>
    <row r="18" spans="1:6" x14ac:dyDescent="0.2">
      <c r="A18" t="s">
        <v>528</v>
      </c>
      <c r="D18">
        <v>3775</v>
      </c>
      <c r="E18">
        <v>2</v>
      </c>
      <c r="F18">
        <v>661</v>
      </c>
    </row>
    <row r="19" spans="1:6" x14ac:dyDescent="0.2">
      <c r="A19" t="s">
        <v>528</v>
      </c>
      <c r="D19">
        <v>3775</v>
      </c>
      <c r="E19">
        <v>3</v>
      </c>
      <c r="F19">
        <v>730</v>
      </c>
    </row>
    <row r="20" spans="1:6" x14ac:dyDescent="0.2">
      <c r="A20" t="s">
        <v>529</v>
      </c>
      <c r="D20">
        <v>7213</v>
      </c>
      <c r="E20">
        <v>1</v>
      </c>
      <c r="F20">
        <v>1313</v>
      </c>
    </row>
    <row r="21" spans="1:6" x14ac:dyDescent="0.2">
      <c r="A21" t="s">
        <v>529</v>
      </c>
      <c r="D21">
        <v>7213</v>
      </c>
      <c r="E21">
        <v>2</v>
      </c>
      <c r="F21">
        <v>1421</v>
      </c>
    </row>
    <row r="22" spans="1:6" x14ac:dyDescent="0.2">
      <c r="A22" t="s">
        <v>530</v>
      </c>
      <c r="D22">
        <v>10377</v>
      </c>
      <c r="E22" t="s">
        <v>531</v>
      </c>
      <c r="F22">
        <v>416</v>
      </c>
    </row>
    <row r="23" spans="1:6" x14ac:dyDescent="0.2">
      <c r="A23" t="s">
        <v>532</v>
      </c>
      <c r="D23">
        <v>10071</v>
      </c>
      <c r="E23" t="s">
        <v>533</v>
      </c>
      <c r="F23">
        <v>452</v>
      </c>
    </row>
    <row r="24" spans="1:6" x14ac:dyDescent="0.2">
      <c r="A24" t="s">
        <v>534</v>
      </c>
      <c r="D24">
        <v>54081</v>
      </c>
      <c r="E24" t="s">
        <v>535</v>
      </c>
      <c r="F24">
        <v>392</v>
      </c>
    </row>
    <row r="25" spans="1:6" x14ac:dyDescent="0.2">
      <c r="A25" t="s">
        <v>536</v>
      </c>
      <c r="D25">
        <v>54081</v>
      </c>
      <c r="E25" t="s">
        <v>537</v>
      </c>
      <c r="F25">
        <v>272</v>
      </c>
    </row>
    <row r="26" spans="1:6" x14ac:dyDescent="0.2">
      <c r="A26" t="s">
        <v>538</v>
      </c>
      <c r="D26">
        <v>52087</v>
      </c>
      <c r="E26" t="s">
        <v>539</v>
      </c>
      <c r="F26">
        <v>216</v>
      </c>
    </row>
    <row r="27" spans="1:6" x14ac:dyDescent="0.2">
      <c r="A27" t="s">
        <v>540</v>
      </c>
      <c r="D27">
        <v>7212</v>
      </c>
      <c r="E27">
        <f>--1</f>
        <v>1</v>
      </c>
      <c r="F27">
        <v>37</v>
      </c>
    </row>
    <row r="28" spans="1:6" x14ac:dyDescent="0.2">
      <c r="A28" t="s">
        <v>540</v>
      </c>
      <c r="D28">
        <v>7212</v>
      </c>
      <c r="E28">
        <f>--2</f>
        <v>2</v>
      </c>
      <c r="F28">
        <v>36</v>
      </c>
    </row>
    <row r="29" spans="1:6" x14ac:dyDescent="0.2">
      <c r="A29" t="s">
        <v>540</v>
      </c>
      <c r="D29">
        <v>7212</v>
      </c>
      <c r="E29">
        <f>--3</f>
        <v>3</v>
      </c>
      <c r="F29">
        <v>38</v>
      </c>
    </row>
    <row r="30" spans="1:6" x14ac:dyDescent="0.2">
      <c r="A30" t="s">
        <v>540</v>
      </c>
      <c r="D30">
        <v>7212</v>
      </c>
      <c r="E30">
        <f>--4</f>
        <v>4</v>
      </c>
      <c r="F30">
        <v>37</v>
      </c>
    </row>
    <row r="31" spans="1:6" x14ac:dyDescent="0.2">
      <c r="A31" t="s">
        <v>541</v>
      </c>
      <c r="D31">
        <v>52019</v>
      </c>
      <c r="E31" t="s">
        <v>542</v>
      </c>
      <c r="F31">
        <v>203</v>
      </c>
    </row>
    <row r="32" spans="1:6" x14ac:dyDescent="0.2">
      <c r="A32" t="s">
        <v>541</v>
      </c>
      <c r="D32">
        <v>52019</v>
      </c>
      <c r="E32" t="s">
        <v>543</v>
      </c>
      <c r="F32">
        <v>225</v>
      </c>
    </row>
    <row r="33" spans="1:6" x14ac:dyDescent="0.2">
      <c r="A33" t="s">
        <v>544</v>
      </c>
      <c r="D33">
        <v>52019</v>
      </c>
      <c r="E33" t="s">
        <v>545</v>
      </c>
      <c r="F33">
        <v>232</v>
      </c>
    </row>
    <row r="34" spans="1:6" x14ac:dyDescent="0.2">
      <c r="A34" t="s">
        <v>544</v>
      </c>
      <c r="D34">
        <v>52019</v>
      </c>
      <c r="E34" t="s">
        <v>546</v>
      </c>
      <c r="F34">
        <v>225</v>
      </c>
    </row>
    <row r="35" spans="1:6" x14ac:dyDescent="0.2">
      <c r="A35" t="s">
        <v>547</v>
      </c>
      <c r="D35">
        <v>3776</v>
      </c>
      <c r="E35">
        <v>51</v>
      </c>
      <c r="F35">
        <v>129</v>
      </c>
    </row>
    <row r="36" spans="1:6" x14ac:dyDescent="0.2">
      <c r="A36" t="s">
        <v>547</v>
      </c>
      <c r="D36">
        <v>3776</v>
      </c>
      <c r="E36">
        <v>52</v>
      </c>
      <c r="F36">
        <v>140</v>
      </c>
    </row>
    <row r="37" spans="1:6" x14ac:dyDescent="0.2">
      <c r="A37" t="s">
        <v>547</v>
      </c>
      <c r="D37">
        <v>3776</v>
      </c>
      <c r="E37">
        <v>6</v>
      </c>
      <c r="F37">
        <v>619</v>
      </c>
    </row>
    <row r="38" spans="1:6" x14ac:dyDescent="0.2">
      <c r="A38" t="s">
        <v>548</v>
      </c>
      <c r="D38">
        <v>54844</v>
      </c>
      <c r="E38" t="s">
        <v>549</v>
      </c>
      <c r="F38">
        <v>101</v>
      </c>
    </row>
    <row r="39" spans="1:6" x14ac:dyDescent="0.2">
      <c r="A39" t="s">
        <v>550</v>
      </c>
      <c r="D39">
        <v>54844</v>
      </c>
      <c r="E39" t="s">
        <v>551</v>
      </c>
      <c r="F39">
        <v>95</v>
      </c>
    </row>
    <row r="40" spans="1:6" x14ac:dyDescent="0.2">
      <c r="A40" t="s">
        <v>552</v>
      </c>
      <c r="D40">
        <v>7032</v>
      </c>
      <c r="E40">
        <f>--3</f>
        <v>3</v>
      </c>
      <c r="F40">
        <v>27</v>
      </c>
    </row>
    <row r="41" spans="1:6" x14ac:dyDescent="0.2">
      <c r="A41" t="s">
        <v>552</v>
      </c>
      <c r="D41">
        <v>7032</v>
      </c>
      <c r="E41">
        <f>--4</f>
        <v>4</v>
      </c>
      <c r="F41">
        <v>30</v>
      </c>
    </row>
    <row r="42" spans="1:6" x14ac:dyDescent="0.2">
      <c r="A42" t="s">
        <v>552</v>
      </c>
      <c r="D42">
        <v>7032</v>
      </c>
      <c r="E42">
        <f>--5</f>
        <v>5</v>
      </c>
      <c r="F42">
        <v>18</v>
      </c>
    </row>
    <row r="43" spans="1:6" x14ac:dyDescent="0.2">
      <c r="A43" t="s">
        <v>552</v>
      </c>
      <c r="D43">
        <v>7032</v>
      </c>
      <c r="E43">
        <f>--6</f>
        <v>6</v>
      </c>
      <c r="F43">
        <v>22</v>
      </c>
    </row>
    <row r="44" spans="1:6" x14ac:dyDescent="0.2">
      <c r="A44" t="s">
        <v>553</v>
      </c>
      <c r="D44">
        <v>10633</v>
      </c>
      <c r="E44" t="s">
        <v>554</v>
      </c>
      <c r="F44">
        <v>130</v>
      </c>
    </row>
    <row r="45" spans="1:6" x14ac:dyDescent="0.2">
      <c r="A45" t="s">
        <v>553</v>
      </c>
      <c r="D45">
        <v>10633</v>
      </c>
      <c r="E45" t="s">
        <v>555</v>
      </c>
      <c r="F45">
        <v>67</v>
      </c>
    </row>
    <row r="46" spans="1:6" x14ac:dyDescent="0.2">
      <c r="A46" t="s">
        <v>556</v>
      </c>
      <c r="D46">
        <v>10773</v>
      </c>
      <c r="E46">
        <v>1</v>
      </c>
      <c r="F46">
        <v>23</v>
      </c>
    </row>
    <row r="47" spans="1:6" x14ac:dyDescent="0.2">
      <c r="A47" t="s">
        <v>556</v>
      </c>
      <c r="D47">
        <v>10773</v>
      </c>
      <c r="E47">
        <v>2</v>
      </c>
      <c r="F47">
        <v>21</v>
      </c>
    </row>
    <row r="48" spans="1:6" x14ac:dyDescent="0.2">
      <c r="A48" t="s">
        <v>557</v>
      </c>
      <c r="D48">
        <v>10771</v>
      </c>
      <c r="E48">
        <v>1</v>
      </c>
      <c r="F48">
        <v>21</v>
      </c>
    </row>
    <row r="49" spans="1:6" x14ac:dyDescent="0.2">
      <c r="A49" t="s">
        <v>557</v>
      </c>
      <c r="D49">
        <v>10771</v>
      </c>
      <c r="E49">
        <v>2</v>
      </c>
      <c r="F49">
        <v>20</v>
      </c>
    </row>
    <row r="50" spans="1:6" x14ac:dyDescent="0.2">
      <c r="A50" t="s">
        <v>558</v>
      </c>
      <c r="D50">
        <v>10774</v>
      </c>
      <c r="E50">
        <v>1</v>
      </c>
      <c r="F50">
        <v>29</v>
      </c>
    </row>
    <row r="51" spans="1:6" x14ac:dyDescent="0.2">
      <c r="A51" t="s">
        <v>558</v>
      </c>
      <c r="D51">
        <v>10774</v>
      </c>
      <c r="E51">
        <v>2</v>
      </c>
      <c r="F51">
        <v>37</v>
      </c>
    </row>
    <row r="52" spans="1:6" x14ac:dyDescent="0.2">
      <c r="A52" t="s">
        <v>559</v>
      </c>
      <c r="D52">
        <v>52007</v>
      </c>
      <c r="E52" t="s">
        <v>560</v>
      </c>
      <c r="F52">
        <v>288</v>
      </c>
    </row>
    <row r="53" spans="1:6" x14ac:dyDescent="0.2">
      <c r="A53" t="s">
        <v>561</v>
      </c>
      <c r="D53">
        <v>3804</v>
      </c>
      <c r="E53">
        <v>3</v>
      </c>
      <c r="F53">
        <v>281</v>
      </c>
    </row>
    <row r="54" spans="1:6" x14ac:dyDescent="0.2">
      <c r="A54" t="s">
        <v>561</v>
      </c>
      <c r="D54">
        <v>3804</v>
      </c>
      <c r="E54">
        <v>4</v>
      </c>
      <c r="F54">
        <v>671</v>
      </c>
    </row>
    <row r="55" spans="1:6" x14ac:dyDescent="0.2">
      <c r="A55" t="s">
        <v>561</v>
      </c>
      <c r="D55">
        <v>3804</v>
      </c>
      <c r="E55">
        <v>5</v>
      </c>
      <c r="F55">
        <v>409</v>
      </c>
    </row>
    <row r="56" spans="1:6" x14ac:dyDescent="0.2">
      <c r="A56" t="s">
        <v>562</v>
      </c>
      <c r="D56">
        <v>3788</v>
      </c>
      <c r="E56">
        <v>1</v>
      </c>
      <c r="F56">
        <v>258</v>
      </c>
    </row>
    <row r="57" spans="1:6" x14ac:dyDescent="0.2">
      <c r="A57" t="s">
        <v>563</v>
      </c>
      <c r="D57">
        <v>3788</v>
      </c>
      <c r="E57">
        <v>2</v>
      </c>
      <c r="F57">
        <v>177</v>
      </c>
    </row>
    <row r="58" spans="1:6" x14ac:dyDescent="0.2">
      <c r="A58" t="s">
        <v>562</v>
      </c>
      <c r="D58">
        <v>3788</v>
      </c>
      <c r="E58">
        <v>3</v>
      </c>
      <c r="F58">
        <v>294</v>
      </c>
    </row>
    <row r="59" spans="1:6" x14ac:dyDescent="0.2">
      <c r="A59" t="s">
        <v>563</v>
      </c>
      <c r="D59">
        <v>3788</v>
      </c>
      <c r="E59">
        <v>4</v>
      </c>
      <c r="F59">
        <v>283</v>
      </c>
    </row>
    <row r="60" spans="1:6" x14ac:dyDescent="0.2">
      <c r="A60" t="s">
        <v>563</v>
      </c>
      <c r="D60">
        <v>3788</v>
      </c>
      <c r="E60">
        <v>5</v>
      </c>
      <c r="F60">
        <v>282</v>
      </c>
    </row>
    <row r="61" spans="1:6" x14ac:dyDescent="0.2">
      <c r="A61" t="s">
        <v>564</v>
      </c>
      <c r="D61">
        <v>12</v>
      </c>
      <c r="E61">
        <v>1</v>
      </c>
      <c r="F61">
        <v>410</v>
      </c>
    </row>
    <row r="62" spans="1:6" x14ac:dyDescent="0.2">
      <c r="A62" t="s">
        <v>565</v>
      </c>
      <c r="D62">
        <v>3785</v>
      </c>
      <c r="E62">
        <v>10</v>
      </c>
      <c r="F62">
        <v>8</v>
      </c>
    </row>
    <row r="63" spans="1:6" x14ac:dyDescent="0.2">
      <c r="A63" t="s">
        <v>566</v>
      </c>
      <c r="D63">
        <v>3809</v>
      </c>
      <c r="E63">
        <v>1</v>
      </c>
      <c r="F63">
        <v>491</v>
      </c>
    </row>
    <row r="64" spans="1:6" x14ac:dyDescent="0.2">
      <c r="A64" t="s">
        <v>566</v>
      </c>
      <c r="D64">
        <v>3809</v>
      </c>
      <c r="E64">
        <v>2</v>
      </c>
      <c r="F64">
        <v>533</v>
      </c>
    </row>
    <row r="65" spans="1:6" x14ac:dyDescent="0.2">
      <c r="A65" t="s">
        <v>566</v>
      </c>
      <c r="D65">
        <v>3809</v>
      </c>
      <c r="E65">
        <v>3</v>
      </c>
      <c r="F65">
        <v>971</v>
      </c>
    </row>
    <row r="66" spans="1:6" x14ac:dyDescent="0.2">
      <c r="F66">
        <f>SUM(F2:F65)</f>
        <v>21614</v>
      </c>
    </row>
    <row r="67" spans="1:6" s="168" customFormat="1" ht="13.5" thickBot="1" x14ac:dyDescent="0.25"/>
    <row r="68" spans="1:6" x14ac:dyDescent="0.2">
      <c r="A68" s="3" t="s">
        <v>293</v>
      </c>
    </row>
    <row r="69" spans="1:6" s="3" customFormat="1" x14ac:dyDescent="0.2">
      <c r="A69" s="3" t="s">
        <v>830</v>
      </c>
      <c r="B69" s="3" t="s">
        <v>519</v>
      </c>
      <c r="C69" s="3" t="s">
        <v>520</v>
      </c>
      <c r="D69" s="3" t="s">
        <v>576</v>
      </c>
    </row>
    <row r="71" spans="1:6" x14ac:dyDescent="0.2">
      <c r="A71" t="s">
        <v>567</v>
      </c>
      <c r="B71">
        <v>4</v>
      </c>
      <c r="C71">
        <v>1</v>
      </c>
      <c r="D71">
        <v>145</v>
      </c>
    </row>
    <row r="72" spans="1:6" x14ac:dyDescent="0.2">
      <c r="A72" t="s">
        <v>567</v>
      </c>
      <c r="B72">
        <v>4</v>
      </c>
      <c r="C72">
        <v>2</v>
      </c>
      <c r="D72">
        <v>20</v>
      </c>
    </row>
    <row r="73" spans="1:6" x14ac:dyDescent="0.2">
      <c r="A73" t="s">
        <v>568</v>
      </c>
      <c r="B73">
        <v>2</v>
      </c>
      <c r="C73">
        <v>3</v>
      </c>
      <c r="D73">
        <v>97</v>
      </c>
    </row>
    <row r="74" spans="1:6" x14ac:dyDescent="0.2">
      <c r="A74" t="s">
        <v>569</v>
      </c>
      <c r="B74">
        <v>3</v>
      </c>
      <c r="C74">
        <v>2</v>
      </c>
      <c r="D74">
        <v>98</v>
      </c>
    </row>
    <row r="75" spans="1:6" x14ac:dyDescent="0.2">
      <c r="A75" t="s">
        <v>569</v>
      </c>
      <c r="B75">
        <v>3</v>
      </c>
      <c r="C75">
        <v>5</v>
      </c>
      <c r="D75">
        <v>2</v>
      </c>
    </row>
    <row r="76" spans="1:6" x14ac:dyDescent="0.2">
      <c r="A76" t="s">
        <v>570</v>
      </c>
      <c r="B76">
        <v>26</v>
      </c>
      <c r="C76" t="s">
        <v>571</v>
      </c>
      <c r="D76">
        <v>98</v>
      </c>
    </row>
    <row r="77" spans="1:6" x14ac:dyDescent="0.2">
      <c r="A77" t="s">
        <v>570</v>
      </c>
      <c r="B77">
        <v>26</v>
      </c>
      <c r="C77" t="s">
        <v>572</v>
      </c>
      <c r="D77">
        <v>143</v>
      </c>
    </row>
    <row r="78" spans="1:6" x14ac:dyDescent="0.2">
      <c r="A78" t="s">
        <v>573</v>
      </c>
      <c r="B78">
        <v>6</v>
      </c>
      <c r="C78">
        <v>17</v>
      </c>
      <c r="D78">
        <v>71</v>
      </c>
    </row>
    <row r="79" spans="1:6" x14ac:dyDescent="0.2">
      <c r="A79" t="s">
        <v>574</v>
      </c>
      <c r="B79">
        <v>1</v>
      </c>
      <c r="C79">
        <v>2</v>
      </c>
      <c r="D79">
        <v>284</v>
      </c>
    </row>
    <row r="80" spans="1:6" x14ac:dyDescent="0.2">
      <c r="A80" t="s">
        <v>575</v>
      </c>
      <c r="B80">
        <v>3</v>
      </c>
      <c r="C80">
        <v>1</v>
      </c>
      <c r="D80">
        <v>810</v>
      </c>
    </row>
    <row r="81" spans="1:5" x14ac:dyDescent="0.2">
      <c r="A81" t="s">
        <v>575</v>
      </c>
      <c r="B81">
        <v>3</v>
      </c>
      <c r="C81">
        <v>4</v>
      </c>
      <c r="D81">
        <v>763</v>
      </c>
    </row>
    <row r="82" spans="1:5" x14ac:dyDescent="0.2">
      <c r="A82" t="s">
        <v>575</v>
      </c>
      <c r="B82">
        <v>3</v>
      </c>
      <c r="C82">
        <v>5</v>
      </c>
      <c r="D82">
        <v>148</v>
      </c>
    </row>
    <row r="83" spans="1:5" x14ac:dyDescent="0.2">
      <c r="A83" t="s">
        <v>575</v>
      </c>
      <c r="B83">
        <v>3</v>
      </c>
      <c r="C83">
        <v>11</v>
      </c>
      <c r="D83">
        <v>5</v>
      </c>
    </row>
    <row r="84" spans="1:5" x14ac:dyDescent="0.2">
      <c r="D84">
        <f>SUM(D71:D83)</f>
        <v>2684</v>
      </c>
      <c r="E84">
        <f>D84+F66</f>
        <v>24298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7"/>
  <sheetViews>
    <sheetView topLeftCell="A19" workbookViewId="0">
      <selection activeCell="C1" sqref="C1"/>
    </sheetView>
  </sheetViews>
  <sheetFormatPr defaultRowHeight="12.75" x14ac:dyDescent="0.2"/>
  <cols>
    <col min="1" max="1" width="17.85546875" customWidth="1"/>
    <col min="2" max="2" width="19.28515625" customWidth="1"/>
  </cols>
  <sheetData>
    <row r="1" spans="1:10" ht="63.75" x14ac:dyDescent="0.2">
      <c r="A1" s="1" t="s">
        <v>829</v>
      </c>
      <c r="B1" s="1" t="s">
        <v>830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837</v>
      </c>
      <c r="J1" s="1"/>
    </row>
    <row r="2" spans="1:10" x14ac:dyDescent="0.2">
      <c r="A2" t="s">
        <v>838</v>
      </c>
      <c r="B2" t="s">
        <v>839</v>
      </c>
      <c r="C2">
        <v>1</v>
      </c>
      <c r="D2">
        <v>0</v>
      </c>
      <c r="E2">
        <v>50446</v>
      </c>
      <c r="F2">
        <v>87701</v>
      </c>
      <c r="G2">
        <v>100459</v>
      </c>
      <c r="H2">
        <v>0.36799999999999999</v>
      </c>
      <c r="I2">
        <v>19</v>
      </c>
    </row>
    <row r="3" spans="1:10" x14ac:dyDescent="0.2">
      <c r="A3" t="s">
        <v>838</v>
      </c>
      <c r="B3" t="s">
        <v>839</v>
      </c>
      <c r="C3">
        <v>2</v>
      </c>
      <c r="D3">
        <v>386706</v>
      </c>
      <c r="E3">
        <v>59928</v>
      </c>
      <c r="F3">
        <v>94926</v>
      </c>
      <c r="G3">
        <v>128866</v>
      </c>
      <c r="H3">
        <v>0.36799999999999999</v>
      </c>
      <c r="I3">
        <v>53</v>
      </c>
    </row>
    <row r="4" spans="1:10" x14ac:dyDescent="0.2">
      <c r="A4" t="s">
        <v>838</v>
      </c>
      <c r="B4" t="s">
        <v>839</v>
      </c>
      <c r="C4">
        <v>3</v>
      </c>
      <c r="D4">
        <v>1336784</v>
      </c>
      <c r="E4">
        <v>957093</v>
      </c>
      <c r="F4">
        <v>975350</v>
      </c>
      <c r="G4">
        <v>1479802</v>
      </c>
      <c r="H4">
        <v>0.15</v>
      </c>
      <c r="I4">
        <v>119</v>
      </c>
    </row>
    <row r="5" spans="1:10" x14ac:dyDescent="0.2">
      <c r="A5" t="s">
        <v>838</v>
      </c>
      <c r="B5" t="s">
        <v>840</v>
      </c>
      <c r="C5">
        <v>1</v>
      </c>
      <c r="D5">
        <v>61900</v>
      </c>
      <c r="E5">
        <v>45590</v>
      </c>
      <c r="F5">
        <v>51702</v>
      </c>
      <c r="G5">
        <v>93782</v>
      </c>
      <c r="H5">
        <v>0.15</v>
      </c>
      <c r="I5">
        <v>7</v>
      </c>
    </row>
    <row r="6" spans="1:10" x14ac:dyDescent="0.2">
      <c r="A6" t="s">
        <v>841</v>
      </c>
      <c r="B6" t="s">
        <v>841</v>
      </c>
      <c r="C6">
        <v>127</v>
      </c>
      <c r="D6">
        <v>642482</v>
      </c>
      <c r="E6">
        <v>331239</v>
      </c>
      <c r="F6">
        <v>802817</v>
      </c>
      <c r="G6">
        <v>703689</v>
      </c>
      <c r="H6">
        <v>0.61399999999999999</v>
      </c>
      <c r="I6">
        <v>259</v>
      </c>
    </row>
    <row r="7" spans="1:10" x14ac:dyDescent="0.2">
      <c r="A7" t="s">
        <v>842</v>
      </c>
      <c r="B7" t="s">
        <v>843</v>
      </c>
      <c r="C7">
        <v>11</v>
      </c>
      <c r="D7">
        <v>54550</v>
      </c>
      <c r="E7">
        <v>15889</v>
      </c>
      <c r="F7">
        <v>36385</v>
      </c>
      <c r="G7">
        <v>56658</v>
      </c>
      <c r="H7">
        <v>0.15</v>
      </c>
      <c r="I7">
        <v>5</v>
      </c>
    </row>
    <row r="8" spans="1:10" x14ac:dyDescent="0.2">
      <c r="A8" t="s">
        <v>842</v>
      </c>
      <c r="B8" t="s">
        <v>843</v>
      </c>
      <c r="C8">
        <v>14</v>
      </c>
      <c r="D8">
        <v>54067</v>
      </c>
      <c r="E8">
        <v>18804</v>
      </c>
      <c r="F8">
        <v>30481</v>
      </c>
      <c r="G8">
        <v>78256</v>
      </c>
      <c r="H8">
        <v>0.15</v>
      </c>
      <c r="I8">
        <v>6</v>
      </c>
    </row>
    <row r="9" spans="1:10" x14ac:dyDescent="0.2">
      <c r="A9" t="s">
        <v>842</v>
      </c>
      <c r="B9" t="s">
        <v>844</v>
      </c>
      <c r="C9">
        <v>10</v>
      </c>
      <c r="D9">
        <v>10962</v>
      </c>
      <c r="E9">
        <v>3389</v>
      </c>
      <c r="F9">
        <v>14401</v>
      </c>
      <c r="G9">
        <v>1721</v>
      </c>
      <c r="H9">
        <v>0.69799999999999995</v>
      </c>
      <c r="I9">
        <v>5</v>
      </c>
    </row>
    <row r="10" spans="1:10" x14ac:dyDescent="0.2">
      <c r="A10" t="s">
        <v>842</v>
      </c>
      <c r="B10" t="s">
        <v>845</v>
      </c>
      <c r="C10">
        <v>3</v>
      </c>
      <c r="D10">
        <v>2620203</v>
      </c>
      <c r="E10">
        <v>2545577</v>
      </c>
      <c r="F10">
        <v>2930860</v>
      </c>
      <c r="G10">
        <v>2409740</v>
      </c>
      <c r="H10">
        <v>0.15</v>
      </c>
      <c r="I10">
        <v>234</v>
      </c>
    </row>
    <row r="11" spans="1:10" x14ac:dyDescent="0.2">
      <c r="A11" t="s">
        <v>842</v>
      </c>
      <c r="B11" t="s">
        <v>845</v>
      </c>
      <c r="C11">
        <v>4</v>
      </c>
      <c r="D11">
        <v>3716664</v>
      </c>
      <c r="E11">
        <v>4772838</v>
      </c>
      <c r="F11">
        <v>4069197</v>
      </c>
      <c r="G11">
        <v>4731992</v>
      </c>
      <c r="H11">
        <v>0.15</v>
      </c>
      <c r="I11">
        <v>400</v>
      </c>
    </row>
    <row r="12" spans="1:10" x14ac:dyDescent="0.2">
      <c r="A12" t="s">
        <v>842</v>
      </c>
      <c r="B12" t="s">
        <v>845</v>
      </c>
      <c r="C12">
        <v>5</v>
      </c>
      <c r="D12">
        <v>6395496</v>
      </c>
      <c r="E12">
        <v>6634821</v>
      </c>
      <c r="F12">
        <v>5502246</v>
      </c>
      <c r="G12">
        <v>7638136</v>
      </c>
      <c r="H12">
        <v>0.15</v>
      </c>
      <c r="I12">
        <v>601</v>
      </c>
    </row>
    <row r="13" spans="1:10" x14ac:dyDescent="0.2">
      <c r="A13" t="s">
        <v>842</v>
      </c>
      <c r="B13" t="s">
        <v>845</v>
      </c>
      <c r="C13">
        <v>10</v>
      </c>
      <c r="D13">
        <v>12039</v>
      </c>
      <c r="E13">
        <v>7550</v>
      </c>
      <c r="F13">
        <v>8953</v>
      </c>
      <c r="G13">
        <v>4330</v>
      </c>
      <c r="H13">
        <v>0.69799999999999995</v>
      </c>
      <c r="I13">
        <v>4</v>
      </c>
    </row>
    <row r="14" spans="1:10" x14ac:dyDescent="0.2">
      <c r="A14" t="s">
        <v>842</v>
      </c>
      <c r="B14" t="s">
        <v>846</v>
      </c>
      <c r="C14">
        <v>10</v>
      </c>
      <c r="D14">
        <v>8239</v>
      </c>
      <c r="E14">
        <v>9830</v>
      </c>
      <c r="F14">
        <v>5787</v>
      </c>
      <c r="G14">
        <v>5328</v>
      </c>
      <c r="H14">
        <v>0.69799999999999995</v>
      </c>
      <c r="I14">
        <v>4</v>
      </c>
    </row>
    <row r="15" spans="1:10" x14ac:dyDescent="0.2">
      <c r="A15" t="s">
        <v>842</v>
      </c>
      <c r="B15" t="s">
        <v>847</v>
      </c>
      <c r="C15">
        <v>10</v>
      </c>
      <c r="D15">
        <v>21026</v>
      </c>
      <c r="E15">
        <v>5094</v>
      </c>
      <c r="F15">
        <v>11599</v>
      </c>
      <c r="G15">
        <v>16191</v>
      </c>
      <c r="H15">
        <v>0.69799999999999995</v>
      </c>
      <c r="I15">
        <v>7</v>
      </c>
    </row>
    <row r="16" spans="1:10" x14ac:dyDescent="0.2">
      <c r="A16" t="s">
        <v>842</v>
      </c>
      <c r="B16" t="s">
        <v>848</v>
      </c>
      <c r="C16">
        <v>1</v>
      </c>
      <c r="D16">
        <v>2841727</v>
      </c>
      <c r="E16">
        <v>2563987</v>
      </c>
      <c r="F16">
        <v>1491606</v>
      </c>
      <c r="G16">
        <v>1665519</v>
      </c>
      <c r="H16">
        <v>0.15</v>
      </c>
      <c r="I16">
        <v>227</v>
      </c>
    </row>
    <row r="17" spans="1:9" x14ac:dyDescent="0.2">
      <c r="A17" t="s">
        <v>842</v>
      </c>
      <c r="B17" t="s">
        <v>848</v>
      </c>
      <c r="C17">
        <v>2</v>
      </c>
      <c r="D17">
        <v>2229278</v>
      </c>
      <c r="E17">
        <v>2877121</v>
      </c>
      <c r="F17">
        <v>831204</v>
      </c>
      <c r="G17">
        <v>1829101</v>
      </c>
      <c r="H17">
        <v>0.15</v>
      </c>
      <c r="I17">
        <v>215</v>
      </c>
    </row>
    <row r="18" spans="1:9" x14ac:dyDescent="0.2">
      <c r="A18" t="s">
        <v>842</v>
      </c>
      <c r="B18" t="s">
        <v>848</v>
      </c>
      <c r="C18">
        <v>3</v>
      </c>
      <c r="D18">
        <v>596599</v>
      </c>
      <c r="E18">
        <v>2684517</v>
      </c>
      <c r="F18">
        <v>1343486</v>
      </c>
      <c r="G18">
        <v>1684822</v>
      </c>
      <c r="H18">
        <v>0.15</v>
      </c>
      <c r="I18">
        <v>184</v>
      </c>
    </row>
    <row r="19" spans="1:9" x14ac:dyDescent="0.2">
      <c r="A19" t="s">
        <v>849</v>
      </c>
      <c r="B19" t="s">
        <v>844</v>
      </c>
      <c r="C19">
        <v>2</v>
      </c>
      <c r="D19">
        <v>1022582</v>
      </c>
      <c r="E19">
        <v>1248427</v>
      </c>
      <c r="F19">
        <v>1298731</v>
      </c>
      <c r="G19">
        <v>1286865</v>
      </c>
      <c r="H19">
        <v>0.17</v>
      </c>
      <c r="I19">
        <v>123</v>
      </c>
    </row>
    <row r="20" spans="1:9" x14ac:dyDescent="0.2">
      <c r="A20" t="s">
        <v>849</v>
      </c>
      <c r="B20" t="s">
        <v>844</v>
      </c>
      <c r="C20">
        <v>105</v>
      </c>
      <c r="D20">
        <v>0</v>
      </c>
      <c r="E20">
        <v>661482</v>
      </c>
      <c r="F20">
        <v>939273</v>
      </c>
      <c r="G20">
        <v>1100754</v>
      </c>
      <c r="H20">
        <v>0.17</v>
      </c>
      <c r="I20">
        <v>97</v>
      </c>
    </row>
    <row r="21" spans="1:9" x14ac:dyDescent="0.2">
      <c r="A21" t="s">
        <v>849</v>
      </c>
      <c r="B21" t="s">
        <v>844</v>
      </c>
      <c r="C21">
        <v>12</v>
      </c>
      <c r="D21">
        <v>1563456</v>
      </c>
      <c r="E21">
        <v>1364509</v>
      </c>
      <c r="F21">
        <v>1401081</v>
      </c>
      <c r="G21">
        <v>1501642</v>
      </c>
      <c r="H21">
        <v>0.17</v>
      </c>
      <c r="I21">
        <v>146</v>
      </c>
    </row>
    <row r="22" spans="1:9" x14ac:dyDescent="0.2">
      <c r="A22" t="s">
        <v>849</v>
      </c>
      <c r="B22" t="s">
        <v>844</v>
      </c>
      <c r="C22">
        <v>19</v>
      </c>
      <c r="D22">
        <v>158563</v>
      </c>
      <c r="E22">
        <v>215049</v>
      </c>
      <c r="F22">
        <v>0</v>
      </c>
      <c r="G22">
        <v>0</v>
      </c>
      <c r="H22">
        <v>0.17</v>
      </c>
      <c r="I22">
        <v>18</v>
      </c>
    </row>
    <row r="23" spans="1:9" x14ac:dyDescent="0.2">
      <c r="A23" t="s">
        <v>849</v>
      </c>
      <c r="B23" t="s">
        <v>844</v>
      </c>
      <c r="C23">
        <v>34</v>
      </c>
      <c r="D23">
        <v>1008710</v>
      </c>
      <c r="E23">
        <v>1177668</v>
      </c>
      <c r="F23">
        <v>1263378</v>
      </c>
      <c r="G23">
        <v>1151553</v>
      </c>
      <c r="H23">
        <v>0.17</v>
      </c>
      <c r="I23">
        <v>116</v>
      </c>
    </row>
    <row r="24" spans="1:9" x14ac:dyDescent="0.2">
      <c r="A24" t="s">
        <v>849</v>
      </c>
      <c r="B24" t="s">
        <v>844</v>
      </c>
      <c r="C24">
        <v>67</v>
      </c>
      <c r="D24">
        <v>492647</v>
      </c>
      <c r="E24">
        <v>1120816</v>
      </c>
      <c r="F24">
        <v>1465546</v>
      </c>
      <c r="G24">
        <v>1960436</v>
      </c>
      <c r="H24">
        <v>0.15</v>
      </c>
      <c r="I24">
        <v>144</v>
      </c>
    </row>
    <row r="25" spans="1:9" x14ac:dyDescent="0.2">
      <c r="A25" t="s">
        <v>849</v>
      </c>
      <c r="B25" t="s">
        <v>844</v>
      </c>
      <c r="C25">
        <v>68</v>
      </c>
      <c r="D25">
        <v>1827653</v>
      </c>
      <c r="E25">
        <v>1834264</v>
      </c>
      <c r="F25">
        <v>1963920</v>
      </c>
      <c r="G25">
        <v>1577947</v>
      </c>
      <c r="H25">
        <v>0.15</v>
      </c>
      <c r="I25">
        <v>160</v>
      </c>
    </row>
    <row r="26" spans="1:9" x14ac:dyDescent="0.2">
      <c r="A26" t="s">
        <v>849</v>
      </c>
      <c r="B26" t="s">
        <v>844</v>
      </c>
      <c r="C26">
        <v>69</v>
      </c>
      <c r="D26">
        <v>1878837</v>
      </c>
      <c r="E26">
        <v>1865021</v>
      </c>
      <c r="F26">
        <v>1891042</v>
      </c>
      <c r="G26">
        <v>1660522</v>
      </c>
      <c r="H26">
        <v>0.15</v>
      </c>
      <c r="I26">
        <v>159</v>
      </c>
    </row>
    <row r="27" spans="1:9" x14ac:dyDescent="0.2">
      <c r="A27" t="s">
        <v>849</v>
      </c>
      <c r="B27" t="s">
        <v>844</v>
      </c>
      <c r="C27">
        <v>70</v>
      </c>
      <c r="D27">
        <v>1825849</v>
      </c>
      <c r="E27">
        <v>1933117</v>
      </c>
      <c r="F27">
        <v>1905578</v>
      </c>
      <c r="G27">
        <v>1806235</v>
      </c>
      <c r="H27">
        <v>0.15</v>
      </c>
      <c r="I27">
        <v>162</v>
      </c>
    </row>
    <row r="28" spans="1:9" x14ac:dyDescent="0.2">
      <c r="A28" t="s">
        <v>849</v>
      </c>
      <c r="B28" t="s">
        <v>844</v>
      </c>
      <c r="C28">
        <v>72</v>
      </c>
      <c r="D28">
        <v>1249817</v>
      </c>
      <c r="E28">
        <v>0</v>
      </c>
      <c r="F28">
        <v>0</v>
      </c>
      <c r="G28">
        <v>0</v>
      </c>
      <c r="H28">
        <v>0.17</v>
      </c>
      <c r="I28">
        <v>119</v>
      </c>
    </row>
    <row r="29" spans="1:9" x14ac:dyDescent="0.2">
      <c r="A29" t="s">
        <v>849</v>
      </c>
      <c r="B29" t="s">
        <v>844</v>
      </c>
      <c r="C29">
        <v>74</v>
      </c>
      <c r="D29">
        <v>1340710</v>
      </c>
      <c r="E29">
        <v>1340142</v>
      </c>
      <c r="F29">
        <v>1507433</v>
      </c>
      <c r="G29">
        <v>1524650</v>
      </c>
      <c r="H29">
        <v>0.17</v>
      </c>
      <c r="I29">
        <v>145</v>
      </c>
    </row>
    <row r="30" spans="1:9" x14ac:dyDescent="0.2">
      <c r="A30" t="s">
        <v>849</v>
      </c>
      <c r="B30" t="s">
        <v>844</v>
      </c>
      <c r="C30" t="s">
        <v>850</v>
      </c>
      <c r="D30">
        <v>0</v>
      </c>
      <c r="E30">
        <v>0</v>
      </c>
      <c r="F30">
        <v>0</v>
      </c>
      <c r="G30">
        <v>0</v>
      </c>
      <c r="H30">
        <v>0.15</v>
      </c>
      <c r="I30">
        <v>0</v>
      </c>
    </row>
    <row r="31" spans="1:9" x14ac:dyDescent="0.2">
      <c r="A31" t="s">
        <v>849</v>
      </c>
      <c r="B31" t="s">
        <v>844</v>
      </c>
      <c r="C31" t="s">
        <v>850</v>
      </c>
      <c r="D31">
        <v>0</v>
      </c>
      <c r="E31">
        <v>0</v>
      </c>
      <c r="F31">
        <v>0</v>
      </c>
      <c r="G31">
        <v>0</v>
      </c>
      <c r="H31">
        <v>0.15</v>
      </c>
      <c r="I31">
        <v>0</v>
      </c>
    </row>
    <row r="32" spans="1:9" x14ac:dyDescent="0.2">
      <c r="A32" t="s">
        <v>842</v>
      </c>
      <c r="B32" t="s">
        <v>851</v>
      </c>
      <c r="C32">
        <v>1</v>
      </c>
      <c r="D32">
        <v>2346108</v>
      </c>
      <c r="E32">
        <v>1891753</v>
      </c>
      <c r="F32">
        <v>1862828</v>
      </c>
      <c r="G32">
        <v>2095177</v>
      </c>
      <c r="H32">
        <v>0.15</v>
      </c>
      <c r="I32">
        <v>187</v>
      </c>
    </row>
    <row r="33" spans="1:9" x14ac:dyDescent="0.2">
      <c r="A33" t="s">
        <v>842</v>
      </c>
      <c r="B33" t="s">
        <v>851</v>
      </c>
      <c r="C33">
        <v>2</v>
      </c>
      <c r="D33">
        <v>1738093</v>
      </c>
      <c r="E33">
        <v>2176161</v>
      </c>
      <c r="F33">
        <v>2226615</v>
      </c>
      <c r="G33">
        <v>2371839</v>
      </c>
      <c r="H33">
        <v>0.15</v>
      </c>
      <c r="I33">
        <v>193</v>
      </c>
    </row>
    <row r="34" spans="1:9" x14ac:dyDescent="0.2">
      <c r="A34" t="s">
        <v>842</v>
      </c>
      <c r="B34" t="s">
        <v>851</v>
      </c>
      <c r="C34">
        <v>3</v>
      </c>
      <c r="D34">
        <v>3789624</v>
      </c>
      <c r="E34">
        <v>3827660</v>
      </c>
      <c r="F34">
        <v>4216963</v>
      </c>
      <c r="G34">
        <v>4520919</v>
      </c>
      <c r="H34">
        <v>0.15</v>
      </c>
      <c r="I34">
        <v>368</v>
      </c>
    </row>
    <row r="35" spans="1:9" x14ac:dyDescent="0.2">
      <c r="A35" t="s">
        <v>842</v>
      </c>
      <c r="B35" t="s">
        <v>851</v>
      </c>
      <c r="C35">
        <v>4</v>
      </c>
      <c r="D35">
        <v>8304494</v>
      </c>
      <c r="E35">
        <v>8250941</v>
      </c>
      <c r="F35">
        <v>6635691</v>
      </c>
      <c r="G35">
        <v>8975537</v>
      </c>
      <c r="H35">
        <v>0.15</v>
      </c>
      <c r="I35">
        <v>727</v>
      </c>
    </row>
    <row r="36" spans="1:9" x14ac:dyDescent="0.2">
      <c r="A36" t="s">
        <v>842</v>
      </c>
      <c r="B36" t="s">
        <v>851</v>
      </c>
      <c r="C36">
        <v>10</v>
      </c>
      <c r="D36">
        <v>29472</v>
      </c>
      <c r="E36">
        <v>11931</v>
      </c>
      <c r="F36">
        <v>28745</v>
      </c>
      <c r="G36">
        <v>43603</v>
      </c>
      <c r="H36">
        <v>0.69799999999999995</v>
      </c>
      <c r="I36">
        <v>14</v>
      </c>
    </row>
    <row r="37" spans="1:9" x14ac:dyDescent="0.2">
      <c r="A37" t="s">
        <v>852</v>
      </c>
      <c r="B37">
        <v>5227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38"/>
  <sheetViews>
    <sheetView topLeftCell="A121" workbookViewId="0"/>
  </sheetViews>
  <sheetFormatPr defaultRowHeight="12.75" x14ac:dyDescent="0.2"/>
  <cols>
    <col min="1" max="1" width="14.140625" customWidth="1"/>
    <col min="2" max="2" width="0" hidden="1" customWidth="1"/>
    <col min="3" max="3" width="14.7109375" customWidth="1"/>
    <col min="4" max="4" width="13.85546875" customWidth="1"/>
    <col min="5" max="5" width="12.5703125" customWidth="1"/>
    <col min="6" max="6" width="11.85546875" customWidth="1"/>
    <col min="7" max="7" width="12.5703125" customWidth="1"/>
  </cols>
  <sheetData>
    <row r="2" spans="1:11" ht="38.25" x14ac:dyDescent="0.2">
      <c r="A2" s="1" t="s">
        <v>853</v>
      </c>
      <c r="B2" s="1"/>
      <c r="C2" s="1" t="s">
        <v>854</v>
      </c>
      <c r="D2" s="1" t="s">
        <v>855</v>
      </c>
      <c r="E2" s="1" t="s">
        <v>856</v>
      </c>
      <c r="F2" s="1" t="s">
        <v>857</v>
      </c>
      <c r="G2" s="1" t="s">
        <v>858</v>
      </c>
      <c r="H2" s="1" t="s">
        <v>859</v>
      </c>
      <c r="I2" s="1" t="s">
        <v>860</v>
      </c>
      <c r="J2" s="1" t="s">
        <v>861</v>
      </c>
      <c r="K2" s="1"/>
    </row>
    <row r="5" spans="1:11" x14ac:dyDescent="0.2">
      <c r="H5" s="3" t="s">
        <v>862</v>
      </c>
      <c r="I5" s="3" t="s">
        <v>863</v>
      </c>
      <c r="J5" s="3" t="s">
        <v>863</v>
      </c>
    </row>
    <row r="6" spans="1:11" x14ac:dyDescent="0.2">
      <c r="A6" s="3" t="s">
        <v>864</v>
      </c>
    </row>
    <row r="7" spans="1:11" x14ac:dyDescent="0.2">
      <c r="A7" t="s">
        <v>865</v>
      </c>
      <c r="C7" t="s">
        <v>866</v>
      </c>
      <c r="D7" t="s">
        <v>866</v>
      </c>
      <c r="E7">
        <v>550</v>
      </c>
      <c r="F7">
        <v>440</v>
      </c>
      <c r="G7">
        <v>275</v>
      </c>
      <c r="H7">
        <v>523</v>
      </c>
      <c r="I7">
        <v>431</v>
      </c>
      <c r="J7">
        <v>270</v>
      </c>
    </row>
    <row r="8" spans="1:11" x14ac:dyDescent="0.2">
      <c r="A8" t="s">
        <v>865</v>
      </c>
      <c r="C8" t="s">
        <v>867</v>
      </c>
      <c r="D8" t="s">
        <v>867</v>
      </c>
      <c r="E8">
        <v>945</v>
      </c>
      <c r="F8">
        <v>756</v>
      </c>
      <c r="G8">
        <v>473</v>
      </c>
      <c r="H8">
        <v>898</v>
      </c>
      <c r="I8">
        <v>741</v>
      </c>
      <c r="J8">
        <v>463</v>
      </c>
    </row>
    <row r="9" spans="1:11" x14ac:dyDescent="0.2">
      <c r="A9" t="s">
        <v>868</v>
      </c>
      <c r="C9" t="s">
        <v>869</v>
      </c>
      <c r="D9" t="s">
        <v>870</v>
      </c>
      <c r="E9">
        <v>55</v>
      </c>
      <c r="F9">
        <v>44</v>
      </c>
      <c r="G9">
        <v>28</v>
      </c>
      <c r="H9">
        <v>52</v>
      </c>
      <c r="I9">
        <v>43</v>
      </c>
      <c r="J9">
        <v>27</v>
      </c>
    </row>
    <row r="10" spans="1:11" x14ac:dyDescent="0.2">
      <c r="A10" t="s">
        <v>868</v>
      </c>
      <c r="C10" t="s">
        <v>869</v>
      </c>
      <c r="D10" t="s">
        <v>751</v>
      </c>
      <c r="E10">
        <v>44</v>
      </c>
      <c r="F10">
        <v>35</v>
      </c>
      <c r="G10">
        <v>22</v>
      </c>
      <c r="H10">
        <v>42</v>
      </c>
      <c r="I10">
        <v>35</v>
      </c>
      <c r="J10">
        <v>22</v>
      </c>
    </row>
    <row r="11" spans="1:11" x14ac:dyDescent="0.2">
      <c r="A11" t="s">
        <v>868</v>
      </c>
      <c r="C11" t="s">
        <v>871</v>
      </c>
      <c r="D11" t="s">
        <v>752</v>
      </c>
      <c r="E11">
        <v>199</v>
      </c>
      <c r="F11">
        <v>159</v>
      </c>
      <c r="G11">
        <v>100</v>
      </c>
      <c r="H11">
        <v>189</v>
      </c>
      <c r="I11">
        <v>156</v>
      </c>
      <c r="J11">
        <v>98</v>
      </c>
    </row>
    <row r="12" spans="1:11" x14ac:dyDescent="0.2">
      <c r="A12" t="s">
        <v>872</v>
      </c>
      <c r="C12" t="s">
        <v>873</v>
      </c>
      <c r="D12" t="s">
        <v>750</v>
      </c>
      <c r="E12">
        <v>161</v>
      </c>
      <c r="F12">
        <v>129</v>
      </c>
      <c r="G12">
        <v>81</v>
      </c>
      <c r="H12">
        <v>153</v>
      </c>
      <c r="I12">
        <v>126</v>
      </c>
      <c r="J12">
        <v>79</v>
      </c>
    </row>
    <row r="13" spans="1:11" x14ac:dyDescent="0.2">
      <c r="A13" t="s">
        <v>872</v>
      </c>
      <c r="C13" t="s">
        <v>874</v>
      </c>
      <c r="D13" t="s">
        <v>875</v>
      </c>
      <c r="E13">
        <v>129</v>
      </c>
      <c r="F13">
        <v>103</v>
      </c>
      <c r="G13">
        <v>65</v>
      </c>
      <c r="H13">
        <v>123</v>
      </c>
      <c r="I13">
        <v>101</v>
      </c>
      <c r="J13">
        <v>63</v>
      </c>
    </row>
    <row r="14" spans="1:11" x14ac:dyDescent="0.2">
      <c r="A14" t="s">
        <v>876</v>
      </c>
      <c r="C14" t="s">
        <v>877</v>
      </c>
      <c r="D14" t="s">
        <v>878</v>
      </c>
      <c r="E14">
        <v>33</v>
      </c>
      <c r="F14">
        <v>26</v>
      </c>
      <c r="G14">
        <v>17</v>
      </c>
      <c r="H14">
        <v>31</v>
      </c>
      <c r="I14">
        <v>26</v>
      </c>
      <c r="J14">
        <v>16</v>
      </c>
    </row>
    <row r="15" spans="1:11" x14ac:dyDescent="0.2">
      <c r="A15" t="s">
        <v>876</v>
      </c>
      <c r="C15" t="s">
        <v>877</v>
      </c>
      <c r="D15" t="s">
        <v>879</v>
      </c>
      <c r="E15">
        <v>23</v>
      </c>
      <c r="F15">
        <v>18</v>
      </c>
      <c r="G15">
        <v>12</v>
      </c>
      <c r="H15">
        <v>22</v>
      </c>
      <c r="I15">
        <v>18</v>
      </c>
      <c r="J15">
        <v>11</v>
      </c>
    </row>
    <row r="16" spans="1:11" x14ac:dyDescent="0.2">
      <c r="A16" t="s">
        <v>876</v>
      </c>
      <c r="C16" t="s">
        <v>880</v>
      </c>
      <c r="D16" t="s">
        <v>881</v>
      </c>
      <c r="E16">
        <v>23</v>
      </c>
      <c r="F16">
        <v>18</v>
      </c>
      <c r="G16">
        <v>12</v>
      </c>
      <c r="H16">
        <v>21</v>
      </c>
      <c r="I16">
        <v>18</v>
      </c>
      <c r="J16">
        <v>11</v>
      </c>
    </row>
    <row r="17" spans="1:10" x14ac:dyDescent="0.2">
      <c r="A17" t="s">
        <v>876</v>
      </c>
      <c r="C17" t="s">
        <v>880</v>
      </c>
      <c r="D17" t="s">
        <v>882</v>
      </c>
      <c r="E17">
        <v>28</v>
      </c>
      <c r="F17">
        <v>22</v>
      </c>
      <c r="G17">
        <v>14</v>
      </c>
      <c r="H17">
        <v>27</v>
      </c>
      <c r="I17">
        <v>22</v>
      </c>
      <c r="J17">
        <v>14</v>
      </c>
    </row>
    <row r="18" spans="1:10" x14ac:dyDescent="0.2">
      <c r="A18" t="s">
        <v>876</v>
      </c>
      <c r="C18" t="s">
        <v>883</v>
      </c>
      <c r="D18" t="s">
        <v>750</v>
      </c>
      <c r="E18">
        <v>432</v>
      </c>
      <c r="F18">
        <v>346</v>
      </c>
      <c r="G18">
        <v>216</v>
      </c>
      <c r="H18">
        <v>410</v>
      </c>
      <c r="I18">
        <v>339</v>
      </c>
      <c r="J18">
        <v>212</v>
      </c>
    </row>
    <row r="19" spans="1:10" x14ac:dyDescent="0.2">
      <c r="A19" t="s">
        <v>876</v>
      </c>
      <c r="C19" t="s">
        <v>884</v>
      </c>
      <c r="D19" t="s">
        <v>875</v>
      </c>
      <c r="E19">
        <v>28</v>
      </c>
      <c r="F19">
        <v>22</v>
      </c>
      <c r="G19">
        <v>14</v>
      </c>
      <c r="H19">
        <v>27</v>
      </c>
      <c r="I19">
        <v>22</v>
      </c>
      <c r="J19">
        <v>13</v>
      </c>
    </row>
    <row r="20" spans="1:10" x14ac:dyDescent="0.2">
      <c r="A20" t="s">
        <v>885</v>
      </c>
      <c r="C20" t="s">
        <v>886</v>
      </c>
      <c r="D20" t="s">
        <v>886</v>
      </c>
      <c r="E20" s="2">
        <v>1101</v>
      </c>
      <c r="F20">
        <v>881</v>
      </c>
      <c r="G20">
        <v>551</v>
      </c>
      <c r="H20" s="2">
        <v>1046</v>
      </c>
      <c r="I20">
        <v>863</v>
      </c>
      <c r="J20">
        <v>539</v>
      </c>
    </row>
    <row r="21" spans="1:10" x14ac:dyDescent="0.2">
      <c r="A21" t="s">
        <v>885</v>
      </c>
      <c r="C21" t="s">
        <v>887</v>
      </c>
      <c r="D21" t="s">
        <v>887</v>
      </c>
      <c r="E21" s="2">
        <v>1074</v>
      </c>
      <c r="F21">
        <v>859</v>
      </c>
      <c r="G21">
        <v>537</v>
      </c>
      <c r="H21" s="2">
        <v>1020</v>
      </c>
      <c r="I21">
        <v>842</v>
      </c>
      <c r="J21">
        <v>526</v>
      </c>
    </row>
    <row r="22" spans="1:10" x14ac:dyDescent="0.2">
      <c r="A22" s="3" t="s">
        <v>888</v>
      </c>
      <c r="E22" s="2">
        <v>4825</v>
      </c>
      <c r="F22" s="2">
        <v>3860</v>
      </c>
      <c r="G22" s="2">
        <v>2413</v>
      </c>
      <c r="H22" s="2">
        <v>4584</v>
      </c>
      <c r="I22" s="2">
        <v>3783</v>
      </c>
      <c r="J22" s="2">
        <v>2364</v>
      </c>
    </row>
    <row r="25" spans="1:10" x14ac:dyDescent="0.2">
      <c r="A25" s="3" t="s">
        <v>889</v>
      </c>
    </row>
    <row r="26" spans="1:10" x14ac:dyDescent="0.2">
      <c r="A26" t="s">
        <v>890</v>
      </c>
      <c r="C26" t="s">
        <v>891</v>
      </c>
      <c r="D26" t="s">
        <v>891</v>
      </c>
      <c r="E26">
        <v>914</v>
      </c>
      <c r="F26">
        <v>731</v>
      </c>
      <c r="G26">
        <v>457</v>
      </c>
      <c r="H26">
        <v>868</v>
      </c>
      <c r="I26">
        <v>717</v>
      </c>
      <c r="J26">
        <v>448</v>
      </c>
    </row>
    <row r="27" spans="1:10" x14ac:dyDescent="0.2">
      <c r="A27" t="s">
        <v>892</v>
      </c>
      <c r="C27" t="s">
        <v>893</v>
      </c>
      <c r="D27" t="s">
        <v>893</v>
      </c>
      <c r="E27">
        <v>251</v>
      </c>
      <c r="F27">
        <v>201</v>
      </c>
      <c r="G27">
        <v>126</v>
      </c>
      <c r="H27">
        <v>239</v>
      </c>
      <c r="I27">
        <v>197</v>
      </c>
      <c r="J27">
        <v>123</v>
      </c>
    </row>
    <row r="28" spans="1:10" x14ac:dyDescent="0.2">
      <c r="A28" t="s">
        <v>892</v>
      </c>
      <c r="C28" t="s">
        <v>894</v>
      </c>
      <c r="D28" t="s">
        <v>894</v>
      </c>
      <c r="E28">
        <v>368</v>
      </c>
      <c r="F28">
        <v>294</v>
      </c>
      <c r="G28">
        <v>184</v>
      </c>
      <c r="H28">
        <v>350</v>
      </c>
      <c r="I28">
        <v>288</v>
      </c>
      <c r="J28">
        <v>180</v>
      </c>
    </row>
    <row r="29" spans="1:10" x14ac:dyDescent="0.2">
      <c r="A29" t="s">
        <v>892</v>
      </c>
      <c r="C29" t="s">
        <v>895</v>
      </c>
      <c r="D29" t="s">
        <v>895</v>
      </c>
      <c r="E29">
        <v>655</v>
      </c>
      <c r="F29">
        <v>524</v>
      </c>
      <c r="G29">
        <v>328</v>
      </c>
      <c r="H29">
        <v>622</v>
      </c>
      <c r="I29">
        <v>513</v>
      </c>
      <c r="J29">
        <v>321</v>
      </c>
    </row>
    <row r="30" spans="1:10" x14ac:dyDescent="0.2">
      <c r="A30" s="3" t="s">
        <v>896</v>
      </c>
      <c r="E30" s="2">
        <v>2188</v>
      </c>
      <c r="F30" s="2">
        <v>1750</v>
      </c>
      <c r="G30" s="2">
        <v>1094</v>
      </c>
      <c r="H30" s="2">
        <v>2079</v>
      </c>
      <c r="I30" s="2">
        <v>1715</v>
      </c>
      <c r="J30" s="2">
        <v>1072</v>
      </c>
    </row>
    <row r="31" spans="1:10" x14ac:dyDescent="0.2">
      <c r="A31" s="3"/>
    </row>
    <row r="32" spans="1:10" x14ac:dyDescent="0.2">
      <c r="A32" s="3" t="s">
        <v>897</v>
      </c>
    </row>
    <row r="33" spans="1:10" x14ac:dyDescent="0.2">
      <c r="A33" t="s">
        <v>898</v>
      </c>
      <c r="C33" t="s">
        <v>899</v>
      </c>
      <c r="D33" t="s">
        <v>900</v>
      </c>
      <c r="E33">
        <v>141</v>
      </c>
      <c r="F33">
        <v>113</v>
      </c>
      <c r="G33">
        <v>71</v>
      </c>
      <c r="H33">
        <v>134</v>
      </c>
      <c r="I33">
        <v>111</v>
      </c>
      <c r="J33">
        <v>69</v>
      </c>
    </row>
    <row r="34" spans="1:10" x14ac:dyDescent="0.2">
      <c r="A34" t="s">
        <v>898</v>
      </c>
      <c r="C34" t="s">
        <v>901</v>
      </c>
      <c r="D34" t="s">
        <v>902</v>
      </c>
      <c r="E34">
        <v>202</v>
      </c>
      <c r="F34">
        <v>162</v>
      </c>
      <c r="G34">
        <v>101</v>
      </c>
      <c r="H34">
        <v>192</v>
      </c>
      <c r="I34">
        <v>158</v>
      </c>
      <c r="J34">
        <v>99</v>
      </c>
    </row>
    <row r="35" spans="1:10" x14ac:dyDescent="0.2">
      <c r="A35" t="s">
        <v>898</v>
      </c>
      <c r="C35" t="s">
        <v>903</v>
      </c>
      <c r="D35" t="s">
        <v>904</v>
      </c>
      <c r="E35">
        <v>474</v>
      </c>
      <c r="F35">
        <v>379</v>
      </c>
      <c r="G35">
        <v>237</v>
      </c>
      <c r="H35">
        <v>450</v>
      </c>
      <c r="I35">
        <v>372</v>
      </c>
      <c r="J35">
        <v>232</v>
      </c>
    </row>
    <row r="36" spans="1:10" x14ac:dyDescent="0.2">
      <c r="A36" t="s">
        <v>905</v>
      </c>
      <c r="C36" t="s">
        <v>906</v>
      </c>
      <c r="D36" t="s">
        <v>906</v>
      </c>
      <c r="E36">
        <v>91</v>
      </c>
      <c r="F36">
        <v>73</v>
      </c>
      <c r="G36">
        <v>46</v>
      </c>
      <c r="H36">
        <v>86</v>
      </c>
      <c r="I36">
        <v>71</v>
      </c>
      <c r="J36">
        <v>45</v>
      </c>
    </row>
    <row r="37" spans="1:10" x14ac:dyDescent="0.2">
      <c r="A37" t="s">
        <v>898</v>
      </c>
      <c r="C37" t="s">
        <v>907</v>
      </c>
      <c r="D37" t="s">
        <v>907</v>
      </c>
      <c r="E37">
        <v>47</v>
      </c>
      <c r="F37">
        <v>38</v>
      </c>
      <c r="G37">
        <v>24</v>
      </c>
      <c r="H37">
        <v>45</v>
      </c>
      <c r="I37">
        <v>37</v>
      </c>
      <c r="J37">
        <v>23</v>
      </c>
    </row>
    <row r="38" spans="1:10" x14ac:dyDescent="0.2">
      <c r="A38" t="s">
        <v>898</v>
      </c>
      <c r="C38" t="s">
        <v>908</v>
      </c>
      <c r="D38" t="s">
        <v>908</v>
      </c>
      <c r="E38">
        <v>42</v>
      </c>
      <c r="F38">
        <v>34</v>
      </c>
      <c r="G38">
        <v>21</v>
      </c>
      <c r="H38">
        <v>40</v>
      </c>
      <c r="I38">
        <v>33</v>
      </c>
      <c r="J38">
        <v>21</v>
      </c>
    </row>
    <row r="39" spans="1:10" x14ac:dyDescent="0.2">
      <c r="A39" s="3" t="s">
        <v>909</v>
      </c>
      <c r="E39">
        <v>997</v>
      </c>
      <c r="F39">
        <v>798</v>
      </c>
      <c r="G39">
        <v>499</v>
      </c>
      <c r="H39">
        <v>947</v>
      </c>
      <c r="I39">
        <v>782</v>
      </c>
      <c r="J39">
        <v>489</v>
      </c>
    </row>
    <row r="42" spans="1:10" x14ac:dyDescent="0.2">
      <c r="A42" s="3" t="s">
        <v>910</v>
      </c>
    </row>
    <row r="43" spans="1:10" x14ac:dyDescent="0.2">
      <c r="A43" t="s">
        <v>911</v>
      </c>
      <c r="C43" t="s">
        <v>912</v>
      </c>
      <c r="D43" t="s">
        <v>912</v>
      </c>
      <c r="E43">
        <v>302</v>
      </c>
      <c r="F43">
        <v>242</v>
      </c>
      <c r="G43">
        <v>151</v>
      </c>
      <c r="H43">
        <v>287</v>
      </c>
      <c r="I43">
        <v>237</v>
      </c>
      <c r="J43">
        <v>148</v>
      </c>
    </row>
    <row r="44" spans="1:10" x14ac:dyDescent="0.2">
      <c r="A44" t="s">
        <v>911</v>
      </c>
      <c r="C44" t="s">
        <v>913</v>
      </c>
      <c r="D44" t="s">
        <v>913</v>
      </c>
      <c r="E44">
        <v>305</v>
      </c>
      <c r="F44">
        <v>244</v>
      </c>
      <c r="G44">
        <v>153</v>
      </c>
      <c r="H44">
        <v>290</v>
      </c>
      <c r="I44">
        <v>239</v>
      </c>
      <c r="J44">
        <v>150</v>
      </c>
    </row>
    <row r="45" spans="1:10" x14ac:dyDescent="0.2">
      <c r="A45" t="s">
        <v>911</v>
      </c>
      <c r="C45" t="s">
        <v>914</v>
      </c>
      <c r="D45" t="s">
        <v>914</v>
      </c>
      <c r="E45">
        <v>469</v>
      </c>
      <c r="F45">
        <v>375</v>
      </c>
      <c r="G45">
        <v>235</v>
      </c>
      <c r="H45">
        <v>446</v>
      </c>
      <c r="I45">
        <v>368</v>
      </c>
      <c r="J45">
        <v>230</v>
      </c>
    </row>
    <row r="46" spans="1:10" x14ac:dyDescent="0.2">
      <c r="A46" t="s">
        <v>911</v>
      </c>
      <c r="C46" t="s">
        <v>915</v>
      </c>
      <c r="D46" t="s">
        <v>915</v>
      </c>
      <c r="E46">
        <v>290</v>
      </c>
      <c r="F46">
        <v>232</v>
      </c>
      <c r="G46">
        <v>145</v>
      </c>
      <c r="H46">
        <v>275</v>
      </c>
      <c r="I46">
        <v>227</v>
      </c>
      <c r="J46">
        <v>142</v>
      </c>
    </row>
    <row r="47" spans="1:10" x14ac:dyDescent="0.2">
      <c r="A47" t="s">
        <v>911</v>
      </c>
      <c r="C47" t="s">
        <v>916</v>
      </c>
      <c r="D47" t="s">
        <v>916</v>
      </c>
      <c r="E47">
        <v>458</v>
      </c>
      <c r="F47">
        <v>366</v>
      </c>
      <c r="G47">
        <v>229</v>
      </c>
      <c r="H47">
        <v>435</v>
      </c>
      <c r="I47">
        <v>359</v>
      </c>
      <c r="J47">
        <v>224</v>
      </c>
    </row>
    <row r="48" spans="1:10" x14ac:dyDescent="0.2">
      <c r="A48" t="s">
        <v>917</v>
      </c>
      <c r="C48" t="s">
        <v>918</v>
      </c>
      <c r="D48" t="s">
        <v>918</v>
      </c>
      <c r="E48">
        <v>365</v>
      </c>
      <c r="F48">
        <v>292</v>
      </c>
      <c r="G48">
        <v>183</v>
      </c>
      <c r="H48">
        <v>347</v>
      </c>
      <c r="I48">
        <v>286</v>
      </c>
      <c r="J48">
        <v>179</v>
      </c>
    </row>
    <row r="49" spans="1:10" x14ac:dyDescent="0.2">
      <c r="A49" t="s">
        <v>917</v>
      </c>
      <c r="C49" t="s">
        <v>919</v>
      </c>
      <c r="D49" t="s">
        <v>919</v>
      </c>
      <c r="E49">
        <v>463</v>
      </c>
      <c r="F49">
        <v>370</v>
      </c>
      <c r="G49">
        <v>232</v>
      </c>
      <c r="H49">
        <v>440</v>
      </c>
      <c r="I49">
        <v>363</v>
      </c>
      <c r="J49">
        <v>227</v>
      </c>
    </row>
    <row r="50" spans="1:10" x14ac:dyDescent="0.2">
      <c r="A50" t="s">
        <v>920</v>
      </c>
      <c r="C50" t="s">
        <v>921</v>
      </c>
      <c r="D50" t="s">
        <v>921</v>
      </c>
      <c r="E50">
        <v>523</v>
      </c>
      <c r="F50">
        <v>418</v>
      </c>
      <c r="G50">
        <v>262</v>
      </c>
      <c r="H50">
        <v>497</v>
      </c>
      <c r="I50">
        <v>410</v>
      </c>
      <c r="J50">
        <v>256</v>
      </c>
    </row>
    <row r="51" spans="1:10" x14ac:dyDescent="0.2">
      <c r="A51" t="s">
        <v>920</v>
      </c>
      <c r="C51" t="s">
        <v>922</v>
      </c>
      <c r="D51" t="s">
        <v>923</v>
      </c>
      <c r="E51">
        <v>9</v>
      </c>
      <c r="F51">
        <v>7</v>
      </c>
      <c r="G51">
        <v>5</v>
      </c>
      <c r="H51">
        <v>9</v>
      </c>
      <c r="I51">
        <v>7</v>
      </c>
      <c r="J51">
        <v>4</v>
      </c>
    </row>
    <row r="52" spans="1:10" x14ac:dyDescent="0.2">
      <c r="A52" t="s">
        <v>920</v>
      </c>
      <c r="C52" t="s">
        <v>922</v>
      </c>
      <c r="D52" t="s">
        <v>924</v>
      </c>
      <c r="E52">
        <v>9</v>
      </c>
      <c r="F52">
        <v>7</v>
      </c>
      <c r="G52">
        <v>5</v>
      </c>
      <c r="H52">
        <v>9</v>
      </c>
      <c r="I52">
        <v>7</v>
      </c>
      <c r="J52">
        <v>4</v>
      </c>
    </row>
    <row r="53" spans="1:10" x14ac:dyDescent="0.2">
      <c r="A53" t="s">
        <v>920</v>
      </c>
      <c r="C53" t="s">
        <v>922</v>
      </c>
      <c r="D53" t="s">
        <v>925</v>
      </c>
      <c r="E53">
        <v>9</v>
      </c>
      <c r="F53">
        <v>7</v>
      </c>
      <c r="G53">
        <v>5</v>
      </c>
      <c r="H53">
        <v>9</v>
      </c>
      <c r="I53">
        <v>7</v>
      </c>
      <c r="J53">
        <v>4</v>
      </c>
    </row>
    <row r="54" spans="1:10" x14ac:dyDescent="0.2">
      <c r="A54" t="s">
        <v>920</v>
      </c>
      <c r="C54" t="s">
        <v>922</v>
      </c>
      <c r="D54" t="s">
        <v>926</v>
      </c>
      <c r="E54">
        <v>9</v>
      </c>
      <c r="F54">
        <v>7</v>
      </c>
      <c r="G54">
        <v>5</v>
      </c>
      <c r="H54">
        <v>9</v>
      </c>
      <c r="I54">
        <v>7</v>
      </c>
      <c r="J54">
        <v>4</v>
      </c>
    </row>
    <row r="55" spans="1:10" x14ac:dyDescent="0.2">
      <c r="A55" t="s">
        <v>920</v>
      </c>
      <c r="C55" t="s">
        <v>922</v>
      </c>
      <c r="D55" t="s">
        <v>927</v>
      </c>
      <c r="E55">
        <v>9</v>
      </c>
      <c r="F55">
        <v>7</v>
      </c>
      <c r="G55">
        <v>5</v>
      </c>
      <c r="H55">
        <v>8</v>
      </c>
      <c r="I55">
        <v>7</v>
      </c>
      <c r="J55">
        <v>5</v>
      </c>
    </row>
    <row r="56" spans="1:10" x14ac:dyDescent="0.2">
      <c r="A56" t="s">
        <v>920</v>
      </c>
      <c r="C56" t="s">
        <v>922</v>
      </c>
      <c r="D56" t="s">
        <v>928</v>
      </c>
      <c r="E56">
        <v>9</v>
      </c>
      <c r="F56">
        <v>7</v>
      </c>
      <c r="G56">
        <v>5</v>
      </c>
      <c r="H56">
        <v>8</v>
      </c>
      <c r="I56">
        <v>7</v>
      </c>
      <c r="J56">
        <v>5</v>
      </c>
    </row>
    <row r="57" spans="1:10" x14ac:dyDescent="0.2">
      <c r="A57" t="s">
        <v>920</v>
      </c>
      <c r="C57" t="s">
        <v>922</v>
      </c>
      <c r="D57" t="s">
        <v>929</v>
      </c>
      <c r="E57">
        <v>9</v>
      </c>
      <c r="F57">
        <v>7</v>
      </c>
      <c r="G57">
        <v>5</v>
      </c>
      <c r="H57">
        <v>8</v>
      </c>
      <c r="I57">
        <v>7</v>
      </c>
      <c r="J57">
        <v>5</v>
      </c>
    </row>
    <row r="58" spans="1:10" x14ac:dyDescent="0.2">
      <c r="A58" t="s">
        <v>920</v>
      </c>
      <c r="C58" t="s">
        <v>922</v>
      </c>
      <c r="D58" t="s">
        <v>930</v>
      </c>
      <c r="E58">
        <v>9</v>
      </c>
      <c r="F58">
        <v>7</v>
      </c>
      <c r="G58">
        <v>5</v>
      </c>
      <c r="H58">
        <v>8</v>
      </c>
      <c r="I58">
        <v>7</v>
      </c>
      <c r="J58">
        <v>5</v>
      </c>
    </row>
    <row r="59" spans="1:10" x14ac:dyDescent="0.2">
      <c r="A59" t="s">
        <v>931</v>
      </c>
      <c r="C59" t="s">
        <v>932</v>
      </c>
      <c r="D59" t="s">
        <v>750</v>
      </c>
      <c r="E59">
        <v>119</v>
      </c>
      <c r="F59">
        <v>95</v>
      </c>
      <c r="G59">
        <v>60</v>
      </c>
      <c r="H59">
        <v>113</v>
      </c>
      <c r="I59">
        <v>93</v>
      </c>
      <c r="J59">
        <v>58</v>
      </c>
    </row>
    <row r="60" spans="1:10" x14ac:dyDescent="0.2">
      <c r="A60" t="s">
        <v>931</v>
      </c>
      <c r="C60" t="s">
        <v>933</v>
      </c>
      <c r="D60" t="s">
        <v>934</v>
      </c>
      <c r="E60">
        <v>455</v>
      </c>
      <c r="F60">
        <v>364</v>
      </c>
      <c r="G60">
        <v>228</v>
      </c>
      <c r="H60">
        <v>432</v>
      </c>
      <c r="I60">
        <v>357</v>
      </c>
      <c r="J60">
        <v>223</v>
      </c>
    </row>
    <row r="61" spans="1:10" x14ac:dyDescent="0.2">
      <c r="A61" t="s">
        <v>931</v>
      </c>
      <c r="C61" t="s">
        <v>933</v>
      </c>
      <c r="D61" t="s">
        <v>935</v>
      </c>
      <c r="E61">
        <v>709</v>
      </c>
      <c r="F61">
        <v>567</v>
      </c>
      <c r="G61">
        <v>355</v>
      </c>
      <c r="H61">
        <v>673</v>
      </c>
      <c r="I61">
        <v>556</v>
      </c>
      <c r="J61">
        <v>347</v>
      </c>
    </row>
    <row r="62" spans="1:10" x14ac:dyDescent="0.2">
      <c r="A62" t="s">
        <v>931</v>
      </c>
      <c r="C62" t="s">
        <v>936</v>
      </c>
      <c r="D62" t="s">
        <v>937</v>
      </c>
      <c r="E62">
        <v>748</v>
      </c>
      <c r="F62">
        <v>598</v>
      </c>
      <c r="G62">
        <v>374</v>
      </c>
      <c r="H62">
        <v>711</v>
      </c>
      <c r="I62">
        <v>587</v>
      </c>
      <c r="J62">
        <v>367</v>
      </c>
    </row>
    <row r="63" spans="1:10" x14ac:dyDescent="0.2">
      <c r="A63" t="s">
        <v>931</v>
      </c>
      <c r="C63" t="s">
        <v>936</v>
      </c>
      <c r="D63" t="s">
        <v>938</v>
      </c>
      <c r="E63">
        <v>497</v>
      </c>
      <c r="F63">
        <v>398</v>
      </c>
      <c r="G63">
        <v>249</v>
      </c>
      <c r="H63">
        <v>472</v>
      </c>
      <c r="I63">
        <v>390</v>
      </c>
      <c r="J63">
        <v>244</v>
      </c>
    </row>
    <row r="64" spans="1:10" x14ac:dyDescent="0.2">
      <c r="A64" t="s">
        <v>939</v>
      </c>
      <c r="C64" t="s">
        <v>940</v>
      </c>
      <c r="D64" t="s">
        <v>941</v>
      </c>
      <c r="E64">
        <v>739</v>
      </c>
      <c r="F64">
        <v>591</v>
      </c>
      <c r="G64">
        <v>370</v>
      </c>
      <c r="H64">
        <v>702</v>
      </c>
      <c r="I64">
        <v>579</v>
      </c>
      <c r="J64">
        <v>362</v>
      </c>
    </row>
    <row r="65" spans="1:10" x14ac:dyDescent="0.2">
      <c r="A65" t="s">
        <v>939</v>
      </c>
      <c r="C65" t="s">
        <v>940</v>
      </c>
      <c r="D65" t="s">
        <v>942</v>
      </c>
      <c r="E65">
        <v>739</v>
      </c>
      <c r="F65">
        <v>591</v>
      </c>
      <c r="G65">
        <v>370</v>
      </c>
      <c r="H65">
        <v>702</v>
      </c>
      <c r="I65">
        <v>579</v>
      </c>
      <c r="J65">
        <v>362</v>
      </c>
    </row>
    <row r="66" spans="1:10" x14ac:dyDescent="0.2">
      <c r="A66" t="s">
        <v>939</v>
      </c>
      <c r="C66" t="s">
        <v>943</v>
      </c>
      <c r="D66" t="s">
        <v>944</v>
      </c>
      <c r="E66">
        <v>739</v>
      </c>
      <c r="F66">
        <v>591</v>
      </c>
      <c r="G66">
        <v>370</v>
      </c>
      <c r="H66">
        <v>702</v>
      </c>
      <c r="I66">
        <v>579</v>
      </c>
      <c r="J66">
        <v>362</v>
      </c>
    </row>
    <row r="67" spans="1:10" x14ac:dyDescent="0.2">
      <c r="A67" t="s">
        <v>939</v>
      </c>
      <c r="C67" t="s">
        <v>943</v>
      </c>
      <c r="D67" t="s">
        <v>945</v>
      </c>
      <c r="E67">
        <v>739</v>
      </c>
      <c r="F67">
        <v>591</v>
      </c>
      <c r="G67">
        <v>370</v>
      </c>
      <c r="H67">
        <v>702</v>
      </c>
      <c r="I67">
        <v>579</v>
      </c>
      <c r="J67">
        <v>362</v>
      </c>
    </row>
    <row r="68" spans="1:10" x14ac:dyDescent="0.2">
      <c r="A68" t="s">
        <v>946</v>
      </c>
      <c r="C68" t="s">
        <v>947</v>
      </c>
      <c r="D68" t="s">
        <v>948</v>
      </c>
      <c r="E68">
        <v>199</v>
      </c>
      <c r="F68">
        <v>159</v>
      </c>
      <c r="G68">
        <v>100</v>
      </c>
      <c r="H68">
        <v>189</v>
      </c>
      <c r="I68">
        <v>156</v>
      </c>
      <c r="J68">
        <v>98</v>
      </c>
    </row>
    <row r="69" spans="1:10" x14ac:dyDescent="0.2">
      <c r="A69" t="s">
        <v>946</v>
      </c>
      <c r="C69" t="s">
        <v>949</v>
      </c>
      <c r="D69" t="s">
        <v>949</v>
      </c>
      <c r="E69">
        <v>376</v>
      </c>
      <c r="F69">
        <v>301</v>
      </c>
      <c r="G69">
        <v>188</v>
      </c>
      <c r="H69">
        <v>357</v>
      </c>
      <c r="I69">
        <v>295</v>
      </c>
      <c r="J69">
        <v>184</v>
      </c>
    </row>
    <row r="70" spans="1:10" x14ac:dyDescent="0.2">
      <c r="A70" t="s">
        <v>946</v>
      </c>
      <c r="C70" t="s">
        <v>950</v>
      </c>
      <c r="D70" t="s">
        <v>950</v>
      </c>
      <c r="E70">
        <v>667</v>
      </c>
      <c r="F70">
        <v>534</v>
      </c>
      <c r="G70">
        <v>334</v>
      </c>
      <c r="H70">
        <v>634</v>
      </c>
      <c r="I70">
        <v>523</v>
      </c>
      <c r="J70">
        <v>327</v>
      </c>
    </row>
    <row r="71" spans="1:10" x14ac:dyDescent="0.2">
      <c r="A71" t="s">
        <v>946</v>
      </c>
      <c r="C71" t="s">
        <v>951</v>
      </c>
      <c r="D71" t="s">
        <v>923</v>
      </c>
      <c r="E71">
        <v>5</v>
      </c>
      <c r="F71">
        <v>4</v>
      </c>
      <c r="G71">
        <v>3</v>
      </c>
      <c r="H71">
        <v>4</v>
      </c>
      <c r="I71">
        <v>4</v>
      </c>
      <c r="J71">
        <v>2</v>
      </c>
    </row>
    <row r="72" spans="1:10" x14ac:dyDescent="0.2">
      <c r="A72" t="s">
        <v>946</v>
      </c>
      <c r="C72" t="s">
        <v>951</v>
      </c>
      <c r="D72" t="s">
        <v>924</v>
      </c>
      <c r="E72">
        <v>5</v>
      </c>
      <c r="F72">
        <v>4</v>
      </c>
      <c r="G72">
        <v>3</v>
      </c>
      <c r="H72">
        <v>5</v>
      </c>
      <c r="I72">
        <v>4</v>
      </c>
      <c r="J72">
        <v>2</v>
      </c>
    </row>
    <row r="73" spans="1:10" x14ac:dyDescent="0.2">
      <c r="A73" t="s">
        <v>946</v>
      </c>
      <c r="C73" t="s">
        <v>951</v>
      </c>
      <c r="D73" t="s">
        <v>925</v>
      </c>
      <c r="E73">
        <v>5</v>
      </c>
      <c r="F73">
        <v>4</v>
      </c>
      <c r="G73">
        <v>3</v>
      </c>
      <c r="H73">
        <v>5</v>
      </c>
      <c r="I73">
        <v>4</v>
      </c>
      <c r="J73">
        <v>3</v>
      </c>
    </row>
    <row r="74" spans="1:10" x14ac:dyDescent="0.2">
      <c r="A74" t="s">
        <v>946</v>
      </c>
      <c r="C74" t="s">
        <v>951</v>
      </c>
      <c r="D74" t="s">
        <v>926</v>
      </c>
      <c r="E74">
        <v>5</v>
      </c>
      <c r="F74">
        <v>4</v>
      </c>
      <c r="G74">
        <v>3</v>
      </c>
      <c r="H74">
        <v>5</v>
      </c>
      <c r="I74">
        <v>4</v>
      </c>
      <c r="J74">
        <v>3</v>
      </c>
    </row>
    <row r="75" spans="1:10" x14ac:dyDescent="0.2">
      <c r="A75" t="s">
        <v>952</v>
      </c>
      <c r="C75" t="s">
        <v>953</v>
      </c>
      <c r="D75" t="s">
        <v>953</v>
      </c>
      <c r="E75">
        <v>364</v>
      </c>
      <c r="F75">
        <v>291</v>
      </c>
      <c r="G75">
        <v>182</v>
      </c>
      <c r="H75">
        <v>346</v>
      </c>
      <c r="I75">
        <v>285</v>
      </c>
      <c r="J75">
        <v>178</v>
      </c>
    </row>
    <row r="76" spans="1:10" x14ac:dyDescent="0.2">
      <c r="A76" t="s">
        <v>952</v>
      </c>
      <c r="C76" t="s">
        <v>954</v>
      </c>
      <c r="D76" t="s">
        <v>954</v>
      </c>
      <c r="E76">
        <v>354</v>
      </c>
      <c r="F76">
        <v>283</v>
      </c>
      <c r="G76">
        <v>177</v>
      </c>
      <c r="H76">
        <v>336</v>
      </c>
      <c r="I76">
        <v>278</v>
      </c>
      <c r="J76">
        <v>173</v>
      </c>
    </row>
    <row r="77" spans="1:10" x14ac:dyDescent="0.2">
      <c r="A77" t="s">
        <v>952</v>
      </c>
      <c r="C77" t="s">
        <v>955</v>
      </c>
      <c r="D77" t="s">
        <v>955</v>
      </c>
      <c r="E77">
        <v>449</v>
      </c>
      <c r="F77">
        <v>359</v>
      </c>
      <c r="G77">
        <v>225</v>
      </c>
      <c r="H77">
        <v>427</v>
      </c>
      <c r="I77">
        <v>352</v>
      </c>
      <c r="J77">
        <v>220</v>
      </c>
    </row>
    <row r="78" spans="1:10" x14ac:dyDescent="0.2">
      <c r="A78" t="s">
        <v>952</v>
      </c>
      <c r="C78" t="s">
        <v>956</v>
      </c>
      <c r="D78" t="s">
        <v>956</v>
      </c>
      <c r="E78">
        <v>766</v>
      </c>
      <c r="F78">
        <v>613</v>
      </c>
      <c r="G78">
        <v>383</v>
      </c>
      <c r="H78">
        <v>728</v>
      </c>
      <c r="I78">
        <v>601</v>
      </c>
      <c r="J78">
        <v>375</v>
      </c>
    </row>
    <row r="79" spans="1:10" x14ac:dyDescent="0.2">
      <c r="A79" s="3" t="s">
        <v>957</v>
      </c>
      <c r="E79" s="2">
        <v>11926</v>
      </c>
      <c r="F79" s="2">
        <v>9541</v>
      </c>
      <c r="G79" s="2">
        <v>5963</v>
      </c>
      <c r="H79" s="2">
        <v>11330</v>
      </c>
      <c r="I79" s="2">
        <v>9350</v>
      </c>
      <c r="J79" s="2">
        <v>5844</v>
      </c>
    </row>
    <row r="81" spans="1:10" x14ac:dyDescent="0.2">
      <c r="A81" s="3" t="s">
        <v>958</v>
      </c>
    </row>
    <row r="82" spans="1:10" x14ac:dyDescent="0.2">
      <c r="A82" t="s">
        <v>959</v>
      </c>
      <c r="C82" t="s">
        <v>960</v>
      </c>
      <c r="D82" t="s">
        <v>960</v>
      </c>
      <c r="E82">
        <v>792</v>
      </c>
      <c r="F82">
        <v>634</v>
      </c>
      <c r="G82">
        <v>396</v>
      </c>
      <c r="H82">
        <v>752</v>
      </c>
      <c r="I82">
        <v>621</v>
      </c>
      <c r="J82">
        <v>388</v>
      </c>
    </row>
    <row r="83" spans="1:10" x14ac:dyDescent="0.2">
      <c r="A83" t="s">
        <v>959</v>
      </c>
      <c r="C83" t="s">
        <v>961</v>
      </c>
      <c r="D83" t="s">
        <v>961</v>
      </c>
      <c r="E83">
        <v>873</v>
      </c>
      <c r="F83">
        <v>698</v>
      </c>
      <c r="G83">
        <v>437</v>
      </c>
      <c r="H83">
        <v>829</v>
      </c>
      <c r="I83">
        <v>684</v>
      </c>
      <c r="J83">
        <v>428</v>
      </c>
    </row>
    <row r="84" spans="1:10" x14ac:dyDescent="0.2">
      <c r="A84" s="3" t="s">
        <v>962</v>
      </c>
      <c r="E84" s="2">
        <v>1665</v>
      </c>
      <c r="F84" s="2">
        <v>1332</v>
      </c>
      <c r="G84">
        <v>833</v>
      </c>
      <c r="H84" s="2">
        <v>1581</v>
      </c>
      <c r="I84" s="2">
        <v>1305</v>
      </c>
      <c r="J84">
        <v>816</v>
      </c>
    </row>
    <row r="86" spans="1:10" x14ac:dyDescent="0.2">
      <c r="A86" s="3" t="s">
        <v>963</v>
      </c>
    </row>
    <row r="87" spans="1:10" x14ac:dyDescent="0.2">
      <c r="A87" t="s">
        <v>964</v>
      </c>
      <c r="C87" t="s">
        <v>965</v>
      </c>
      <c r="D87" t="s">
        <v>965</v>
      </c>
      <c r="E87">
        <v>481</v>
      </c>
      <c r="F87">
        <v>385</v>
      </c>
      <c r="G87">
        <v>241</v>
      </c>
      <c r="H87">
        <v>457</v>
      </c>
      <c r="I87">
        <v>377</v>
      </c>
      <c r="J87">
        <v>236</v>
      </c>
    </row>
    <row r="88" spans="1:10" x14ac:dyDescent="0.2">
      <c r="A88" t="s">
        <v>964</v>
      </c>
      <c r="C88" t="s">
        <v>966</v>
      </c>
      <c r="D88" t="s">
        <v>966</v>
      </c>
      <c r="E88">
        <v>515</v>
      </c>
      <c r="F88">
        <v>412</v>
      </c>
      <c r="G88">
        <v>258</v>
      </c>
      <c r="H88">
        <v>489</v>
      </c>
      <c r="I88">
        <v>404</v>
      </c>
      <c r="J88">
        <v>252</v>
      </c>
    </row>
    <row r="89" spans="1:10" x14ac:dyDescent="0.2">
      <c r="A89" t="s">
        <v>964</v>
      </c>
      <c r="C89" t="s">
        <v>967</v>
      </c>
      <c r="D89" t="s">
        <v>967</v>
      </c>
      <c r="E89">
        <v>513</v>
      </c>
      <c r="F89">
        <v>410</v>
      </c>
      <c r="G89">
        <v>257</v>
      </c>
      <c r="H89">
        <v>487</v>
      </c>
      <c r="I89">
        <v>402</v>
      </c>
      <c r="J89">
        <v>251</v>
      </c>
    </row>
    <row r="90" spans="1:10" x14ac:dyDescent="0.2">
      <c r="A90" t="s">
        <v>964</v>
      </c>
      <c r="C90" t="s">
        <v>968</v>
      </c>
      <c r="D90" t="s">
        <v>968</v>
      </c>
      <c r="E90">
        <v>384</v>
      </c>
      <c r="F90">
        <v>307</v>
      </c>
      <c r="G90">
        <v>192</v>
      </c>
      <c r="H90">
        <v>365</v>
      </c>
      <c r="I90">
        <v>301</v>
      </c>
      <c r="J90">
        <v>188</v>
      </c>
    </row>
    <row r="91" spans="1:10" x14ac:dyDescent="0.2">
      <c r="A91" t="s">
        <v>964</v>
      </c>
      <c r="C91" t="s">
        <v>969</v>
      </c>
      <c r="D91" t="s">
        <v>969</v>
      </c>
      <c r="E91">
        <v>463</v>
      </c>
      <c r="F91">
        <v>370</v>
      </c>
      <c r="G91">
        <v>232</v>
      </c>
      <c r="H91">
        <v>440</v>
      </c>
      <c r="I91">
        <v>363</v>
      </c>
      <c r="J91">
        <v>227</v>
      </c>
    </row>
    <row r="92" spans="1:10" x14ac:dyDescent="0.2">
      <c r="A92" t="s">
        <v>964</v>
      </c>
      <c r="C92" t="s">
        <v>970</v>
      </c>
      <c r="D92" t="s">
        <v>970</v>
      </c>
      <c r="E92">
        <v>524</v>
      </c>
      <c r="F92">
        <v>419</v>
      </c>
      <c r="G92">
        <v>262</v>
      </c>
      <c r="H92">
        <v>498</v>
      </c>
      <c r="I92">
        <v>411</v>
      </c>
      <c r="J92">
        <v>257</v>
      </c>
    </row>
    <row r="93" spans="1:10" x14ac:dyDescent="0.2">
      <c r="A93" s="3" t="s">
        <v>971</v>
      </c>
      <c r="E93" s="2">
        <v>2880</v>
      </c>
      <c r="F93" s="2">
        <v>2304</v>
      </c>
      <c r="G93" s="2">
        <v>1440</v>
      </c>
      <c r="H93" s="2">
        <v>2736</v>
      </c>
      <c r="I93" s="2">
        <v>2258</v>
      </c>
      <c r="J93" s="2">
        <v>1411</v>
      </c>
    </row>
    <row r="95" spans="1:10" x14ac:dyDescent="0.2">
      <c r="A95" s="3" t="s">
        <v>972</v>
      </c>
    </row>
    <row r="96" spans="1:10" x14ac:dyDescent="0.2">
      <c r="A96" t="s">
        <v>973</v>
      </c>
      <c r="C96" t="s">
        <v>974</v>
      </c>
      <c r="D96" t="s">
        <v>974</v>
      </c>
      <c r="E96" s="2">
        <v>1114</v>
      </c>
      <c r="F96">
        <v>891</v>
      </c>
      <c r="G96">
        <v>557</v>
      </c>
      <c r="H96" s="2">
        <v>1058</v>
      </c>
      <c r="I96">
        <v>873</v>
      </c>
      <c r="J96">
        <v>546</v>
      </c>
    </row>
    <row r="97" spans="1:10" x14ac:dyDescent="0.2">
      <c r="A97" t="s">
        <v>973</v>
      </c>
      <c r="C97" t="s">
        <v>975</v>
      </c>
      <c r="D97" t="s">
        <v>975</v>
      </c>
      <c r="E97">
        <v>931</v>
      </c>
      <c r="F97">
        <v>745</v>
      </c>
      <c r="G97">
        <v>466</v>
      </c>
      <c r="H97">
        <v>884</v>
      </c>
      <c r="I97">
        <v>730</v>
      </c>
      <c r="J97">
        <v>456</v>
      </c>
    </row>
    <row r="98" spans="1:10" x14ac:dyDescent="0.2">
      <c r="A98" t="s">
        <v>973</v>
      </c>
      <c r="C98" t="s">
        <v>976</v>
      </c>
      <c r="D98" t="s">
        <v>976</v>
      </c>
      <c r="E98" s="2">
        <v>1318</v>
      </c>
      <c r="F98" s="2">
        <v>1054</v>
      </c>
      <c r="G98">
        <v>659</v>
      </c>
      <c r="H98" s="2">
        <v>1252</v>
      </c>
      <c r="I98" s="2">
        <v>1034</v>
      </c>
      <c r="J98">
        <v>646</v>
      </c>
    </row>
    <row r="99" spans="1:10" x14ac:dyDescent="0.2">
      <c r="A99" t="s">
        <v>977</v>
      </c>
      <c r="C99" t="s">
        <v>978</v>
      </c>
      <c r="D99" t="s">
        <v>878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977</v>
      </c>
      <c r="C100" t="s">
        <v>978</v>
      </c>
      <c r="D100" t="s">
        <v>879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977</v>
      </c>
      <c r="C101" t="s">
        <v>978</v>
      </c>
      <c r="D101" t="s">
        <v>881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977</v>
      </c>
      <c r="C102" t="s">
        <v>978</v>
      </c>
      <c r="D102" t="s">
        <v>882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977</v>
      </c>
      <c r="C103" t="s">
        <v>978</v>
      </c>
      <c r="D103" t="s">
        <v>750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977</v>
      </c>
      <c r="C104" t="s">
        <v>978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977</v>
      </c>
      <c r="C105" t="s">
        <v>978</v>
      </c>
      <c r="D105" t="s">
        <v>870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t="s">
        <v>977</v>
      </c>
      <c r="C106" t="s">
        <v>978</v>
      </c>
      <c r="D106" t="s">
        <v>751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977</v>
      </c>
      <c r="C107" t="s">
        <v>979</v>
      </c>
      <c r="D107" t="s">
        <v>752</v>
      </c>
      <c r="E107">
        <v>547</v>
      </c>
      <c r="F107">
        <v>438</v>
      </c>
      <c r="G107">
        <v>274</v>
      </c>
      <c r="H107">
        <v>520</v>
      </c>
      <c r="I107">
        <v>429</v>
      </c>
      <c r="J107">
        <v>268</v>
      </c>
    </row>
    <row r="108" spans="1:10" x14ac:dyDescent="0.2">
      <c r="A108" t="s">
        <v>980</v>
      </c>
      <c r="C108" t="s">
        <v>981</v>
      </c>
      <c r="D108" t="s">
        <v>981</v>
      </c>
      <c r="E108">
        <v>149</v>
      </c>
      <c r="F108">
        <v>119</v>
      </c>
      <c r="G108">
        <v>75</v>
      </c>
      <c r="H108">
        <v>142</v>
      </c>
      <c r="I108">
        <v>117</v>
      </c>
      <c r="J108">
        <v>73</v>
      </c>
    </row>
    <row r="109" spans="1:10" x14ac:dyDescent="0.2">
      <c r="A109" t="s">
        <v>980</v>
      </c>
      <c r="C109" t="s">
        <v>982</v>
      </c>
      <c r="D109" t="s">
        <v>982</v>
      </c>
      <c r="E109">
        <v>540</v>
      </c>
      <c r="F109">
        <v>432</v>
      </c>
      <c r="G109">
        <v>270</v>
      </c>
      <c r="H109">
        <v>513</v>
      </c>
      <c r="I109">
        <v>423</v>
      </c>
      <c r="J109">
        <v>265</v>
      </c>
    </row>
    <row r="110" spans="1:10" x14ac:dyDescent="0.2">
      <c r="A110" t="s">
        <v>983</v>
      </c>
      <c r="C110" t="s">
        <v>984</v>
      </c>
      <c r="D110" t="s">
        <v>984</v>
      </c>
      <c r="E110">
        <v>17</v>
      </c>
      <c r="F110">
        <v>14</v>
      </c>
      <c r="G110">
        <v>9</v>
      </c>
      <c r="H110">
        <v>16</v>
      </c>
      <c r="I110">
        <v>13</v>
      </c>
      <c r="J110">
        <v>8</v>
      </c>
    </row>
    <row r="111" spans="1:10" x14ac:dyDescent="0.2">
      <c r="A111" t="s">
        <v>983</v>
      </c>
      <c r="C111" t="s">
        <v>985</v>
      </c>
      <c r="D111" t="s">
        <v>985</v>
      </c>
      <c r="E111">
        <v>31</v>
      </c>
      <c r="F111">
        <v>25</v>
      </c>
      <c r="G111">
        <v>16</v>
      </c>
      <c r="H111">
        <v>30</v>
      </c>
      <c r="I111">
        <v>24</v>
      </c>
      <c r="J111">
        <v>15</v>
      </c>
    </row>
    <row r="112" spans="1:10" x14ac:dyDescent="0.2">
      <c r="A112" t="s">
        <v>986</v>
      </c>
      <c r="C112" t="s">
        <v>987</v>
      </c>
      <c r="D112" t="s">
        <v>987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986</v>
      </c>
      <c r="C113" t="s">
        <v>988</v>
      </c>
      <c r="D113" t="s">
        <v>988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986</v>
      </c>
      <c r="C114" t="s">
        <v>989</v>
      </c>
      <c r="D114" t="s">
        <v>989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986</v>
      </c>
      <c r="C115" t="s">
        <v>990</v>
      </c>
      <c r="D115" t="s">
        <v>990</v>
      </c>
      <c r="E115">
        <v>219</v>
      </c>
      <c r="F115">
        <v>175</v>
      </c>
      <c r="G115">
        <v>110</v>
      </c>
      <c r="H115">
        <v>208</v>
      </c>
      <c r="I115">
        <v>172</v>
      </c>
      <c r="J115">
        <v>107</v>
      </c>
    </row>
    <row r="116" spans="1:10" x14ac:dyDescent="0.2">
      <c r="A116" t="s">
        <v>986</v>
      </c>
      <c r="C116" t="s">
        <v>991</v>
      </c>
      <c r="D116" t="s">
        <v>991</v>
      </c>
      <c r="E116">
        <v>714</v>
      </c>
      <c r="F116">
        <v>571</v>
      </c>
      <c r="G116">
        <v>357</v>
      </c>
      <c r="H116">
        <v>678</v>
      </c>
      <c r="I116">
        <v>560</v>
      </c>
      <c r="J116">
        <v>350</v>
      </c>
    </row>
    <row r="117" spans="1:10" x14ac:dyDescent="0.2">
      <c r="A117" s="3" t="s">
        <v>992</v>
      </c>
      <c r="E117" s="2">
        <v>5580</v>
      </c>
      <c r="F117" s="2">
        <v>4464</v>
      </c>
      <c r="G117" s="2">
        <v>2790</v>
      </c>
      <c r="H117" s="2">
        <v>5301</v>
      </c>
      <c r="I117" s="2">
        <v>4375</v>
      </c>
      <c r="J117" s="2">
        <v>2734</v>
      </c>
    </row>
    <row r="119" spans="1:10" x14ac:dyDescent="0.2">
      <c r="A119" s="3" t="s">
        <v>993</v>
      </c>
    </row>
    <row r="120" spans="1:10" x14ac:dyDescent="0.2">
      <c r="A120" t="s">
        <v>994</v>
      </c>
      <c r="C120" t="s">
        <v>995</v>
      </c>
      <c r="D120" t="s">
        <v>995</v>
      </c>
      <c r="E120">
        <v>14</v>
      </c>
      <c r="F120">
        <v>11</v>
      </c>
      <c r="G120">
        <v>7</v>
      </c>
      <c r="H120">
        <v>13</v>
      </c>
      <c r="I120">
        <v>11</v>
      </c>
      <c r="J120">
        <v>7</v>
      </c>
    </row>
    <row r="121" spans="1:10" x14ac:dyDescent="0.2">
      <c r="A121" t="s">
        <v>994</v>
      </c>
      <c r="C121" t="s">
        <v>996</v>
      </c>
      <c r="D121" t="s">
        <v>996</v>
      </c>
      <c r="E121">
        <v>10</v>
      </c>
      <c r="F121">
        <v>8</v>
      </c>
      <c r="G121">
        <v>5</v>
      </c>
      <c r="H121">
        <v>10</v>
      </c>
      <c r="I121">
        <v>8</v>
      </c>
      <c r="J121">
        <v>5</v>
      </c>
    </row>
    <row r="122" spans="1:10" x14ac:dyDescent="0.2">
      <c r="A122" t="s">
        <v>994</v>
      </c>
      <c r="C122" t="s">
        <v>997</v>
      </c>
      <c r="D122" t="s">
        <v>997</v>
      </c>
      <c r="E122">
        <v>30</v>
      </c>
      <c r="F122">
        <v>24</v>
      </c>
      <c r="G122">
        <v>15</v>
      </c>
      <c r="H122">
        <v>29</v>
      </c>
      <c r="I122">
        <v>23</v>
      </c>
      <c r="J122">
        <v>15</v>
      </c>
    </row>
    <row r="123" spans="1:10" x14ac:dyDescent="0.2">
      <c r="A123" t="s">
        <v>994</v>
      </c>
      <c r="C123" t="s">
        <v>998</v>
      </c>
      <c r="D123" t="s">
        <v>998</v>
      </c>
      <c r="E123">
        <v>511</v>
      </c>
      <c r="F123">
        <v>409</v>
      </c>
      <c r="G123">
        <v>256</v>
      </c>
      <c r="H123">
        <v>485</v>
      </c>
      <c r="I123">
        <v>401</v>
      </c>
      <c r="J123">
        <v>250</v>
      </c>
    </row>
    <row r="124" spans="1:10" x14ac:dyDescent="0.2">
      <c r="A124" s="3" t="s">
        <v>999</v>
      </c>
      <c r="E124">
        <v>565</v>
      </c>
      <c r="F124">
        <v>452</v>
      </c>
      <c r="G124">
        <v>283</v>
      </c>
      <c r="H124">
        <v>537</v>
      </c>
      <c r="I124">
        <v>443</v>
      </c>
      <c r="J124">
        <v>277</v>
      </c>
    </row>
    <row r="125" spans="1:10" x14ac:dyDescent="0.2">
      <c r="A125" s="3"/>
    </row>
    <row r="126" spans="1:10" x14ac:dyDescent="0.2">
      <c r="A126" s="3" t="s">
        <v>1000</v>
      </c>
    </row>
    <row r="127" spans="1:10" x14ac:dyDescent="0.2">
      <c r="A127" t="s">
        <v>1001</v>
      </c>
      <c r="C127" t="s">
        <v>1002</v>
      </c>
      <c r="D127" t="s">
        <v>1002</v>
      </c>
      <c r="E127">
        <v>4</v>
      </c>
      <c r="F127">
        <v>3</v>
      </c>
      <c r="G127">
        <v>2</v>
      </c>
      <c r="H127">
        <v>4</v>
      </c>
      <c r="I127">
        <v>3</v>
      </c>
      <c r="J127">
        <v>2</v>
      </c>
    </row>
    <row r="128" spans="1:10" x14ac:dyDescent="0.2">
      <c r="A128" t="s">
        <v>1001</v>
      </c>
      <c r="C128" t="s">
        <v>1003</v>
      </c>
      <c r="D128" t="s">
        <v>1003</v>
      </c>
      <c r="E128">
        <v>10</v>
      </c>
      <c r="F128">
        <v>8</v>
      </c>
      <c r="G128">
        <v>5</v>
      </c>
      <c r="H128">
        <v>9</v>
      </c>
      <c r="I128">
        <v>8</v>
      </c>
      <c r="J128">
        <v>5</v>
      </c>
    </row>
    <row r="129" spans="1:11" x14ac:dyDescent="0.2">
      <c r="A129" t="s">
        <v>1001</v>
      </c>
      <c r="C129" t="s">
        <v>1004</v>
      </c>
      <c r="D129" t="s">
        <v>1004</v>
      </c>
      <c r="E129">
        <v>13</v>
      </c>
      <c r="F129">
        <v>10</v>
      </c>
      <c r="G129">
        <v>7</v>
      </c>
      <c r="H129">
        <v>12</v>
      </c>
      <c r="I129">
        <v>10</v>
      </c>
      <c r="J129">
        <v>6</v>
      </c>
    </row>
    <row r="130" spans="1:11" x14ac:dyDescent="0.2">
      <c r="A130" t="s">
        <v>1001</v>
      </c>
      <c r="C130" t="s">
        <v>1005</v>
      </c>
      <c r="D130" t="s">
        <v>1005</v>
      </c>
      <c r="E130">
        <v>6</v>
      </c>
      <c r="F130">
        <v>5</v>
      </c>
      <c r="G130">
        <v>3</v>
      </c>
      <c r="H130">
        <v>6</v>
      </c>
      <c r="I130">
        <v>5</v>
      </c>
      <c r="J130">
        <v>3</v>
      </c>
    </row>
    <row r="131" spans="1:11" x14ac:dyDescent="0.2">
      <c r="A131" t="s">
        <v>1001</v>
      </c>
      <c r="C131" t="s">
        <v>1006</v>
      </c>
      <c r="D131" t="s">
        <v>1006</v>
      </c>
      <c r="E131">
        <v>7</v>
      </c>
      <c r="F131">
        <v>6</v>
      </c>
      <c r="G131">
        <v>4</v>
      </c>
      <c r="H131">
        <v>7</v>
      </c>
      <c r="I131">
        <v>5</v>
      </c>
      <c r="J131">
        <v>4</v>
      </c>
    </row>
    <row r="132" spans="1:11" x14ac:dyDescent="0.2">
      <c r="A132" t="s">
        <v>1001</v>
      </c>
      <c r="C132" t="s">
        <v>1007</v>
      </c>
      <c r="D132" t="s">
        <v>1007</v>
      </c>
      <c r="E132">
        <v>15</v>
      </c>
      <c r="F132">
        <v>12</v>
      </c>
      <c r="G132">
        <v>8</v>
      </c>
      <c r="H132">
        <v>14</v>
      </c>
      <c r="I132">
        <v>12</v>
      </c>
      <c r="J132">
        <v>7</v>
      </c>
    </row>
    <row r="133" spans="1:11" x14ac:dyDescent="0.2">
      <c r="A133" t="s">
        <v>1001</v>
      </c>
      <c r="C133" t="s">
        <v>1008</v>
      </c>
      <c r="D133" t="s">
        <v>1008</v>
      </c>
      <c r="E133">
        <v>16</v>
      </c>
      <c r="F133">
        <v>13</v>
      </c>
      <c r="G133">
        <v>8</v>
      </c>
      <c r="H133">
        <v>15</v>
      </c>
      <c r="I133">
        <v>13</v>
      </c>
      <c r="J133">
        <v>8</v>
      </c>
    </row>
    <row r="134" spans="1:11" x14ac:dyDescent="0.2">
      <c r="A134" t="s">
        <v>1001</v>
      </c>
      <c r="C134" t="s">
        <v>1009</v>
      </c>
      <c r="D134" t="s">
        <v>1009</v>
      </c>
      <c r="E134">
        <v>2</v>
      </c>
      <c r="F134">
        <v>2</v>
      </c>
      <c r="G134">
        <v>1</v>
      </c>
      <c r="H134">
        <v>2</v>
      </c>
      <c r="I134">
        <v>1</v>
      </c>
      <c r="J134">
        <v>1</v>
      </c>
    </row>
    <row r="135" spans="1:11" x14ac:dyDescent="0.2">
      <c r="A135" t="s">
        <v>1001</v>
      </c>
      <c r="C135" t="s">
        <v>1010</v>
      </c>
      <c r="D135" t="s">
        <v>1010</v>
      </c>
      <c r="E135">
        <v>2</v>
      </c>
      <c r="F135">
        <v>2</v>
      </c>
      <c r="G135">
        <v>1</v>
      </c>
      <c r="H135">
        <v>2</v>
      </c>
      <c r="I135">
        <v>2</v>
      </c>
      <c r="J135">
        <v>1</v>
      </c>
    </row>
    <row r="136" spans="1:11" x14ac:dyDescent="0.2">
      <c r="A136" s="3" t="s">
        <v>1011</v>
      </c>
      <c r="E136">
        <v>75</v>
      </c>
      <c r="F136">
        <v>60</v>
      </c>
      <c r="G136">
        <v>38</v>
      </c>
      <c r="H136">
        <v>71</v>
      </c>
      <c r="I136">
        <v>59</v>
      </c>
      <c r="J136">
        <v>37</v>
      </c>
    </row>
    <row r="138" spans="1:11" x14ac:dyDescent="0.2">
      <c r="A138" s="3" t="s">
        <v>1012</v>
      </c>
      <c r="B138" s="3"/>
      <c r="C138" s="3"/>
      <c r="D138" s="3"/>
      <c r="E138" s="4">
        <v>30701</v>
      </c>
      <c r="F138" s="4">
        <v>24561</v>
      </c>
      <c r="G138" s="4">
        <v>15351</v>
      </c>
      <c r="H138" s="4">
        <v>29166</v>
      </c>
      <c r="I138" s="4">
        <v>24070</v>
      </c>
      <c r="J138" s="4">
        <v>15044</v>
      </c>
      <c r="K138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1"/>
  <sheetViews>
    <sheetView topLeftCell="A70" workbookViewId="0">
      <selection activeCell="E12" sqref="E12"/>
    </sheetView>
  </sheetViews>
  <sheetFormatPr defaultRowHeight="12.75" x14ac:dyDescent="0.2"/>
  <sheetData>
    <row r="1" spans="1:4" x14ac:dyDescent="0.2">
      <c r="A1" s="3" t="s">
        <v>1013</v>
      </c>
      <c r="B1" s="3" t="s">
        <v>1014</v>
      </c>
      <c r="C1" s="3"/>
      <c r="D1" s="3"/>
    </row>
    <row r="2" spans="1:4" x14ac:dyDescent="0.2">
      <c r="A2" s="3" t="s">
        <v>1015</v>
      </c>
      <c r="B2" t="s">
        <v>1016</v>
      </c>
    </row>
    <row r="3" spans="1:4" x14ac:dyDescent="0.2">
      <c r="A3" t="s">
        <v>1017</v>
      </c>
    </row>
    <row r="4" spans="1:4" x14ac:dyDescent="0.2">
      <c r="A4" t="s">
        <v>1018</v>
      </c>
      <c r="B4">
        <v>500</v>
      </c>
    </row>
    <row r="5" spans="1:4" x14ac:dyDescent="0.2">
      <c r="A5" t="s">
        <v>1019</v>
      </c>
      <c r="B5">
        <v>440</v>
      </c>
      <c r="C5" t="s">
        <v>1016</v>
      </c>
    </row>
    <row r="6" spans="1:4" x14ac:dyDescent="0.2">
      <c r="A6" t="s">
        <v>1020</v>
      </c>
      <c r="B6">
        <v>7</v>
      </c>
    </row>
    <row r="7" spans="1:4" x14ac:dyDescent="0.2">
      <c r="A7" t="s">
        <v>1021</v>
      </c>
      <c r="B7">
        <v>378</v>
      </c>
    </row>
    <row r="8" spans="1:4" x14ac:dyDescent="0.2">
      <c r="A8" t="s">
        <v>1016</v>
      </c>
    </row>
    <row r="9" spans="1:4" x14ac:dyDescent="0.2">
      <c r="A9" s="3" t="s">
        <v>1022</v>
      </c>
    </row>
    <row r="10" spans="1:4" x14ac:dyDescent="0.2">
      <c r="A10" t="s">
        <v>1023</v>
      </c>
    </row>
    <row r="11" spans="1:4" x14ac:dyDescent="0.2">
      <c r="A11" t="s">
        <v>1024</v>
      </c>
      <c r="B11">
        <v>74</v>
      </c>
      <c r="C11" t="s">
        <v>1025</v>
      </c>
    </row>
    <row r="12" spans="1:4" x14ac:dyDescent="0.2">
      <c r="A12" t="s">
        <v>1026</v>
      </c>
      <c r="B12">
        <v>367</v>
      </c>
    </row>
    <row r="13" spans="1:4" x14ac:dyDescent="0.2">
      <c r="A13" t="s">
        <v>1027</v>
      </c>
      <c r="B13">
        <v>669</v>
      </c>
    </row>
    <row r="14" spans="1:4" x14ac:dyDescent="0.2">
      <c r="A14" t="s">
        <v>1028</v>
      </c>
      <c r="B14">
        <v>156</v>
      </c>
      <c r="C14" t="s">
        <v>1016</v>
      </c>
    </row>
    <row r="16" spans="1:4" x14ac:dyDescent="0.2">
      <c r="A16" t="s">
        <v>1029</v>
      </c>
    </row>
    <row r="17" spans="1:3" x14ac:dyDescent="0.2">
      <c r="A17" t="s">
        <v>1030</v>
      </c>
      <c r="B17">
        <v>1850</v>
      </c>
    </row>
    <row r="18" spans="1:3" x14ac:dyDescent="0.2">
      <c r="A18" t="s">
        <v>1031</v>
      </c>
      <c r="B18">
        <v>1819</v>
      </c>
    </row>
    <row r="19" spans="1:3" x14ac:dyDescent="0.2">
      <c r="A19" t="s">
        <v>1032</v>
      </c>
    </row>
    <row r="20" spans="1:3" x14ac:dyDescent="0.2">
      <c r="A20" t="s">
        <v>1033</v>
      </c>
    </row>
    <row r="21" spans="1:3" x14ac:dyDescent="0.2">
      <c r="A21" t="s">
        <v>1034</v>
      </c>
      <c r="B21">
        <v>21</v>
      </c>
    </row>
    <row r="22" spans="1:3" x14ac:dyDescent="0.2">
      <c r="A22" t="s">
        <v>1035</v>
      </c>
    </row>
    <row r="23" spans="1:3" x14ac:dyDescent="0.2">
      <c r="A23" t="s">
        <v>1036</v>
      </c>
      <c r="B23">
        <v>50</v>
      </c>
    </row>
    <row r="24" spans="1:3" x14ac:dyDescent="0.2">
      <c r="A24" t="s">
        <v>1016</v>
      </c>
    </row>
    <row r="25" spans="1:3" x14ac:dyDescent="0.2">
      <c r="A25" s="3" t="s">
        <v>1037</v>
      </c>
    </row>
    <row r="26" spans="1:3" x14ac:dyDescent="0.2">
      <c r="A26" t="s">
        <v>1038</v>
      </c>
    </row>
    <row r="27" spans="1:3" x14ac:dyDescent="0.2">
      <c r="A27" t="s">
        <v>1039</v>
      </c>
      <c r="B27">
        <v>26</v>
      </c>
      <c r="C27" t="s">
        <v>1016</v>
      </c>
    </row>
    <row r="28" spans="1:3" x14ac:dyDescent="0.2">
      <c r="A28" t="s">
        <v>1040</v>
      </c>
      <c r="B28">
        <v>9</v>
      </c>
      <c r="C28" t="s">
        <v>1016</v>
      </c>
    </row>
    <row r="29" spans="1:3" x14ac:dyDescent="0.2">
      <c r="A29" t="s">
        <v>1041</v>
      </c>
    </row>
    <row r="30" spans="1:3" x14ac:dyDescent="0.2">
      <c r="A30" t="s">
        <v>1042</v>
      </c>
      <c r="B30">
        <v>461</v>
      </c>
    </row>
    <row r="31" spans="1:3" x14ac:dyDescent="0.2">
      <c r="A31" t="s">
        <v>1043</v>
      </c>
      <c r="B31">
        <v>435</v>
      </c>
    </row>
    <row r="33" spans="1:2" x14ac:dyDescent="0.2">
      <c r="A33" s="3" t="s">
        <v>1044</v>
      </c>
    </row>
    <row r="34" spans="1:2" x14ac:dyDescent="0.2">
      <c r="A34" t="s">
        <v>1045</v>
      </c>
    </row>
    <row r="35" spans="1:2" x14ac:dyDescent="0.2">
      <c r="A35" t="s">
        <v>1042</v>
      </c>
      <c r="B35">
        <v>1231</v>
      </c>
    </row>
    <row r="36" spans="1:2" x14ac:dyDescent="0.2">
      <c r="A36" t="s">
        <v>1046</v>
      </c>
      <c r="B36">
        <v>1316</v>
      </c>
    </row>
    <row r="37" spans="1:2" x14ac:dyDescent="0.2">
      <c r="A37" t="s">
        <v>1047</v>
      </c>
      <c r="B37">
        <v>11</v>
      </c>
    </row>
    <row r="38" spans="1:2" x14ac:dyDescent="0.2">
      <c r="A38" t="s">
        <v>1048</v>
      </c>
      <c r="B38">
        <v>13</v>
      </c>
    </row>
    <row r="39" spans="1:2" x14ac:dyDescent="0.2">
      <c r="A39" t="s">
        <v>1034</v>
      </c>
      <c r="B39">
        <v>13</v>
      </c>
    </row>
    <row r="40" spans="1:2" x14ac:dyDescent="0.2">
      <c r="A40" t="s">
        <v>1040</v>
      </c>
      <c r="B40">
        <v>12</v>
      </c>
    </row>
    <row r="42" spans="1:2" x14ac:dyDescent="0.2">
      <c r="A42" s="3" t="s">
        <v>1049</v>
      </c>
    </row>
    <row r="43" spans="1:2" x14ac:dyDescent="0.2">
      <c r="A43" t="s">
        <v>1050</v>
      </c>
    </row>
    <row r="44" spans="1:2" x14ac:dyDescent="0.2">
      <c r="A44" t="s">
        <v>1051</v>
      </c>
      <c r="B44">
        <v>129</v>
      </c>
    </row>
    <row r="46" spans="1:2" x14ac:dyDescent="0.2">
      <c r="A46" s="3" t="s">
        <v>1052</v>
      </c>
    </row>
    <row r="47" spans="1:2" x14ac:dyDescent="0.2">
      <c r="A47" t="s">
        <v>1053</v>
      </c>
    </row>
    <row r="48" spans="1:2" x14ac:dyDescent="0.2">
      <c r="A48" t="s">
        <v>1054</v>
      </c>
      <c r="B48">
        <v>7</v>
      </c>
    </row>
    <row r="49" spans="1:2" x14ac:dyDescent="0.2">
      <c r="A49" t="s">
        <v>1055</v>
      </c>
      <c r="B49">
        <v>7</v>
      </c>
    </row>
    <row r="50" spans="1:2" x14ac:dyDescent="0.2">
      <c r="A50" t="s">
        <v>1056</v>
      </c>
      <c r="B50">
        <v>5</v>
      </c>
    </row>
    <row r="51" spans="1:2" x14ac:dyDescent="0.2">
      <c r="A51" t="s">
        <v>1057</v>
      </c>
      <c r="B51">
        <v>7</v>
      </c>
    </row>
    <row r="52" spans="1:2" x14ac:dyDescent="0.2">
      <c r="A52" t="s">
        <v>1058</v>
      </c>
      <c r="B52">
        <v>312</v>
      </c>
    </row>
    <row r="54" spans="1:2" x14ac:dyDescent="0.2">
      <c r="A54" s="3" t="s">
        <v>1059</v>
      </c>
    </row>
    <row r="55" spans="1:2" x14ac:dyDescent="0.2">
      <c r="A55" t="s">
        <v>1060</v>
      </c>
    </row>
    <row r="56" spans="1:2" x14ac:dyDescent="0.2">
      <c r="A56" t="s">
        <v>1061</v>
      </c>
      <c r="B56">
        <v>452</v>
      </c>
    </row>
    <row r="57" spans="1:2" x14ac:dyDescent="0.2">
      <c r="A57" t="s">
        <v>1062</v>
      </c>
      <c r="B57">
        <v>441</v>
      </c>
    </row>
    <row r="58" spans="1:2" x14ac:dyDescent="0.2">
      <c r="A58" t="s">
        <v>1036</v>
      </c>
      <c r="B58">
        <v>461</v>
      </c>
    </row>
    <row r="59" spans="1:2" x14ac:dyDescent="0.2">
      <c r="A59" t="s">
        <v>1063</v>
      </c>
      <c r="B59">
        <v>77</v>
      </c>
    </row>
    <row r="60" spans="1:2" x14ac:dyDescent="0.2">
      <c r="A60" t="s">
        <v>1064</v>
      </c>
      <c r="B60">
        <v>89</v>
      </c>
    </row>
    <row r="62" spans="1:2" x14ac:dyDescent="0.2">
      <c r="A62" s="3" t="s">
        <v>1065</v>
      </c>
    </row>
    <row r="63" spans="1:2" x14ac:dyDescent="0.2">
      <c r="A63" t="s">
        <v>1066</v>
      </c>
    </row>
    <row r="64" spans="1:2" x14ac:dyDescent="0.2">
      <c r="A64" t="s">
        <v>1061</v>
      </c>
      <c r="B64">
        <v>793</v>
      </c>
    </row>
    <row r="65" spans="1:4" x14ac:dyDescent="0.2">
      <c r="A65" t="s">
        <v>1062</v>
      </c>
      <c r="B65">
        <v>818</v>
      </c>
    </row>
    <row r="66" spans="1:4" x14ac:dyDescent="0.2">
      <c r="A66" t="s">
        <v>1036</v>
      </c>
      <c r="B66">
        <v>339</v>
      </c>
    </row>
    <row r="67" spans="1:4" x14ac:dyDescent="0.2">
      <c r="A67" t="s">
        <v>1067</v>
      </c>
      <c r="B67">
        <v>408</v>
      </c>
    </row>
    <row r="68" spans="1:4" x14ac:dyDescent="0.2">
      <c r="A68" t="s">
        <v>1068</v>
      </c>
      <c r="B68">
        <v>1</v>
      </c>
    </row>
    <row r="69" spans="1:4" x14ac:dyDescent="0.2">
      <c r="A69" t="s">
        <v>1069</v>
      </c>
      <c r="B69">
        <v>32</v>
      </c>
    </row>
    <row r="70" spans="1:4" x14ac:dyDescent="0.2">
      <c r="A70" t="s">
        <v>1070</v>
      </c>
      <c r="B70">
        <v>32</v>
      </c>
    </row>
    <row r="71" spans="1:4" x14ac:dyDescent="0.2">
      <c r="A71" t="s">
        <v>1034</v>
      </c>
      <c r="B71">
        <v>54</v>
      </c>
    </row>
    <row r="72" spans="1:4" x14ac:dyDescent="0.2">
      <c r="A72" t="s">
        <v>1071</v>
      </c>
      <c r="B72">
        <v>31</v>
      </c>
    </row>
    <row r="73" spans="1:4" x14ac:dyDescent="0.2">
      <c r="A73" t="s">
        <v>1072</v>
      </c>
      <c r="B73">
        <v>43</v>
      </c>
    </row>
    <row r="74" spans="1:4" x14ac:dyDescent="0.2">
      <c r="A74" t="s">
        <v>1073</v>
      </c>
      <c r="B74">
        <v>218</v>
      </c>
    </row>
    <row r="76" spans="1:4" x14ac:dyDescent="0.2">
      <c r="A76" s="3" t="s">
        <v>1074</v>
      </c>
      <c r="B76" s="3"/>
      <c r="C76" s="3"/>
      <c r="D76" s="3"/>
    </row>
    <row r="77" spans="1:4" x14ac:dyDescent="0.2">
      <c r="A77" t="s">
        <v>1075</v>
      </c>
    </row>
    <row r="78" spans="1:4" x14ac:dyDescent="0.2">
      <c r="A78" t="s">
        <v>1076</v>
      </c>
      <c r="B78">
        <v>7</v>
      </c>
    </row>
    <row r="79" spans="1:4" x14ac:dyDescent="0.2">
      <c r="A79" t="s">
        <v>1077</v>
      </c>
      <c r="B79">
        <v>119</v>
      </c>
    </row>
    <row r="81" spans="1:2" x14ac:dyDescent="0.2">
      <c r="A81" t="s">
        <v>1078</v>
      </c>
      <c r="B81">
        <f>SUM(B3:B80)</f>
        <v>14740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5"/>
  <sheetViews>
    <sheetView topLeftCell="A17" workbookViewId="0">
      <selection activeCell="C35" sqref="C35"/>
    </sheetView>
  </sheetViews>
  <sheetFormatPr defaultRowHeight="12.75" x14ac:dyDescent="0.2"/>
  <cols>
    <col min="1" max="1" width="18.85546875" customWidth="1"/>
    <col min="2" max="2" width="15.140625" customWidth="1"/>
    <col min="3" max="3" width="16.28515625" customWidth="1"/>
  </cols>
  <sheetData>
    <row r="1" spans="1:4" x14ac:dyDescent="0.2">
      <c r="A1" s="3" t="s">
        <v>1079</v>
      </c>
      <c r="B1" s="3" t="s">
        <v>1080</v>
      </c>
      <c r="C1" s="3" t="s">
        <v>1113</v>
      </c>
      <c r="D1" s="3"/>
    </row>
    <row r="3" spans="1:4" x14ac:dyDescent="0.2">
      <c r="A3" t="s">
        <v>1081</v>
      </c>
      <c r="B3">
        <v>54805</v>
      </c>
      <c r="C3">
        <v>292</v>
      </c>
    </row>
    <row r="4" spans="1:4" x14ac:dyDescent="0.2">
      <c r="A4" t="s">
        <v>1082</v>
      </c>
      <c r="B4">
        <v>1660</v>
      </c>
      <c r="C4">
        <v>76</v>
      </c>
    </row>
    <row r="5" spans="1:4" x14ac:dyDescent="0.2">
      <c r="A5" t="s">
        <v>1083</v>
      </c>
      <c r="B5">
        <v>1594</v>
      </c>
      <c r="C5">
        <v>23</v>
      </c>
    </row>
    <row r="6" spans="1:4" x14ac:dyDescent="0.2">
      <c r="A6" t="s">
        <v>1084</v>
      </c>
      <c r="B6">
        <v>52026</v>
      </c>
      <c r="C6">
        <v>157</v>
      </c>
    </row>
    <row r="7" spans="1:4" x14ac:dyDescent="0.2">
      <c r="A7" t="s">
        <v>1085</v>
      </c>
      <c r="B7">
        <v>10029</v>
      </c>
      <c r="C7">
        <v>60</v>
      </c>
    </row>
    <row r="8" spans="1:4" x14ac:dyDescent="0.2">
      <c r="A8" t="s">
        <v>1086</v>
      </c>
      <c r="B8">
        <v>10522</v>
      </c>
      <c r="C8">
        <v>84</v>
      </c>
    </row>
    <row r="9" spans="1:4" x14ac:dyDescent="0.2">
      <c r="A9" t="s">
        <v>1087</v>
      </c>
      <c r="B9">
        <v>10802</v>
      </c>
      <c r="C9">
        <v>71</v>
      </c>
    </row>
    <row r="10" spans="1:4" x14ac:dyDescent="0.2">
      <c r="A10" t="s">
        <v>1088</v>
      </c>
      <c r="B10">
        <v>54586</v>
      </c>
      <c r="C10">
        <v>195</v>
      </c>
    </row>
    <row r="11" spans="1:4" x14ac:dyDescent="0.2">
      <c r="A11" t="s">
        <v>1089</v>
      </c>
      <c r="B11">
        <v>10176</v>
      </c>
      <c r="C11">
        <v>6</v>
      </c>
    </row>
    <row r="12" spans="1:4" x14ac:dyDescent="0.2">
      <c r="A12" t="s">
        <v>1090</v>
      </c>
      <c r="B12">
        <v>54907</v>
      </c>
      <c r="C12">
        <v>96</v>
      </c>
    </row>
    <row r="13" spans="1:4" x14ac:dyDescent="0.2">
      <c r="A13" t="s">
        <v>1091</v>
      </c>
      <c r="B13">
        <v>6081</v>
      </c>
      <c r="C13">
        <v>353</v>
      </c>
    </row>
    <row r="14" spans="1:4" x14ac:dyDescent="0.2">
      <c r="A14" t="s">
        <v>1092</v>
      </c>
      <c r="B14">
        <v>10823</v>
      </c>
      <c r="C14">
        <v>37</v>
      </c>
    </row>
    <row r="15" spans="1:4" x14ac:dyDescent="0.2">
      <c r="A15" t="s">
        <v>1093</v>
      </c>
      <c r="B15">
        <v>10307</v>
      </c>
      <c r="C15">
        <v>683</v>
      </c>
    </row>
    <row r="16" spans="1:4" x14ac:dyDescent="0.2">
      <c r="A16" t="s">
        <v>1094</v>
      </c>
      <c r="B16">
        <v>1631</v>
      </c>
      <c r="C16">
        <v>1</v>
      </c>
    </row>
    <row r="17" spans="1:3" x14ac:dyDescent="0.2">
      <c r="A17" t="s">
        <v>1095</v>
      </c>
      <c r="B17">
        <v>1606</v>
      </c>
      <c r="C17">
        <v>302</v>
      </c>
    </row>
    <row r="18" spans="1:3" x14ac:dyDescent="0.2">
      <c r="A18" t="s">
        <v>1096</v>
      </c>
      <c r="B18">
        <v>1642</v>
      </c>
      <c r="C18">
        <v>114</v>
      </c>
    </row>
    <row r="19" spans="1:3" x14ac:dyDescent="0.2">
      <c r="A19" t="s">
        <v>1097</v>
      </c>
      <c r="B19">
        <v>1643</v>
      </c>
      <c r="C19">
        <v>1</v>
      </c>
    </row>
    <row r="20" spans="1:3" x14ac:dyDescent="0.2">
      <c r="A20" t="s">
        <v>1098</v>
      </c>
      <c r="B20">
        <v>1658</v>
      </c>
      <c r="C20">
        <v>19</v>
      </c>
    </row>
    <row r="21" spans="1:3" x14ac:dyDescent="0.2">
      <c r="A21" t="s">
        <v>1099</v>
      </c>
      <c r="B21">
        <v>1619</v>
      </c>
      <c r="C21">
        <v>2521</v>
      </c>
    </row>
    <row r="22" spans="1:3" x14ac:dyDescent="0.2">
      <c r="A22" t="s">
        <v>1100</v>
      </c>
      <c r="B22">
        <v>10726</v>
      </c>
      <c r="C22">
        <v>493</v>
      </c>
    </row>
    <row r="23" spans="1:3" x14ac:dyDescent="0.2">
      <c r="A23" t="s">
        <v>1101</v>
      </c>
      <c r="B23">
        <v>50002</v>
      </c>
      <c r="C23">
        <v>356</v>
      </c>
    </row>
    <row r="24" spans="1:3" x14ac:dyDescent="0.2">
      <c r="A24" t="s">
        <v>1102</v>
      </c>
      <c r="B24">
        <v>1626</v>
      </c>
      <c r="C24">
        <v>1088</v>
      </c>
    </row>
    <row r="25" spans="1:3" x14ac:dyDescent="0.2">
      <c r="A25" t="s">
        <v>1103</v>
      </c>
      <c r="B25">
        <v>1599</v>
      </c>
      <c r="C25">
        <v>1561</v>
      </c>
    </row>
    <row r="26" spans="1:3" x14ac:dyDescent="0.2">
      <c r="A26" t="s">
        <v>1104</v>
      </c>
      <c r="B26">
        <v>1595</v>
      </c>
      <c r="C26">
        <v>116</v>
      </c>
    </row>
    <row r="27" spans="1:3" x14ac:dyDescent="0.2">
      <c r="A27" t="s">
        <v>1105</v>
      </c>
      <c r="B27">
        <v>1585</v>
      </c>
      <c r="C27">
        <v>0</v>
      </c>
    </row>
    <row r="28" spans="1:3" x14ac:dyDescent="0.2">
      <c r="A28" t="s">
        <v>1106</v>
      </c>
      <c r="B28">
        <v>1586</v>
      </c>
      <c r="C28">
        <v>1</v>
      </c>
    </row>
    <row r="29" spans="1:3" x14ac:dyDescent="0.2">
      <c r="A29" t="s">
        <v>1107</v>
      </c>
      <c r="B29">
        <v>1592</v>
      </c>
      <c r="C29">
        <v>5</v>
      </c>
    </row>
    <row r="30" spans="1:3" x14ac:dyDescent="0.2">
      <c r="A30" t="s">
        <v>1108</v>
      </c>
      <c r="B30">
        <v>1588</v>
      </c>
      <c r="C30">
        <v>1187</v>
      </c>
    </row>
    <row r="31" spans="1:3" x14ac:dyDescent="0.2">
      <c r="A31" t="s">
        <v>1109</v>
      </c>
      <c r="B31">
        <v>1589</v>
      </c>
      <c r="C31">
        <v>1134</v>
      </c>
    </row>
    <row r="32" spans="1:3" x14ac:dyDescent="0.2">
      <c r="A32" t="s">
        <v>1110</v>
      </c>
      <c r="B32">
        <v>1613</v>
      </c>
      <c r="C32">
        <v>220</v>
      </c>
    </row>
    <row r="33" spans="1:3" x14ac:dyDescent="0.2">
      <c r="A33" t="s">
        <v>1111</v>
      </c>
      <c r="B33">
        <v>1682</v>
      </c>
      <c r="C33">
        <v>92</v>
      </c>
    </row>
    <row r="34" spans="1:3" x14ac:dyDescent="0.2">
      <c r="A34" t="s">
        <v>1112</v>
      </c>
      <c r="B34">
        <v>880023</v>
      </c>
      <c r="C34">
        <v>232</v>
      </c>
    </row>
    <row r="35" spans="1:3" x14ac:dyDescent="0.2">
      <c r="C35">
        <f>SUM(C3:C34)</f>
        <v>11576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53"/>
  <sheetViews>
    <sheetView topLeftCell="A331" workbookViewId="0">
      <selection activeCell="E353" sqref="E353"/>
    </sheetView>
  </sheetViews>
  <sheetFormatPr defaultRowHeight="12.75" x14ac:dyDescent="0.2"/>
  <cols>
    <col min="1" max="1" width="14.85546875" customWidth="1"/>
    <col min="2" max="2" width="19.28515625" customWidth="1"/>
    <col min="3" max="3" width="15.5703125" customWidth="1"/>
    <col min="4" max="4" width="16.140625" customWidth="1"/>
    <col min="5" max="5" width="19.28515625" style="5" customWidth="1"/>
  </cols>
  <sheetData>
    <row r="1" spans="1:6" ht="25.5" x14ac:dyDescent="0.2">
      <c r="A1" s="1" t="s">
        <v>1114</v>
      </c>
      <c r="B1" s="1" t="s">
        <v>1115</v>
      </c>
      <c r="C1" s="1" t="s">
        <v>1116</v>
      </c>
      <c r="D1" s="1" t="s">
        <v>1117</v>
      </c>
      <c r="E1" s="1" t="s">
        <v>1118</v>
      </c>
      <c r="F1" s="1"/>
    </row>
    <row r="3" spans="1:6" x14ac:dyDescent="0.2">
      <c r="A3" t="s">
        <v>1119</v>
      </c>
      <c r="D3" t="s">
        <v>1120</v>
      </c>
      <c r="E3" s="5">
        <v>410</v>
      </c>
    </row>
    <row r="5" spans="1:6" x14ac:dyDescent="0.2">
      <c r="A5" t="s">
        <v>1119</v>
      </c>
      <c r="D5" t="s">
        <v>1121</v>
      </c>
      <c r="E5" s="5">
        <v>820</v>
      </c>
    </row>
    <row r="7" spans="1:6" x14ac:dyDescent="0.2">
      <c r="A7" t="s">
        <v>1122</v>
      </c>
      <c r="B7" t="s">
        <v>1123</v>
      </c>
      <c r="C7">
        <v>2378000001</v>
      </c>
      <c r="D7" t="s">
        <v>1124</v>
      </c>
      <c r="E7" s="5">
        <v>268</v>
      </c>
    </row>
    <row r="9" spans="1:6" x14ac:dyDescent="0.2">
      <c r="A9" t="s">
        <v>1122</v>
      </c>
      <c r="B9" t="s">
        <v>1123</v>
      </c>
      <c r="C9">
        <v>2378000002</v>
      </c>
      <c r="D9" t="s">
        <v>1125</v>
      </c>
      <c r="E9" s="5">
        <v>340</v>
      </c>
    </row>
    <row r="11" spans="1:6" x14ac:dyDescent="0.2">
      <c r="A11" t="s">
        <v>1122</v>
      </c>
      <c r="B11" t="s">
        <v>1123</v>
      </c>
      <c r="C11">
        <v>2378000003</v>
      </c>
      <c r="D11" t="s">
        <v>1126</v>
      </c>
      <c r="E11" s="5">
        <v>99</v>
      </c>
    </row>
    <row r="13" spans="1:6" x14ac:dyDescent="0.2">
      <c r="A13" t="s">
        <v>1122</v>
      </c>
      <c r="B13" t="s">
        <v>1127</v>
      </c>
      <c r="C13">
        <v>2379002001</v>
      </c>
      <c r="D13" t="s">
        <v>1128</v>
      </c>
      <c r="E13" s="5">
        <v>5</v>
      </c>
    </row>
    <row r="15" spans="1:6" x14ac:dyDescent="0.2">
      <c r="A15" t="s">
        <v>1122</v>
      </c>
      <c r="B15" t="s">
        <v>1127</v>
      </c>
      <c r="C15">
        <v>2379003001</v>
      </c>
      <c r="D15" t="s">
        <v>1129</v>
      </c>
      <c r="E15" s="5">
        <v>11</v>
      </c>
    </row>
    <row r="17" spans="1:5" x14ac:dyDescent="0.2">
      <c r="A17" t="s">
        <v>1122</v>
      </c>
      <c r="B17" t="s">
        <v>1130</v>
      </c>
      <c r="C17">
        <v>2380002001</v>
      </c>
      <c r="D17" t="s">
        <v>1131</v>
      </c>
      <c r="E17" s="5">
        <v>1</v>
      </c>
    </row>
    <row r="19" spans="1:5" x14ac:dyDescent="0.2">
      <c r="A19" t="s">
        <v>1122</v>
      </c>
      <c r="B19" t="s">
        <v>1130</v>
      </c>
      <c r="C19">
        <v>2380003001</v>
      </c>
      <c r="D19" t="s">
        <v>1132</v>
      </c>
      <c r="E19" s="5">
        <v>1</v>
      </c>
    </row>
    <row r="21" spans="1:5" x14ac:dyDescent="0.2">
      <c r="A21" t="s">
        <v>1122</v>
      </c>
      <c r="B21" t="s">
        <v>1130</v>
      </c>
      <c r="C21">
        <v>2380004001</v>
      </c>
      <c r="D21" t="s">
        <v>1133</v>
      </c>
      <c r="E21" s="5">
        <v>3</v>
      </c>
    </row>
    <row r="23" spans="1:5" x14ac:dyDescent="0.2">
      <c r="A23" t="s">
        <v>1122</v>
      </c>
      <c r="B23" t="s">
        <v>1134</v>
      </c>
      <c r="C23">
        <v>2382003001</v>
      </c>
      <c r="D23" t="s">
        <v>1135</v>
      </c>
      <c r="E23" s="5">
        <v>3</v>
      </c>
    </row>
    <row r="25" spans="1:5" x14ac:dyDescent="0.2">
      <c r="A25" t="s">
        <v>1122</v>
      </c>
      <c r="B25" t="s">
        <v>1134</v>
      </c>
      <c r="C25">
        <v>2382004001</v>
      </c>
      <c r="D25" t="s">
        <v>1136</v>
      </c>
      <c r="E25" s="5">
        <v>2</v>
      </c>
    </row>
    <row r="27" spans="1:5" x14ac:dyDescent="0.2">
      <c r="A27" t="s">
        <v>1122</v>
      </c>
      <c r="B27" t="s">
        <v>1134</v>
      </c>
      <c r="C27">
        <v>2382005001</v>
      </c>
      <c r="D27" t="s">
        <v>1137</v>
      </c>
      <c r="E27" s="5">
        <v>4</v>
      </c>
    </row>
    <row r="29" spans="1:5" x14ac:dyDescent="0.2">
      <c r="A29" t="s">
        <v>1122</v>
      </c>
      <c r="B29" t="s">
        <v>1138</v>
      </c>
      <c r="C29">
        <v>2383010001</v>
      </c>
      <c r="D29" t="s">
        <v>1139</v>
      </c>
      <c r="E29" s="5">
        <v>2</v>
      </c>
    </row>
    <row r="31" spans="1:5" x14ac:dyDescent="0.2">
      <c r="A31" t="s">
        <v>1122</v>
      </c>
      <c r="B31" t="s">
        <v>1138</v>
      </c>
      <c r="C31">
        <v>2383011001</v>
      </c>
      <c r="D31" t="s">
        <v>1140</v>
      </c>
      <c r="E31" s="5">
        <v>2</v>
      </c>
    </row>
    <row r="33" spans="1:5" x14ac:dyDescent="0.2">
      <c r="A33" t="s">
        <v>1122</v>
      </c>
      <c r="B33" t="s">
        <v>1138</v>
      </c>
      <c r="C33">
        <v>2383012001</v>
      </c>
      <c r="D33" t="s">
        <v>1141</v>
      </c>
      <c r="E33" s="5">
        <v>2</v>
      </c>
    </row>
    <row r="35" spans="1:5" x14ac:dyDescent="0.2">
      <c r="A35" t="s">
        <v>1122</v>
      </c>
      <c r="B35" t="s">
        <v>1142</v>
      </c>
      <c r="C35">
        <v>2384000001</v>
      </c>
      <c r="D35" t="s">
        <v>1143</v>
      </c>
      <c r="E35" s="5">
        <v>37</v>
      </c>
    </row>
    <row r="37" spans="1:5" x14ac:dyDescent="0.2">
      <c r="A37" t="s">
        <v>1122</v>
      </c>
      <c r="B37" t="s">
        <v>1142</v>
      </c>
      <c r="C37">
        <v>2384000004</v>
      </c>
      <c r="D37" t="s">
        <v>1144</v>
      </c>
      <c r="E37" s="5">
        <v>4</v>
      </c>
    </row>
    <row r="39" spans="1:5" x14ac:dyDescent="0.2">
      <c r="A39" t="s">
        <v>1122</v>
      </c>
      <c r="B39" t="s">
        <v>1142</v>
      </c>
      <c r="C39">
        <v>2384000006</v>
      </c>
      <c r="D39" t="s">
        <v>1145</v>
      </c>
      <c r="E39" s="5">
        <v>1</v>
      </c>
    </row>
    <row r="41" spans="1:5" x14ac:dyDescent="0.2">
      <c r="A41" t="s">
        <v>1122</v>
      </c>
      <c r="B41" t="s">
        <v>1142</v>
      </c>
      <c r="C41">
        <v>2384000008</v>
      </c>
      <c r="D41" t="s">
        <v>1146</v>
      </c>
      <c r="E41" s="5">
        <v>170</v>
      </c>
    </row>
    <row r="43" spans="1:5" x14ac:dyDescent="0.2">
      <c r="A43" t="s">
        <v>1122</v>
      </c>
      <c r="B43" t="s">
        <v>1142</v>
      </c>
      <c r="C43">
        <v>2384009001</v>
      </c>
      <c r="D43" t="s">
        <v>1147</v>
      </c>
      <c r="E43" s="5">
        <v>5</v>
      </c>
    </row>
    <row r="45" spans="1:5" x14ac:dyDescent="0.2">
      <c r="A45" t="s">
        <v>1148</v>
      </c>
      <c r="B45" t="s">
        <v>1149</v>
      </c>
      <c r="C45">
        <v>2385000004</v>
      </c>
      <c r="D45" t="s">
        <v>1150</v>
      </c>
      <c r="E45" s="5">
        <v>2</v>
      </c>
    </row>
    <row r="47" spans="1:5" x14ac:dyDescent="0.2">
      <c r="A47" t="s">
        <v>1148</v>
      </c>
      <c r="B47" t="s">
        <v>1149</v>
      </c>
      <c r="C47">
        <v>2385009001</v>
      </c>
      <c r="D47" t="s">
        <v>1151</v>
      </c>
      <c r="E47" s="5">
        <v>7</v>
      </c>
    </row>
    <row r="49" spans="1:5" x14ac:dyDescent="0.2">
      <c r="A49" t="s">
        <v>1148</v>
      </c>
      <c r="B49" t="s">
        <v>1149</v>
      </c>
      <c r="C49">
        <v>2385010001</v>
      </c>
      <c r="D49" t="s">
        <v>1152</v>
      </c>
      <c r="E49" s="5">
        <v>7</v>
      </c>
    </row>
    <row r="51" spans="1:5" x14ac:dyDescent="0.2">
      <c r="A51" t="s">
        <v>1148</v>
      </c>
      <c r="B51" t="s">
        <v>1149</v>
      </c>
      <c r="C51">
        <v>2385011001</v>
      </c>
      <c r="D51" t="s">
        <v>1153</v>
      </c>
      <c r="E51" s="5">
        <v>7</v>
      </c>
    </row>
    <row r="53" spans="1:5" x14ac:dyDescent="0.2">
      <c r="A53" t="s">
        <v>1148</v>
      </c>
      <c r="B53" t="s">
        <v>1149</v>
      </c>
      <c r="C53">
        <v>2385012001</v>
      </c>
      <c r="D53" t="s">
        <v>1154</v>
      </c>
      <c r="E53" s="5">
        <v>6</v>
      </c>
    </row>
    <row r="55" spans="1:5" x14ac:dyDescent="0.2">
      <c r="A55" t="s">
        <v>1148</v>
      </c>
      <c r="B55" t="s">
        <v>1155</v>
      </c>
      <c r="C55">
        <v>2390000007</v>
      </c>
      <c r="D55" t="s">
        <v>1156</v>
      </c>
      <c r="E55" s="5">
        <v>20</v>
      </c>
    </row>
    <row r="57" spans="1:5" x14ac:dyDescent="0.2">
      <c r="A57" t="s">
        <v>1148</v>
      </c>
      <c r="B57" t="s">
        <v>1155</v>
      </c>
      <c r="C57">
        <v>2390000008</v>
      </c>
      <c r="D57" t="s">
        <v>1157</v>
      </c>
      <c r="E57" s="5">
        <v>26</v>
      </c>
    </row>
    <row r="59" spans="1:5" x14ac:dyDescent="0.2">
      <c r="A59" t="s">
        <v>1148</v>
      </c>
      <c r="B59" t="s">
        <v>1155</v>
      </c>
      <c r="C59">
        <v>2390012001</v>
      </c>
      <c r="D59" t="s">
        <v>1158</v>
      </c>
      <c r="E59" s="5">
        <v>12</v>
      </c>
    </row>
    <row r="61" spans="1:5" x14ac:dyDescent="0.2">
      <c r="A61" t="s">
        <v>1148</v>
      </c>
      <c r="B61" t="s">
        <v>1155</v>
      </c>
      <c r="C61">
        <v>2390014001</v>
      </c>
      <c r="D61" t="s">
        <v>1159</v>
      </c>
      <c r="E61" s="5">
        <v>8</v>
      </c>
    </row>
    <row r="63" spans="1:5" x14ac:dyDescent="0.2">
      <c r="A63" t="s">
        <v>1148</v>
      </c>
      <c r="B63" t="s">
        <v>1155</v>
      </c>
      <c r="C63">
        <v>2390015001</v>
      </c>
      <c r="D63" t="s">
        <v>1160</v>
      </c>
      <c r="E63" s="5">
        <v>8</v>
      </c>
    </row>
    <row r="65" spans="1:5" x14ac:dyDescent="0.2">
      <c r="A65" t="s">
        <v>1148</v>
      </c>
      <c r="B65" t="s">
        <v>1155</v>
      </c>
      <c r="C65">
        <v>2390016001</v>
      </c>
      <c r="D65" t="s">
        <v>1161</v>
      </c>
      <c r="E65" s="5">
        <v>14</v>
      </c>
    </row>
    <row r="67" spans="1:5" x14ac:dyDescent="0.2">
      <c r="A67" t="s">
        <v>1148</v>
      </c>
      <c r="B67" t="s">
        <v>1162</v>
      </c>
      <c r="C67">
        <v>2393000003</v>
      </c>
      <c r="D67" t="s">
        <v>881</v>
      </c>
      <c r="E67" s="5">
        <v>13</v>
      </c>
    </row>
    <row r="69" spans="1:5" x14ac:dyDescent="0.2">
      <c r="A69" t="s">
        <v>1148</v>
      </c>
      <c r="B69" t="s">
        <v>1162</v>
      </c>
      <c r="C69">
        <v>2393000004</v>
      </c>
      <c r="D69" t="s">
        <v>1163</v>
      </c>
      <c r="E69" s="5">
        <v>52</v>
      </c>
    </row>
    <row r="71" spans="1:5" x14ac:dyDescent="0.2">
      <c r="A71" t="s">
        <v>1148</v>
      </c>
      <c r="B71" t="s">
        <v>1162</v>
      </c>
      <c r="C71">
        <v>2393000005</v>
      </c>
      <c r="D71" t="s">
        <v>1164</v>
      </c>
      <c r="E71" s="5">
        <v>47</v>
      </c>
    </row>
    <row r="73" spans="1:5" x14ac:dyDescent="0.2">
      <c r="A73" t="s">
        <v>1148</v>
      </c>
      <c r="B73" t="s">
        <v>1162</v>
      </c>
      <c r="C73">
        <v>2393000006</v>
      </c>
      <c r="D73" t="s">
        <v>1165</v>
      </c>
      <c r="E73" s="5">
        <v>50</v>
      </c>
    </row>
    <row r="75" spans="1:5" x14ac:dyDescent="0.2">
      <c r="A75" t="s">
        <v>1148</v>
      </c>
      <c r="B75" t="s">
        <v>1162</v>
      </c>
      <c r="C75">
        <v>2393000007</v>
      </c>
      <c r="D75" t="s">
        <v>1166</v>
      </c>
      <c r="E75" s="5">
        <v>51</v>
      </c>
    </row>
    <row r="77" spans="1:5" x14ac:dyDescent="0.2">
      <c r="A77" t="s">
        <v>1148</v>
      </c>
      <c r="B77" t="s">
        <v>1162</v>
      </c>
      <c r="C77">
        <v>2393000009</v>
      </c>
      <c r="D77" t="s">
        <v>1167</v>
      </c>
      <c r="E77" s="5">
        <v>35</v>
      </c>
    </row>
    <row r="79" spans="1:5" x14ac:dyDescent="0.2">
      <c r="A79" t="s">
        <v>1148</v>
      </c>
      <c r="B79" t="s">
        <v>1162</v>
      </c>
      <c r="C79">
        <v>2393015001</v>
      </c>
      <c r="D79" t="s">
        <v>1168</v>
      </c>
      <c r="E79" s="5">
        <v>2</v>
      </c>
    </row>
    <row r="81" spans="1:5" x14ac:dyDescent="0.2">
      <c r="A81" t="s">
        <v>1148</v>
      </c>
      <c r="B81" t="s">
        <v>1162</v>
      </c>
      <c r="C81">
        <v>2393016001</v>
      </c>
      <c r="D81" t="s">
        <v>1169</v>
      </c>
      <c r="E81" s="5">
        <v>2</v>
      </c>
    </row>
    <row r="83" spans="1:5" x14ac:dyDescent="0.2">
      <c r="A83" t="s">
        <v>1148</v>
      </c>
      <c r="B83" t="s">
        <v>1162</v>
      </c>
      <c r="C83">
        <v>2393017001</v>
      </c>
      <c r="D83" t="s">
        <v>1170</v>
      </c>
      <c r="E83" s="5">
        <v>2</v>
      </c>
    </row>
    <row r="85" spans="1:5" x14ac:dyDescent="0.2">
      <c r="A85" t="s">
        <v>1148</v>
      </c>
      <c r="B85" t="s">
        <v>1162</v>
      </c>
      <c r="C85">
        <v>2393018001</v>
      </c>
      <c r="D85" t="s">
        <v>1171</v>
      </c>
      <c r="E85" s="5">
        <v>3</v>
      </c>
    </row>
    <row r="87" spans="1:5" x14ac:dyDescent="0.2">
      <c r="A87" t="s">
        <v>1172</v>
      </c>
      <c r="B87" t="s">
        <v>1173</v>
      </c>
      <c r="C87" t="s">
        <v>1174</v>
      </c>
      <c r="D87" t="s">
        <v>1175</v>
      </c>
      <c r="E87" s="5">
        <v>1</v>
      </c>
    </row>
    <row r="89" spans="1:5" x14ac:dyDescent="0.2">
      <c r="A89" t="s">
        <v>1172</v>
      </c>
      <c r="B89" t="s">
        <v>1173</v>
      </c>
      <c r="C89" t="s">
        <v>1176</v>
      </c>
      <c r="D89" t="s">
        <v>1177</v>
      </c>
      <c r="E89" s="5">
        <v>1</v>
      </c>
    </row>
    <row r="91" spans="1:5" x14ac:dyDescent="0.2">
      <c r="A91" t="s">
        <v>1172</v>
      </c>
      <c r="B91" t="s">
        <v>1178</v>
      </c>
      <c r="C91">
        <v>2398001101</v>
      </c>
      <c r="D91" t="s">
        <v>1179</v>
      </c>
      <c r="E91" s="5">
        <v>39</v>
      </c>
    </row>
    <row r="93" spans="1:5" x14ac:dyDescent="0.2">
      <c r="A93" t="s">
        <v>1172</v>
      </c>
      <c r="B93" t="s">
        <v>1178</v>
      </c>
      <c r="C93">
        <v>2398001201</v>
      </c>
      <c r="D93" t="s">
        <v>1180</v>
      </c>
      <c r="E93" s="5">
        <v>49</v>
      </c>
    </row>
    <row r="95" spans="1:5" x14ac:dyDescent="0.2">
      <c r="A95" t="s">
        <v>1172</v>
      </c>
      <c r="B95" t="s">
        <v>1178</v>
      </c>
      <c r="C95">
        <v>2398001301</v>
      </c>
      <c r="D95" t="s">
        <v>1181</v>
      </c>
      <c r="E95" s="5">
        <v>38</v>
      </c>
    </row>
    <row r="97" spans="1:5" x14ac:dyDescent="0.2">
      <c r="A97" t="s">
        <v>1172</v>
      </c>
      <c r="B97" t="s">
        <v>1178</v>
      </c>
      <c r="C97">
        <v>2398001401</v>
      </c>
      <c r="D97" t="s">
        <v>1182</v>
      </c>
      <c r="E97" s="5">
        <v>39</v>
      </c>
    </row>
    <row r="99" spans="1:5" x14ac:dyDescent="0.2">
      <c r="A99" t="s">
        <v>1172</v>
      </c>
      <c r="B99" t="s">
        <v>1178</v>
      </c>
      <c r="C99">
        <v>2398003001</v>
      </c>
      <c r="D99" t="s">
        <v>1183</v>
      </c>
      <c r="E99" s="5">
        <v>1</v>
      </c>
    </row>
    <row r="101" spans="1:5" x14ac:dyDescent="0.2">
      <c r="A101" t="s">
        <v>1172</v>
      </c>
      <c r="B101" t="s">
        <v>1184</v>
      </c>
      <c r="C101">
        <v>2399000101</v>
      </c>
      <c r="D101" t="s">
        <v>1185</v>
      </c>
      <c r="E101" s="5">
        <v>4</v>
      </c>
    </row>
    <row r="103" spans="1:5" x14ac:dyDescent="0.2">
      <c r="A103" t="s">
        <v>1172</v>
      </c>
      <c r="B103" t="s">
        <v>1184</v>
      </c>
      <c r="C103">
        <v>2399000102</v>
      </c>
      <c r="D103" t="s">
        <v>1186</v>
      </c>
      <c r="E103" s="5">
        <v>5</v>
      </c>
    </row>
    <row r="105" spans="1:5" x14ac:dyDescent="0.2">
      <c r="A105" t="s">
        <v>1172</v>
      </c>
      <c r="B105" t="s">
        <v>1184</v>
      </c>
      <c r="C105">
        <v>2399000103</v>
      </c>
      <c r="D105" t="s">
        <v>1187</v>
      </c>
      <c r="E105" s="5">
        <v>5</v>
      </c>
    </row>
    <row r="107" spans="1:5" x14ac:dyDescent="0.2">
      <c r="A107" t="s">
        <v>1172</v>
      </c>
      <c r="B107" t="s">
        <v>1184</v>
      </c>
      <c r="C107">
        <v>2399000104</v>
      </c>
      <c r="D107" t="s">
        <v>1188</v>
      </c>
      <c r="E107" s="5">
        <v>6</v>
      </c>
    </row>
    <row r="109" spans="1:5" x14ac:dyDescent="0.2">
      <c r="A109" t="s">
        <v>1172</v>
      </c>
      <c r="B109" t="s">
        <v>1184</v>
      </c>
      <c r="C109">
        <v>2399004001</v>
      </c>
      <c r="D109" t="s">
        <v>1189</v>
      </c>
      <c r="E109" s="5">
        <v>1</v>
      </c>
    </row>
    <row r="111" spans="1:5" x14ac:dyDescent="0.2">
      <c r="A111" t="s">
        <v>1172</v>
      </c>
      <c r="B111" t="s">
        <v>1184</v>
      </c>
      <c r="C111">
        <v>2399012001</v>
      </c>
      <c r="D111" t="s">
        <v>1190</v>
      </c>
      <c r="E111" s="5">
        <v>3</v>
      </c>
    </row>
    <row r="113" spans="1:5" x14ac:dyDescent="0.2">
      <c r="A113" t="s">
        <v>1172</v>
      </c>
      <c r="B113" t="s">
        <v>1184</v>
      </c>
      <c r="C113">
        <v>2399014001</v>
      </c>
      <c r="D113" t="s">
        <v>1191</v>
      </c>
      <c r="E113" s="5">
        <v>3</v>
      </c>
    </row>
    <row r="115" spans="1:5" x14ac:dyDescent="0.2">
      <c r="A115" t="s">
        <v>1172</v>
      </c>
      <c r="B115" t="s">
        <v>1184</v>
      </c>
      <c r="C115">
        <v>2399016001</v>
      </c>
      <c r="D115" t="s">
        <v>1192</v>
      </c>
      <c r="E115" s="5">
        <v>3</v>
      </c>
    </row>
    <row r="117" spans="1:5" x14ac:dyDescent="0.2">
      <c r="A117" t="s">
        <v>1172</v>
      </c>
      <c r="B117" t="s">
        <v>1184</v>
      </c>
      <c r="C117">
        <v>2399018001</v>
      </c>
      <c r="D117" t="s">
        <v>1193</v>
      </c>
      <c r="E117" s="5">
        <v>3</v>
      </c>
    </row>
    <row r="119" spans="1:5" x14ac:dyDescent="0.2">
      <c r="A119" t="s">
        <v>1172</v>
      </c>
      <c r="B119" t="s">
        <v>1184</v>
      </c>
      <c r="C119">
        <v>2399028001</v>
      </c>
      <c r="D119" t="s">
        <v>1194</v>
      </c>
      <c r="E119" s="5">
        <v>2</v>
      </c>
    </row>
    <row r="121" spans="1:5" x14ac:dyDescent="0.2">
      <c r="A121" t="s">
        <v>1172</v>
      </c>
      <c r="B121" t="s">
        <v>1184</v>
      </c>
      <c r="C121">
        <v>2399030001</v>
      </c>
      <c r="D121" t="s">
        <v>1195</v>
      </c>
      <c r="E121" s="5">
        <v>2</v>
      </c>
    </row>
    <row r="123" spans="1:5" x14ac:dyDescent="0.2">
      <c r="A123" t="s">
        <v>1172</v>
      </c>
      <c r="B123" t="s">
        <v>1184</v>
      </c>
      <c r="C123">
        <v>2399032001</v>
      </c>
      <c r="D123" t="s">
        <v>1196</v>
      </c>
      <c r="E123" s="5">
        <v>2</v>
      </c>
    </row>
    <row r="125" spans="1:5" x14ac:dyDescent="0.2">
      <c r="A125" t="s">
        <v>1172</v>
      </c>
      <c r="B125" t="s">
        <v>1184</v>
      </c>
      <c r="C125">
        <v>2399034001</v>
      </c>
      <c r="D125" t="s">
        <v>1197</v>
      </c>
      <c r="E125" s="5">
        <v>2</v>
      </c>
    </row>
    <row r="127" spans="1:5" x14ac:dyDescent="0.2">
      <c r="A127" t="s">
        <v>1172</v>
      </c>
      <c r="B127" t="s">
        <v>1198</v>
      </c>
      <c r="C127">
        <v>2400001001</v>
      </c>
      <c r="D127" t="s">
        <v>1199</v>
      </c>
      <c r="E127" s="5">
        <v>3</v>
      </c>
    </row>
    <row r="129" spans="1:5" x14ac:dyDescent="0.2">
      <c r="A129" t="s">
        <v>1172</v>
      </c>
      <c r="B129" t="s">
        <v>1198</v>
      </c>
      <c r="C129">
        <v>2400003001</v>
      </c>
      <c r="D129" t="s">
        <v>1200</v>
      </c>
      <c r="E129" s="5">
        <v>3</v>
      </c>
    </row>
    <row r="131" spans="1:5" x14ac:dyDescent="0.2">
      <c r="A131" t="s">
        <v>1172</v>
      </c>
      <c r="B131" t="s">
        <v>1198</v>
      </c>
      <c r="C131">
        <v>2400005001</v>
      </c>
      <c r="D131" t="s">
        <v>1201</v>
      </c>
      <c r="E131" s="5">
        <v>3</v>
      </c>
    </row>
    <row r="133" spans="1:5" x14ac:dyDescent="0.2">
      <c r="A133" t="s">
        <v>1172</v>
      </c>
      <c r="B133" t="s">
        <v>1198</v>
      </c>
      <c r="C133">
        <v>2400007001</v>
      </c>
      <c r="D133" t="s">
        <v>1202</v>
      </c>
      <c r="E133" s="5">
        <v>3</v>
      </c>
    </row>
    <row r="135" spans="1:5" x14ac:dyDescent="0.2">
      <c r="A135" t="s">
        <v>1172</v>
      </c>
      <c r="B135" t="s">
        <v>1198</v>
      </c>
      <c r="C135">
        <v>2400009001</v>
      </c>
      <c r="D135" t="s">
        <v>1203</v>
      </c>
      <c r="E135" s="5">
        <v>6</v>
      </c>
    </row>
    <row r="137" spans="1:5" x14ac:dyDescent="0.2">
      <c r="A137" t="s">
        <v>1172</v>
      </c>
      <c r="B137" t="s">
        <v>1198</v>
      </c>
      <c r="C137">
        <v>2400011001</v>
      </c>
      <c r="D137" t="s">
        <v>1204</v>
      </c>
      <c r="E137" s="5">
        <v>6</v>
      </c>
    </row>
    <row r="139" spans="1:5" x14ac:dyDescent="0.2">
      <c r="A139" t="s">
        <v>1172</v>
      </c>
      <c r="B139" t="s">
        <v>1198</v>
      </c>
      <c r="C139">
        <v>2400013001</v>
      </c>
      <c r="D139" t="s">
        <v>1205</v>
      </c>
      <c r="E139" s="5">
        <v>6</v>
      </c>
    </row>
    <row r="141" spans="1:5" x14ac:dyDescent="0.2">
      <c r="A141" t="s">
        <v>1172</v>
      </c>
      <c r="B141" t="s">
        <v>1198</v>
      </c>
      <c r="C141">
        <v>2400015001</v>
      </c>
      <c r="D141" t="s">
        <v>1206</v>
      </c>
      <c r="E141" s="5">
        <v>6</v>
      </c>
    </row>
    <row r="143" spans="1:5" x14ac:dyDescent="0.2">
      <c r="A143" t="s">
        <v>1172</v>
      </c>
      <c r="B143" t="s">
        <v>1198</v>
      </c>
      <c r="C143">
        <v>2400017001</v>
      </c>
      <c r="D143" t="s">
        <v>1207</v>
      </c>
      <c r="E143" s="5">
        <v>6</v>
      </c>
    </row>
    <row r="145" spans="1:5" x14ac:dyDescent="0.2">
      <c r="A145" t="s">
        <v>1172</v>
      </c>
      <c r="B145" t="s">
        <v>1198</v>
      </c>
      <c r="C145">
        <v>2400019001</v>
      </c>
      <c r="D145" t="s">
        <v>1208</v>
      </c>
      <c r="E145" s="5">
        <v>6</v>
      </c>
    </row>
    <row r="147" spans="1:5" x14ac:dyDescent="0.2">
      <c r="A147" t="s">
        <v>1172</v>
      </c>
      <c r="B147" t="s">
        <v>1198</v>
      </c>
      <c r="C147">
        <v>2400021001</v>
      </c>
      <c r="D147" t="s">
        <v>1209</v>
      </c>
      <c r="E147" s="5">
        <v>6</v>
      </c>
    </row>
    <row r="149" spans="1:5" x14ac:dyDescent="0.2">
      <c r="A149" t="s">
        <v>1172</v>
      </c>
      <c r="B149" t="s">
        <v>1198</v>
      </c>
      <c r="C149">
        <v>2400023001</v>
      </c>
      <c r="D149" t="s">
        <v>1210</v>
      </c>
      <c r="E149" s="5">
        <v>6</v>
      </c>
    </row>
    <row r="151" spans="1:5" x14ac:dyDescent="0.2">
      <c r="A151" t="s">
        <v>1172</v>
      </c>
      <c r="B151" t="s">
        <v>1211</v>
      </c>
      <c r="C151">
        <v>2401002001</v>
      </c>
      <c r="D151" t="s">
        <v>1212</v>
      </c>
      <c r="E151" s="5">
        <v>6</v>
      </c>
    </row>
    <row r="153" spans="1:5" x14ac:dyDescent="0.2">
      <c r="A153" t="s">
        <v>1172</v>
      </c>
      <c r="B153" t="s">
        <v>1211</v>
      </c>
      <c r="C153">
        <v>2401004001</v>
      </c>
      <c r="D153" t="s">
        <v>1213</v>
      </c>
      <c r="E153" s="5">
        <v>6</v>
      </c>
    </row>
    <row r="155" spans="1:5" x14ac:dyDescent="0.2">
      <c r="A155" t="s">
        <v>1172</v>
      </c>
      <c r="B155" t="s">
        <v>1211</v>
      </c>
      <c r="C155">
        <v>2401010001</v>
      </c>
      <c r="D155" t="s">
        <v>1214</v>
      </c>
      <c r="E155" s="5">
        <v>6</v>
      </c>
    </row>
    <row r="157" spans="1:5" x14ac:dyDescent="0.2">
      <c r="A157" t="s">
        <v>1172</v>
      </c>
      <c r="B157" t="s">
        <v>1211</v>
      </c>
      <c r="C157">
        <v>2401012001</v>
      </c>
      <c r="D157" t="s">
        <v>1215</v>
      </c>
      <c r="E157" s="5">
        <v>6</v>
      </c>
    </row>
    <row r="159" spans="1:5" x14ac:dyDescent="0.2">
      <c r="A159" t="s">
        <v>1172</v>
      </c>
      <c r="B159" t="s">
        <v>1211</v>
      </c>
      <c r="C159">
        <v>2401014001</v>
      </c>
      <c r="D159" t="s">
        <v>1216</v>
      </c>
      <c r="E159" s="5">
        <v>5</v>
      </c>
    </row>
    <row r="161" spans="1:5" x14ac:dyDescent="0.2">
      <c r="A161" t="s">
        <v>1172</v>
      </c>
      <c r="B161" t="s">
        <v>1211</v>
      </c>
      <c r="C161">
        <v>2401016001</v>
      </c>
      <c r="D161" t="s">
        <v>1217</v>
      </c>
      <c r="E161" s="5">
        <v>5</v>
      </c>
    </row>
    <row r="163" spans="1:5" x14ac:dyDescent="0.2">
      <c r="A163" t="s">
        <v>1172</v>
      </c>
      <c r="B163" t="s">
        <v>1211</v>
      </c>
      <c r="C163">
        <v>2401018001</v>
      </c>
      <c r="D163" t="s">
        <v>1218</v>
      </c>
      <c r="E163" s="5">
        <v>5</v>
      </c>
    </row>
    <row r="165" spans="1:5" x14ac:dyDescent="0.2">
      <c r="A165" t="s">
        <v>1172</v>
      </c>
      <c r="B165" t="s">
        <v>1211</v>
      </c>
      <c r="C165">
        <v>2401020001</v>
      </c>
      <c r="D165" t="s">
        <v>1219</v>
      </c>
      <c r="E165" s="5">
        <v>5</v>
      </c>
    </row>
    <row r="167" spans="1:5" x14ac:dyDescent="0.2">
      <c r="A167" t="s">
        <v>1172</v>
      </c>
      <c r="B167" t="s">
        <v>1211</v>
      </c>
      <c r="C167">
        <v>2401022001</v>
      </c>
      <c r="D167" t="s">
        <v>1220</v>
      </c>
      <c r="E167" s="5">
        <v>10</v>
      </c>
    </row>
    <row r="169" spans="1:5" x14ac:dyDescent="0.2">
      <c r="A169" t="s">
        <v>1172</v>
      </c>
      <c r="B169" t="s">
        <v>1211</v>
      </c>
      <c r="C169">
        <v>2401024001</v>
      </c>
      <c r="D169" t="s">
        <v>1221</v>
      </c>
      <c r="E169" s="5">
        <v>10</v>
      </c>
    </row>
    <row r="171" spans="1:5" x14ac:dyDescent="0.2">
      <c r="A171" t="s">
        <v>1172</v>
      </c>
      <c r="B171" t="s">
        <v>1211</v>
      </c>
      <c r="C171">
        <v>2401026001</v>
      </c>
      <c r="D171" t="s">
        <v>1222</v>
      </c>
      <c r="E171" s="5">
        <v>10</v>
      </c>
    </row>
    <row r="173" spans="1:5" x14ac:dyDescent="0.2">
      <c r="A173" t="s">
        <v>1172</v>
      </c>
      <c r="B173" t="s">
        <v>1211</v>
      </c>
      <c r="C173">
        <v>2401028001</v>
      </c>
      <c r="D173" t="s">
        <v>1223</v>
      </c>
      <c r="E173" s="5">
        <v>10</v>
      </c>
    </row>
    <row r="175" spans="1:5" x14ac:dyDescent="0.2">
      <c r="A175" t="s">
        <v>1172</v>
      </c>
      <c r="B175" t="s">
        <v>1211</v>
      </c>
      <c r="C175">
        <v>2401035001</v>
      </c>
      <c r="D175" t="s">
        <v>1224</v>
      </c>
      <c r="E175" s="5">
        <v>29</v>
      </c>
    </row>
    <row r="177" spans="1:5" x14ac:dyDescent="0.2">
      <c r="A177" t="s">
        <v>1172</v>
      </c>
      <c r="B177" t="s">
        <v>1225</v>
      </c>
      <c r="C177">
        <v>2403000001</v>
      </c>
      <c r="D177" t="s">
        <v>1226</v>
      </c>
      <c r="E177" s="5">
        <v>130</v>
      </c>
    </row>
    <row r="179" spans="1:5" x14ac:dyDescent="0.2">
      <c r="A179" t="s">
        <v>1172</v>
      </c>
      <c r="B179" t="s">
        <v>1225</v>
      </c>
      <c r="C179">
        <v>2403000002</v>
      </c>
      <c r="D179" t="s">
        <v>1227</v>
      </c>
      <c r="E179" s="5">
        <v>738</v>
      </c>
    </row>
    <row r="181" spans="1:5" x14ac:dyDescent="0.2">
      <c r="A181" t="s">
        <v>1172</v>
      </c>
      <c r="B181" t="s">
        <v>1225</v>
      </c>
      <c r="C181">
        <v>2403008001</v>
      </c>
      <c r="D181" t="s">
        <v>1228</v>
      </c>
      <c r="E181" s="5">
        <v>3</v>
      </c>
    </row>
    <row r="183" spans="1:5" x14ac:dyDescent="0.2">
      <c r="A183" t="s">
        <v>1172</v>
      </c>
      <c r="B183" t="s">
        <v>1229</v>
      </c>
      <c r="C183">
        <v>2404000007</v>
      </c>
      <c r="D183" t="s">
        <v>1230</v>
      </c>
      <c r="E183" s="5">
        <v>23</v>
      </c>
    </row>
    <row r="185" spans="1:5" x14ac:dyDescent="0.2">
      <c r="A185" t="s">
        <v>1172</v>
      </c>
      <c r="B185" t="s">
        <v>1229</v>
      </c>
      <c r="C185">
        <v>2404000008</v>
      </c>
      <c r="D185" t="s">
        <v>1231</v>
      </c>
      <c r="E185" s="5">
        <v>8</v>
      </c>
    </row>
    <row r="187" spans="1:5" x14ac:dyDescent="0.2">
      <c r="A187" t="s">
        <v>1172</v>
      </c>
      <c r="B187" t="s">
        <v>1229</v>
      </c>
      <c r="C187">
        <v>2404005001</v>
      </c>
      <c r="D187" t="s">
        <v>1232</v>
      </c>
      <c r="E187" s="5">
        <v>2</v>
      </c>
    </row>
    <row r="189" spans="1:5" x14ac:dyDescent="0.2">
      <c r="A189" t="s">
        <v>1172</v>
      </c>
      <c r="B189" t="s">
        <v>1229</v>
      </c>
      <c r="C189">
        <v>2404007001</v>
      </c>
      <c r="D189" t="s">
        <v>1233</v>
      </c>
      <c r="E189" s="5">
        <v>2</v>
      </c>
    </row>
    <row r="191" spans="1:5" x14ac:dyDescent="0.2">
      <c r="A191" t="s">
        <v>1172</v>
      </c>
      <c r="B191" t="s">
        <v>1229</v>
      </c>
      <c r="C191">
        <v>2404009001</v>
      </c>
      <c r="D191" t="s">
        <v>1234</v>
      </c>
      <c r="E191" s="5">
        <v>2</v>
      </c>
    </row>
    <row r="193" spans="1:5" x14ac:dyDescent="0.2">
      <c r="A193" t="s">
        <v>1172</v>
      </c>
      <c r="B193" t="s">
        <v>1229</v>
      </c>
      <c r="C193">
        <v>2404011001</v>
      </c>
      <c r="D193" t="s">
        <v>1235</v>
      </c>
      <c r="E193" s="5">
        <v>2</v>
      </c>
    </row>
    <row r="195" spans="1:5" x14ac:dyDescent="0.2">
      <c r="A195" t="s">
        <v>1172</v>
      </c>
      <c r="B195" t="s">
        <v>1229</v>
      </c>
      <c r="C195">
        <v>2404015001</v>
      </c>
      <c r="D195" t="s">
        <v>1224</v>
      </c>
      <c r="E195" s="5">
        <v>2</v>
      </c>
    </row>
    <row r="197" spans="1:5" x14ac:dyDescent="0.2">
      <c r="A197" t="s">
        <v>1172</v>
      </c>
      <c r="B197" t="s">
        <v>1229</v>
      </c>
      <c r="C197">
        <v>2404016001</v>
      </c>
      <c r="D197" t="s">
        <v>1236</v>
      </c>
      <c r="E197" s="5">
        <v>6</v>
      </c>
    </row>
    <row r="199" spans="1:5" x14ac:dyDescent="0.2">
      <c r="A199" t="s">
        <v>1172</v>
      </c>
      <c r="B199" t="s">
        <v>1229</v>
      </c>
      <c r="C199">
        <v>2404017001</v>
      </c>
      <c r="D199" t="s">
        <v>1237</v>
      </c>
      <c r="E199" s="5">
        <v>11</v>
      </c>
    </row>
    <row r="201" spans="1:5" x14ac:dyDescent="0.2">
      <c r="A201" t="s">
        <v>1172</v>
      </c>
      <c r="B201" t="s">
        <v>1238</v>
      </c>
      <c r="C201">
        <v>2406000002</v>
      </c>
      <c r="D201" t="s">
        <v>1239</v>
      </c>
      <c r="E201" s="5">
        <v>27</v>
      </c>
    </row>
    <row r="203" spans="1:5" x14ac:dyDescent="0.2">
      <c r="A203" t="s">
        <v>1172</v>
      </c>
      <c r="B203" t="s">
        <v>1238</v>
      </c>
      <c r="C203">
        <v>2406000007</v>
      </c>
      <c r="D203" t="s">
        <v>1240</v>
      </c>
      <c r="E203" s="5">
        <v>14</v>
      </c>
    </row>
    <row r="205" spans="1:5" x14ac:dyDescent="0.2">
      <c r="A205" t="s">
        <v>1172</v>
      </c>
      <c r="B205" t="s">
        <v>1238</v>
      </c>
      <c r="C205">
        <v>2406000008</v>
      </c>
      <c r="D205" t="s">
        <v>1189</v>
      </c>
      <c r="E205" s="5">
        <v>16</v>
      </c>
    </row>
    <row r="207" spans="1:5" x14ac:dyDescent="0.2">
      <c r="A207" t="s">
        <v>1172</v>
      </c>
      <c r="B207" t="s">
        <v>1238</v>
      </c>
      <c r="C207">
        <v>2406000012</v>
      </c>
      <c r="D207" t="s">
        <v>1241</v>
      </c>
      <c r="E207" s="5">
        <v>5</v>
      </c>
    </row>
    <row r="209" spans="1:5" x14ac:dyDescent="0.2">
      <c r="A209" t="s">
        <v>1172</v>
      </c>
      <c r="B209" t="s">
        <v>1238</v>
      </c>
      <c r="C209">
        <v>2406000013</v>
      </c>
      <c r="D209" t="s">
        <v>1242</v>
      </c>
      <c r="E209" s="5">
        <v>8</v>
      </c>
    </row>
    <row r="211" spans="1:5" x14ac:dyDescent="0.2">
      <c r="A211" t="s">
        <v>1172</v>
      </c>
      <c r="B211" t="s">
        <v>1238</v>
      </c>
      <c r="C211">
        <v>2406007001</v>
      </c>
      <c r="D211" t="s">
        <v>1183</v>
      </c>
      <c r="E211" s="5">
        <v>2</v>
      </c>
    </row>
    <row r="213" spans="1:5" x14ac:dyDescent="0.2">
      <c r="A213" t="s">
        <v>1172</v>
      </c>
      <c r="B213" t="s">
        <v>1238</v>
      </c>
      <c r="C213">
        <v>2406008001</v>
      </c>
      <c r="D213" t="s">
        <v>1243</v>
      </c>
      <c r="E213" s="5">
        <v>2</v>
      </c>
    </row>
    <row r="215" spans="1:5" x14ac:dyDescent="0.2">
      <c r="A215" t="s">
        <v>1172</v>
      </c>
      <c r="B215" t="s">
        <v>1238</v>
      </c>
      <c r="C215">
        <v>2406009001</v>
      </c>
      <c r="D215" t="s">
        <v>1244</v>
      </c>
      <c r="E215" s="5">
        <v>2</v>
      </c>
    </row>
    <row r="217" spans="1:5" x14ac:dyDescent="0.2">
      <c r="A217" t="s">
        <v>1172</v>
      </c>
      <c r="B217" t="s">
        <v>1245</v>
      </c>
      <c r="C217">
        <v>2408000001</v>
      </c>
      <c r="D217" t="s">
        <v>1226</v>
      </c>
      <c r="E217" s="5">
        <v>425</v>
      </c>
    </row>
    <row r="219" spans="1:5" x14ac:dyDescent="0.2">
      <c r="A219" t="s">
        <v>1172</v>
      </c>
      <c r="B219" t="s">
        <v>1245</v>
      </c>
      <c r="C219">
        <v>2408000002</v>
      </c>
      <c r="D219" t="s">
        <v>1227</v>
      </c>
      <c r="E219" s="5">
        <v>485</v>
      </c>
    </row>
    <row r="221" spans="1:5" x14ac:dyDescent="0.2">
      <c r="A221" t="s">
        <v>1172</v>
      </c>
      <c r="B221" t="s">
        <v>1245</v>
      </c>
      <c r="C221">
        <v>2408007001</v>
      </c>
      <c r="D221" t="s">
        <v>1246</v>
      </c>
      <c r="E221" s="5">
        <v>1</v>
      </c>
    </row>
    <row r="223" spans="1:5" x14ac:dyDescent="0.2">
      <c r="A223" t="s">
        <v>1172</v>
      </c>
      <c r="B223" t="s">
        <v>1247</v>
      </c>
      <c r="C223">
        <v>2410002001</v>
      </c>
      <c r="D223" t="s">
        <v>1248</v>
      </c>
      <c r="E223" s="5">
        <v>3</v>
      </c>
    </row>
    <row r="225" spans="1:5" x14ac:dyDescent="0.2">
      <c r="A225" t="s">
        <v>1172</v>
      </c>
      <c r="B225" t="s">
        <v>1249</v>
      </c>
      <c r="C225">
        <v>2411000001</v>
      </c>
      <c r="D225" t="s">
        <v>1226</v>
      </c>
      <c r="E225" s="5">
        <v>27</v>
      </c>
    </row>
    <row r="227" spans="1:5" x14ac:dyDescent="0.2">
      <c r="A227" t="s">
        <v>1172</v>
      </c>
      <c r="B227" t="s">
        <v>1249</v>
      </c>
      <c r="C227">
        <v>2411000002</v>
      </c>
      <c r="D227" t="s">
        <v>1227</v>
      </c>
      <c r="E227" s="5">
        <v>25</v>
      </c>
    </row>
    <row r="229" spans="1:5" x14ac:dyDescent="0.2">
      <c r="A229" t="s">
        <v>1172</v>
      </c>
      <c r="B229" t="s">
        <v>1249</v>
      </c>
      <c r="C229">
        <v>2411000003</v>
      </c>
      <c r="D229" t="s">
        <v>1250</v>
      </c>
      <c r="E229" s="5">
        <v>33</v>
      </c>
    </row>
    <row r="231" spans="1:5" x14ac:dyDescent="0.2">
      <c r="A231" t="s">
        <v>1172</v>
      </c>
      <c r="B231" t="s">
        <v>1249</v>
      </c>
      <c r="C231">
        <v>2411000004</v>
      </c>
      <c r="D231" t="s">
        <v>1251</v>
      </c>
      <c r="E231" s="5">
        <v>56</v>
      </c>
    </row>
    <row r="233" spans="1:5" x14ac:dyDescent="0.2">
      <c r="A233" t="s">
        <v>1172</v>
      </c>
      <c r="B233" t="s">
        <v>1249</v>
      </c>
      <c r="C233">
        <v>2411012001</v>
      </c>
      <c r="D233" t="s">
        <v>1252</v>
      </c>
      <c r="E233" s="5">
        <v>1</v>
      </c>
    </row>
    <row r="235" spans="1:5" x14ac:dyDescent="0.2">
      <c r="A235" t="s">
        <v>1253</v>
      </c>
      <c r="B235" t="s">
        <v>1254</v>
      </c>
      <c r="C235">
        <v>2434005001</v>
      </c>
      <c r="D235" t="s">
        <v>1255</v>
      </c>
      <c r="E235" s="5">
        <v>9</v>
      </c>
    </row>
    <row r="237" spans="1:5" x14ac:dyDescent="0.2">
      <c r="A237" t="s">
        <v>1253</v>
      </c>
      <c r="B237" t="s">
        <v>1254</v>
      </c>
      <c r="C237">
        <v>2434006001</v>
      </c>
      <c r="D237" t="s">
        <v>1256</v>
      </c>
      <c r="E237" s="5">
        <v>26</v>
      </c>
    </row>
    <row r="239" spans="1:5" x14ac:dyDescent="0.2">
      <c r="A239" t="s">
        <v>1122</v>
      </c>
      <c r="B239" t="s">
        <v>1257</v>
      </c>
      <c r="C239">
        <v>5083004001</v>
      </c>
      <c r="D239" t="s">
        <v>1258</v>
      </c>
      <c r="E239" s="5">
        <v>8</v>
      </c>
    </row>
    <row r="241" spans="1:5" x14ac:dyDescent="0.2">
      <c r="A241" t="s">
        <v>1253</v>
      </c>
      <c r="B241" t="s">
        <v>1259</v>
      </c>
      <c r="C241">
        <v>6776002001</v>
      </c>
      <c r="D241" t="s">
        <v>1260</v>
      </c>
      <c r="E241" s="5">
        <v>7</v>
      </c>
    </row>
    <row r="243" spans="1:5" x14ac:dyDescent="0.2">
      <c r="A243" t="s">
        <v>1148</v>
      </c>
      <c r="B243" t="s">
        <v>1261</v>
      </c>
      <c r="C243">
        <v>7138002001</v>
      </c>
      <c r="D243" t="s">
        <v>1262</v>
      </c>
      <c r="E243" s="5">
        <v>12</v>
      </c>
    </row>
    <row r="245" spans="1:5" x14ac:dyDescent="0.2">
      <c r="A245" t="s">
        <v>1148</v>
      </c>
      <c r="B245" t="s">
        <v>1261</v>
      </c>
      <c r="C245">
        <v>7138003001</v>
      </c>
      <c r="D245" t="s">
        <v>1263</v>
      </c>
      <c r="E245" s="5">
        <v>13</v>
      </c>
    </row>
    <row r="247" spans="1:5" x14ac:dyDescent="0.2">
      <c r="A247" t="s">
        <v>1122</v>
      </c>
      <c r="B247" t="s">
        <v>1264</v>
      </c>
      <c r="C247">
        <v>7288000001</v>
      </c>
      <c r="D247" t="s">
        <v>1265</v>
      </c>
      <c r="E247" s="5">
        <v>25</v>
      </c>
    </row>
    <row r="249" spans="1:5" x14ac:dyDescent="0.2">
      <c r="A249" t="s">
        <v>1122</v>
      </c>
      <c r="B249" t="s">
        <v>1266</v>
      </c>
      <c r="C249">
        <v>8008001001</v>
      </c>
      <c r="D249" t="s">
        <v>1267</v>
      </c>
      <c r="E249" s="5">
        <v>10</v>
      </c>
    </row>
    <row r="251" spans="1:5" x14ac:dyDescent="0.2">
      <c r="A251" t="s">
        <v>1148</v>
      </c>
      <c r="B251" t="s">
        <v>1268</v>
      </c>
      <c r="C251">
        <v>8227003001</v>
      </c>
      <c r="D251" t="s">
        <v>1269</v>
      </c>
      <c r="E251" s="5">
        <v>4</v>
      </c>
    </row>
    <row r="253" spans="1:5" x14ac:dyDescent="0.2">
      <c r="A253" t="s">
        <v>1148</v>
      </c>
      <c r="B253" t="s">
        <v>1268</v>
      </c>
      <c r="C253">
        <v>8227004001</v>
      </c>
      <c r="D253" t="s">
        <v>1270</v>
      </c>
      <c r="E253" s="5">
        <v>4</v>
      </c>
    </row>
    <row r="255" spans="1:5" x14ac:dyDescent="0.2">
      <c r="A255" t="s">
        <v>1148</v>
      </c>
      <c r="B255" t="s">
        <v>1268</v>
      </c>
      <c r="C255">
        <v>8227005001</v>
      </c>
      <c r="D255" t="s">
        <v>1271</v>
      </c>
      <c r="E255" s="5">
        <v>4</v>
      </c>
    </row>
    <row r="257" spans="1:5" x14ac:dyDescent="0.2">
      <c r="A257" t="s">
        <v>1148</v>
      </c>
      <c r="B257" t="s">
        <v>1268</v>
      </c>
      <c r="C257">
        <v>8227006001</v>
      </c>
      <c r="D257" t="s">
        <v>1272</v>
      </c>
      <c r="E257" s="5">
        <v>4</v>
      </c>
    </row>
    <row r="259" spans="1:5" x14ac:dyDescent="0.2">
      <c r="A259" t="s">
        <v>1148</v>
      </c>
      <c r="B259" t="s">
        <v>1268</v>
      </c>
      <c r="C259">
        <v>8227007001</v>
      </c>
      <c r="D259" t="s">
        <v>1273</v>
      </c>
      <c r="E259" s="5">
        <v>5</v>
      </c>
    </row>
    <row r="261" spans="1:5" x14ac:dyDescent="0.2">
      <c r="A261" t="s">
        <v>1148</v>
      </c>
      <c r="B261" t="s">
        <v>1268</v>
      </c>
      <c r="C261">
        <v>8227008001</v>
      </c>
      <c r="D261" t="s">
        <v>1274</v>
      </c>
      <c r="E261" s="5">
        <v>5</v>
      </c>
    </row>
    <row r="263" spans="1:5" x14ac:dyDescent="0.2">
      <c r="A263" t="s">
        <v>1148</v>
      </c>
      <c r="B263" t="s">
        <v>1268</v>
      </c>
      <c r="C263">
        <v>8227009001</v>
      </c>
      <c r="D263" t="s">
        <v>1275</v>
      </c>
      <c r="E263" s="5">
        <v>4</v>
      </c>
    </row>
    <row r="265" spans="1:5" x14ac:dyDescent="0.2">
      <c r="A265" t="s">
        <v>1148</v>
      </c>
      <c r="B265" t="s">
        <v>1268</v>
      </c>
      <c r="C265">
        <v>8227010001</v>
      </c>
      <c r="D265" t="s">
        <v>1276</v>
      </c>
      <c r="E265" s="5">
        <v>4</v>
      </c>
    </row>
    <row r="267" spans="1:5" x14ac:dyDescent="0.2">
      <c r="A267" t="s">
        <v>1277</v>
      </c>
      <c r="B267" t="s">
        <v>1278</v>
      </c>
      <c r="C267">
        <v>10043001001</v>
      </c>
      <c r="D267" t="s">
        <v>1279</v>
      </c>
      <c r="E267" s="5">
        <v>358</v>
      </c>
    </row>
    <row r="269" spans="1:5" x14ac:dyDescent="0.2">
      <c r="A269" t="s">
        <v>1122</v>
      </c>
      <c r="B269" t="s">
        <v>1280</v>
      </c>
      <c r="C269">
        <v>10099001001</v>
      </c>
      <c r="D269" t="s">
        <v>1281</v>
      </c>
      <c r="E269" s="5">
        <v>26</v>
      </c>
    </row>
    <row r="271" spans="1:5" x14ac:dyDescent="0.2">
      <c r="A271" t="s">
        <v>1282</v>
      </c>
      <c r="C271">
        <v>10308001001</v>
      </c>
      <c r="D271" t="s">
        <v>1283</v>
      </c>
      <c r="E271" s="5">
        <v>167</v>
      </c>
    </row>
    <row r="273" spans="1:5" x14ac:dyDescent="0.2">
      <c r="A273" t="s">
        <v>1282</v>
      </c>
      <c r="C273">
        <v>10308001002</v>
      </c>
      <c r="D273" t="s">
        <v>1284</v>
      </c>
      <c r="E273" s="5">
        <v>172</v>
      </c>
    </row>
    <row r="275" spans="1:5" x14ac:dyDescent="0.2">
      <c r="A275" t="s">
        <v>1285</v>
      </c>
      <c r="B275" t="s">
        <v>1286</v>
      </c>
      <c r="C275">
        <v>10566001001</v>
      </c>
      <c r="D275" t="s">
        <v>1287</v>
      </c>
      <c r="E275" s="5">
        <v>203</v>
      </c>
    </row>
    <row r="277" spans="1:5" x14ac:dyDescent="0.2">
      <c r="A277" t="s">
        <v>1285</v>
      </c>
      <c r="B277" t="s">
        <v>1286</v>
      </c>
      <c r="C277">
        <v>10566002001</v>
      </c>
      <c r="D277" t="s">
        <v>1288</v>
      </c>
      <c r="E277" s="5">
        <v>204</v>
      </c>
    </row>
    <row r="279" spans="1:5" x14ac:dyDescent="0.2">
      <c r="A279" t="s">
        <v>1289</v>
      </c>
      <c r="B279" t="s">
        <v>1290</v>
      </c>
      <c r="C279">
        <v>10616001001</v>
      </c>
      <c r="D279" t="s">
        <v>1291</v>
      </c>
      <c r="E279" s="5">
        <v>91</v>
      </c>
    </row>
    <row r="281" spans="1:5" x14ac:dyDescent="0.2">
      <c r="A281" t="s">
        <v>1289</v>
      </c>
      <c r="B281" t="s">
        <v>1290</v>
      </c>
      <c r="C281">
        <v>10616001002</v>
      </c>
      <c r="D281" t="s">
        <v>1292</v>
      </c>
      <c r="E281" s="5">
        <v>4</v>
      </c>
    </row>
    <row r="283" spans="1:5" x14ac:dyDescent="0.2">
      <c r="A283" t="s">
        <v>1293</v>
      </c>
      <c r="B283" t="s">
        <v>1294</v>
      </c>
      <c r="C283">
        <v>10751002001</v>
      </c>
      <c r="D283" t="s">
        <v>1295</v>
      </c>
      <c r="E283" s="5">
        <v>66</v>
      </c>
    </row>
    <row r="285" spans="1:5" x14ac:dyDescent="0.2">
      <c r="A285" t="s">
        <v>1296</v>
      </c>
      <c r="B285" t="s">
        <v>1297</v>
      </c>
      <c r="C285">
        <v>10805002001</v>
      </c>
      <c r="D285" t="s">
        <v>1298</v>
      </c>
      <c r="E285" s="5">
        <v>54</v>
      </c>
    </row>
    <row r="287" spans="1:5" x14ac:dyDescent="0.2">
      <c r="A287" t="s">
        <v>1293</v>
      </c>
      <c r="B287" t="s">
        <v>1238</v>
      </c>
      <c r="C287">
        <v>50006005001</v>
      </c>
      <c r="D287" t="s">
        <v>1299</v>
      </c>
      <c r="E287" s="5">
        <v>39</v>
      </c>
    </row>
    <row r="289" spans="1:5" x14ac:dyDescent="0.2">
      <c r="A289" t="s">
        <v>1293</v>
      </c>
      <c r="B289" t="s">
        <v>1238</v>
      </c>
      <c r="C289">
        <v>50006006001</v>
      </c>
      <c r="D289" t="s">
        <v>1300</v>
      </c>
      <c r="E289" s="5">
        <v>38</v>
      </c>
    </row>
    <row r="291" spans="1:5" x14ac:dyDescent="0.2">
      <c r="A291" t="s">
        <v>1293</v>
      </c>
      <c r="B291" t="s">
        <v>1238</v>
      </c>
      <c r="C291">
        <v>50006007001</v>
      </c>
      <c r="D291" t="s">
        <v>1301</v>
      </c>
      <c r="E291" s="5">
        <v>39</v>
      </c>
    </row>
    <row r="293" spans="1:5" x14ac:dyDescent="0.2">
      <c r="A293" t="s">
        <v>1293</v>
      </c>
      <c r="B293" t="s">
        <v>1238</v>
      </c>
      <c r="C293">
        <v>50006008001</v>
      </c>
      <c r="D293" t="s">
        <v>1302</v>
      </c>
      <c r="E293" s="5">
        <v>40</v>
      </c>
    </row>
    <row r="295" spans="1:5" x14ac:dyDescent="0.2">
      <c r="A295" t="s">
        <v>1293</v>
      </c>
      <c r="B295" t="s">
        <v>1238</v>
      </c>
      <c r="C295">
        <v>50006009001</v>
      </c>
      <c r="D295" t="s">
        <v>1303</v>
      </c>
      <c r="E295" s="5">
        <v>39</v>
      </c>
    </row>
    <row r="297" spans="1:5" x14ac:dyDescent="0.2">
      <c r="A297" t="s">
        <v>1304</v>
      </c>
      <c r="B297" t="s">
        <v>1304</v>
      </c>
      <c r="C297">
        <v>50385001001</v>
      </c>
      <c r="D297" t="s">
        <v>1305</v>
      </c>
      <c r="E297" s="5">
        <v>21</v>
      </c>
    </row>
    <row r="299" spans="1:5" x14ac:dyDescent="0.2">
      <c r="A299" t="s">
        <v>1304</v>
      </c>
      <c r="B299" t="s">
        <v>1304</v>
      </c>
      <c r="C299">
        <v>50385002001</v>
      </c>
      <c r="D299" t="s">
        <v>1305</v>
      </c>
      <c r="E299" s="5">
        <v>21</v>
      </c>
    </row>
    <row r="301" spans="1:5" x14ac:dyDescent="0.2">
      <c r="A301" t="s">
        <v>1293</v>
      </c>
      <c r="B301" t="s">
        <v>1173</v>
      </c>
      <c r="C301">
        <v>50497001001</v>
      </c>
      <c r="D301" t="s">
        <v>1306</v>
      </c>
      <c r="E301" s="5">
        <v>26</v>
      </c>
    </row>
    <row r="303" spans="1:5" x14ac:dyDescent="0.2">
      <c r="A303" t="s">
        <v>1293</v>
      </c>
      <c r="B303" t="s">
        <v>1173</v>
      </c>
      <c r="C303">
        <v>50497002001</v>
      </c>
      <c r="D303" t="s">
        <v>1307</v>
      </c>
      <c r="E303" s="5">
        <v>27</v>
      </c>
    </row>
    <row r="305" spans="1:5" x14ac:dyDescent="0.2">
      <c r="A305" t="s">
        <v>1293</v>
      </c>
      <c r="B305" t="s">
        <v>1173</v>
      </c>
      <c r="C305">
        <v>50497004001</v>
      </c>
      <c r="D305" t="s">
        <v>1308</v>
      </c>
      <c r="E305" s="5">
        <v>26</v>
      </c>
    </row>
    <row r="307" spans="1:5" x14ac:dyDescent="0.2">
      <c r="A307" t="s">
        <v>1309</v>
      </c>
      <c r="B307" t="s">
        <v>1310</v>
      </c>
      <c r="C307">
        <v>50561001001</v>
      </c>
      <c r="D307" t="s">
        <v>1311</v>
      </c>
      <c r="E307" s="5">
        <v>161</v>
      </c>
    </row>
    <row r="309" spans="1:5" x14ac:dyDescent="0.2">
      <c r="A309" t="s">
        <v>1309</v>
      </c>
      <c r="B309" t="s">
        <v>1310</v>
      </c>
      <c r="C309">
        <v>50561001002</v>
      </c>
      <c r="D309" t="s">
        <v>1312</v>
      </c>
      <c r="E309" s="5">
        <v>21</v>
      </c>
    </row>
    <row r="311" spans="1:5" x14ac:dyDescent="0.2">
      <c r="A311" t="s">
        <v>1309</v>
      </c>
      <c r="B311" t="s">
        <v>1310</v>
      </c>
      <c r="C311">
        <v>50561002001</v>
      </c>
      <c r="D311" t="s">
        <v>1313</v>
      </c>
      <c r="E311" s="5">
        <v>161</v>
      </c>
    </row>
    <row r="313" spans="1:5" x14ac:dyDescent="0.2">
      <c r="A313" t="s">
        <v>1309</v>
      </c>
      <c r="B313" t="s">
        <v>1310</v>
      </c>
      <c r="C313">
        <v>50561002002</v>
      </c>
      <c r="D313" t="s">
        <v>1314</v>
      </c>
      <c r="E313" s="5">
        <v>21</v>
      </c>
    </row>
    <row r="315" spans="1:5" x14ac:dyDescent="0.2">
      <c r="A315" t="s">
        <v>1315</v>
      </c>
      <c r="B315" t="s">
        <v>1316</v>
      </c>
      <c r="C315">
        <v>50561086001</v>
      </c>
      <c r="D315" t="s">
        <v>1317</v>
      </c>
      <c r="E315" s="5">
        <v>62</v>
      </c>
    </row>
    <row r="317" spans="1:5" x14ac:dyDescent="0.2">
      <c r="A317" t="s">
        <v>1315</v>
      </c>
      <c r="B317" t="s">
        <v>1316</v>
      </c>
      <c r="C317">
        <v>50561087001</v>
      </c>
      <c r="D317" t="s">
        <v>1317</v>
      </c>
      <c r="E317" s="5">
        <v>67</v>
      </c>
    </row>
    <row r="319" spans="1:5" x14ac:dyDescent="0.2">
      <c r="A319" t="s">
        <v>1315</v>
      </c>
      <c r="B319" t="s">
        <v>1316</v>
      </c>
      <c r="C319">
        <v>50561088001</v>
      </c>
      <c r="D319" t="s">
        <v>1318</v>
      </c>
      <c r="E319" s="5">
        <v>36</v>
      </c>
    </row>
    <row r="321" spans="1:5" x14ac:dyDescent="0.2">
      <c r="A321" t="s">
        <v>1319</v>
      </c>
      <c r="B321" t="s">
        <v>1320</v>
      </c>
      <c r="C321">
        <v>50628748001</v>
      </c>
      <c r="D321" t="s">
        <v>1321</v>
      </c>
      <c r="E321" s="5">
        <v>36</v>
      </c>
    </row>
    <row r="323" spans="1:5" x14ac:dyDescent="0.2">
      <c r="A323" t="s">
        <v>1319</v>
      </c>
      <c r="B323" t="s">
        <v>1320</v>
      </c>
      <c r="C323">
        <v>50628749001</v>
      </c>
      <c r="D323" t="s">
        <v>1322</v>
      </c>
      <c r="E323" s="5">
        <v>67</v>
      </c>
    </row>
    <row r="325" spans="1:5" x14ac:dyDescent="0.2">
      <c r="A325" t="s">
        <v>1319</v>
      </c>
      <c r="B325" t="s">
        <v>1320</v>
      </c>
      <c r="C325">
        <v>50628749002</v>
      </c>
      <c r="D325" t="s">
        <v>1292</v>
      </c>
      <c r="E325" s="5">
        <v>44</v>
      </c>
    </row>
    <row r="327" spans="1:5" x14ac:dyDescent="0.2">
      <c r="A327" t="s">
        <v>1319</v>
      </c>
      <c r="B327" t="s">
        <v>1320</v>
      </c>
      <c r="C327">
        <v>50628751001</v>
      </c>
      <c r="D327" t="s">
        <v>1323</v>
      </c>
      <c r="E327" s="5">
        <v>35</v>
      </c>
    </row>
    <row r="329" spans="1:5" x14ac:dyDescent="0.2">
      <c r="A329" t="s">
        <v>1319</v>
      </c>
      <c r="B329" t="s">
        <v>1320</v>
      </c>
      <c r="C329">
        <v>50628752001</v>
      </c>
      <c r="D329" t="s">
        <v>1324</v>
      </c>
      <c r="E329" s="5">
        <v>37</v>
      </c>
    </row>
    <row r="331" spans="1:5" x14ac:dyDescent="0.2">
      <c r="A331" t="s">
        <v>1325</v>
      </c>
      <c r="B331" t="s">
        <v>1326</v>
      </c>
      <c r="C331">
        <v>50797001001</v>
      </c>
      <c r="D331" t="s">
        <v>1327</v>
      </c>
      <c r="E331" s="5">
        <v>56</v>
      </c>
    </row>
    <row r="333" spans="1:5" x14ac:dyDescent="0.2">
      <c r="A333" t="s">
        <v>1325</v>
      </c>
      <c r="B333" t="s">
        <v>1328</v>
      </c>
      <c r="C333">
        <v>50799001001</v>
      </c>
      <c r="D333" t="s">
        <v>1329</v>
      </c>
      <c r="E333" s="5">
        <v>19</v>
      </c>
    </row>
    <row r="335" spans="1:5" x14ac:dyDescent="0.2">
      <c r="A335" t="s">
        <v>1325</v>
      </c>
      <c r="B335" t="s">
        <v>1328</v>
      </c>
      <c r="C335">
        <v>50799003001</v>
      </c>
      <c r="D335" t="s">
        <v>1330</v>
      </c>
      <c r="E335" s="5">
        <v>18</v>
      </c>
    </row>
    <row r="337" spans="1:5" x14ac:dyDescent="0.2">
      <c r="A337" t="s">
        <v>1331</v>
      </c>
      <c r="B337" t="s">
        <v>1332</v>
      </c>
      <c r="C337">
        <v>50852002001</v>
      </c>
      <c r="D337" t="s">
        <v>1333</v>
      </c>
      <c r="E337" s="5">
        <v>106</v>
      </c>
    </row>
    <row r="339" spans="1:5" x14ac:dyDescent="0.2">
      <c r="A339" t="s">
        <v>1334</v>
      </c>
      <c r="B339" t="s">
        <v>1335</v>
      </c>
      <c r="C339">
        <v>54416189001</v>
      </c>
      <c r="D339" t="s">
        <v>1336</v>
      </c>
      <c r="E339" s="5">
        <v>91</v>
      </c>
    </row>
    <row r="341" spans="1:5" x14ac:dyDescent="0.2">
      <c r="A341" t="s">
        <v>1337</v>
      </c>
      <c r="B341" t="s">
        <v>1337</v>
      </c>
      <c r="C341">
        <v>54640001001</v>
      </c>
      <c r="D341" t="s">
        <v>1338</v>
      </c>
      <c r="E341" s="5">
        <v>16</v>
      </c>
    </row>
    <row r="343" spans="1:5" x14ac:dyDescent="0.2">
      <c r="A343" t="s">
        <v>1337</v>
      </c>
      <c r="B343" t="s">
        <v>1337</v>
      </c>
      <c r="C343">
        <v>54640002001</v>
      </c>
      <c r="D343" t="s">
        <v>1339</v>
      </c>
      <c r="E343" s="5">
        <v>16</v>
      </c>
    </row>
    <row r="345" spans="1:5" x14ac:dyDescent="0.2">
      <c r="A345" t="s">
        <v>1122</v>
      </c>
      <c r="B345" t="s">
        <v>1340</v>
      </c>
      <c r="C345">
        <v>54807001001</v>
      </c>
      <c r="D345" t="s">
        <v>1341</v>
      </c>
      <c r="E345" s="5">
        <v>7</v>
      </c>
    </row>
    <row r="347" spans="1:5" x14ac:dyDescent="0.2">
      <c r="A347" t="s">
        <v>1342</v>
      </c>
      <c r="C347">
        <v>880016010001</v>
      </c>
      <c r="D347" t="s">
        <v>1343</v>
      </c>
      <c r="E347" s="5">
        <v>129</v>
      </c>
    </row>
    <row r="349" spans="1:5" x14ac:dyDescent="0.2">
      <c r="A349" t="s">
        <v>1342</v>
      </c>
      <c r="C349">
        <v>880016010003</v>
      </c>
      <c r="D349" t="s">
        <v>1344</v>
      </c>
      <c r="E349" s="5">
        <v>137</v>
      </c>
    </row>
    <row r="351" spans="1:5" x14ac:dyDescent="0.2">
      <c r="A351" t="s">
        <v>1342</v>
      </c>
      <c r="C351" t="s">
        <v>1345</v>
      </c>
      <c r="D351" t="s">
        <v>1346</v>
      </c>
      <c r="E351" s="5">
        <v>45</v>
      </c>
    </row>
    <row r="353" spans="3:5" x14ac:dyDescent="0.2">
      <c r="C353" t="s">
        <v>1012</v>
      </c>
      <c r="E353" s="5">
        <v>8200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J417"/>
  <sheetViews>
    <sheetView showOutlineSymbols="0" zoomScale="87" zoomScaleNormal="87" workbookViewId="0">
      <pane ySplit="18" topLeftCell="A378" activePane="bottomLeft" state="frozen"/>
      <selection activeCell="O1" sqref="O1"/>
      <selection pane="bottomLeft" activeCell="B330" sqref="B330"/>
    </sheetView>
  </sheetViews>
  <sheetFormatPr defaultColWidth="12.42578125" defaultRowHeight="12.75" x14ac:dyDescent="0.2"/>
  <cols>
    <col min="1" max="1" width="45.85546875" style="89" customWidth="1"/>
    <col min="2" max="2" width="33" style="89" customWidth="1"/>
    <col min="3" max="3" width="16.28515625" style="89" hidden="1" customWidth="1"/>
    <col min="4" max="4" width="15.28515625" style="89" hidden="1" customWidth="1"/>
    <col min="5" max="5" width="21.140625" style="89" bestFit="1" customWidth="1"/>
    <col min="6" max="6" width="13.140625" style="89" customWidth="1"/>
    <col min="7" max="7" width="9.140625" style="89" customWidth="1"/>
    <col min="8" max="8" width="7.85546875" style="89" customWidth="1"/>
    <col min="9" max="9" width="38.5703125" style="148" customWidth="1"/>
    <col min="10" max="10" width="12.5703125" style="94" customWidth="1"/>
    <col min="11" max="14" width="12.140625" style="92" customWidth="1"/>
    <col min="15" max="15" width="11.28515625" style="92" customWidth="1"/>
    <col min="16" max="16" width="9" style="94" customWidth="1"/>
    <col min="17" max="17" width="11.140625" style="94" customWidth="1"/>
    <col min="18" max="18" width="15.28515625" style="94" customWidth="1"/>
    <col min="19" max="19" width="9.5703125" style="92" customWidth="1"/>
    <col min="20" max="20" width="13.7109375" style="89" customWidth="1"/>
    <col min="21" max="21" width="9.5703125" style="93" customWidth="1"/>
    <col min="22" max="22" width="8" style="93" customWidth="1"/>
    <col min="23" max="23" width="11.28515625" style="94" customWidth="1"/>
    <col min="24" max="24" width="14" style="89" customWidth="1"/>
    <col min="25" max="25" width="11.28515625" style="94" customWidth="1"/>
    <col min="26" max="31" width="11.28515625" style="89" customWidth="1"/>
    <col min="32" max="35" width="12.42578125" style="89" customWidth="1"/>
    <col min="36" max="36" width="13.28515625" style="94" bestFit="1" customWidth="1"/>
    <col min="37" max="37" width="12.42578125" style="94" hidden="1" customWidth="1"/>
    <col min="38" max="88" width="12.42578125" style="89" hidden="1" customWidth="1"/>
    <col min="89" max="16384" width="12.42578125" style="89"/>
  </cols>
  <sheetData>
    <row r="1" spans="1:38" x14ac:dyDescent="0.2">
      <c r="A1" s="79"/>
      <c r="B1" s="79"/>
      <c r="C1" s="80" t="s">
        <v>1347</v>
      </c>
      <c r="D1" s="81" t="s">
        <v>1348</v>
      </c>
      <c r="E1" s="82" t="s">
        <v>1349</v>
      </c>
      <c r="F1" s="80" t="s">
        <v>1350</v>
      </c>
      <c r="G1" s="83" t="s">
        <v>1351</v>
      </c>
      <c r="H1" s="80" t="s">
        <v>1352</v>
      </c>
      <c r="I1" s="84" t="s">
        <v>581</v>
      </c>
      <c r="J1" s="80" t="s">
        <v>1353</v>
      </c>
      <c r="K1" s="85">
        <v>95</v>
      </c>
      <c r="L1" s="85">
        <v>96</v>
      </c>
      <c r="M1" s="85">
        <v>97</v>
      </c>
      <c r="N1" s="85">
        <v>98</v>
      </c>
      <c r="O1" s="85" t="s">
        <v>1354</v>
      </c>
      <c r="P1" s="80" t="s">
        <v>1354</v>
      </c>
      <c r="Q1" s="80" t="s">
        <v>1355</v>
      </c>
      <c r="R1" s="80" t="s">
        <v>1356</v>
      </c>
      <c r="S1" s="86" t="s">
        <v>1357</v>
      </c>
      <c r="T1" s="87" t="s">
        <v>1358</v>
      </c>
      <c r="U1" s="88" t="s">
        <v>1359</v>
      </c>
      <c r="V1" s="88" t="s">
        <v>1360</v>
      </c>
      <c r="W1" s="87" t="s">
        <v>1415</v>
      </c>
      <c r="X1" s="87" t="s">
        <v>1416</v>
      </c>
      <c r="Y1" s="87" t="s">
        <v>1417</v>
      </c>
      <c r="Z1" s="87" t="s">
        <v>1418</v>
      </c>
      <c r="AA1" s="87" t="s">
        <v>1419</v>
      </c>
      <c r="AB1" s="87" t="s">
        <v>1420</v>
      </c>
      <c r="AC1" s="87" t="s">
        <v>1421</v>
      </c>
      <c r="AD1" s="87" t="s">
        <v>1422</v>
      </c>
      <c r="AE1" s="87" t="s">
        <v>1423</v>
      </c>
      <c r="AF1" s="87" t="s">
        <v>1424</v>
      </c>
      <c r="AG1" s="87" t="s">
        <v>1425</v>
      </c>
      <c r="AH1" s="87" t="s">
        <v>1426</v>
      </c>
      <c r="AI1" s="87" t="s">
        <v>1427</v>
      </c>
      <c r="AJ1" s="87" t="s">
        <v>1428</v>
      </c>
      <c r="AK1" s="87" t="s">
        <v>1360</v>
      </c>
      <c r="AL1" s="87"/>
    </row>
    <row r="2" spans="1:38" x14ac:dyDescent="0.2">
      <c r="A2" s="79"/>
      <c r="B2" s="79"/>
      <c r="C2" s="90" t="s">
        <v>1429</v>
      </c>
      <c r="D2" s="81" t="s">
        <v>1430</v>
      </c>
      <c r="E2" s="82" t="s">
        <v>1431</v>
      </c>
      <c r="F2" s="80" t="s">
        <v>1432</v>
      </c>
      <c r="G2" s="83" t="s">
        <v>1433</v>
      </c>
      <c r="H2" s="80"/>
      <c r="I2" s="84"/>
      <c r="J2" s="80" t="s">
        <v>1434</v>
      </c>
      <c r="K2" s="85" t="s">
        <v>1435</v>
      </c>
      <c r="L2" s="85" t="s">
        <v>1435</v>
      </c>
      <c r="M2" s="85" t="s">
        <v>1435</v>
      </c>
      <c r="N2" s="85" t="s">
        <v>1435</v>
      </c>
      <c r="O2" s="85" t="s">
        <v>1436</v>
      </c>
      <c r="P2" s="80" t="s">
        <v>1437</v>
      </c>
      <c r="Q2" s="91"/>
      <c r="R2" s="91"/>
      <c r="S2" s="92" t="s">
        <v>1438</v>
      </c>
      <c r="AL2" s="92">
        <f>SUM(AJ19:AJ333)</f>
        <v>27770.573312458593</v>
      </c>
    </row>
    <row r="3" spans="1:38" hidden="1" x14ac:dyDescent="0.2">
      <c r="A3" s="95" t="s">
        <v>1439</v>
      </c>
      <c r="B3" s="96"/>
      <c r="C3" s="97"/>
      <c r="D3" s="98"/>
      <c r="E3" s="99"/>
      <c r="F3" s="100"/>
      <c r="G3" s="101"/>
      <c r="H3" s="100"/>
      <c r="I3" s="102"/>
      <c r="J3" s="100"/>
      <c r="K3" s="103"/>
      <c r="L3" s="103"/>
      <c r="M3" s="103"/>
      <c r="N3" s="103"/>
      <c r="O3" s="104"/>
      <c r="P3" s="105"/>
      <c r="Q3" s="91"/>
      <c r="R3" s="91"/>
    </row>
    <row r="4" spans="1:38" hidden="1" x14ac:dyDescent="0.2">
      <c r="A4" s="95" t="s">
        <v>1440</v>
      </c>
      <c r="B4" s="79"/>
      <c r="C4" s="106">
        <f>SUM(C19:C78)</f>
        <v>5220</v>
      </c>
      <c r="D4" s="107"/>
      <c r="E4" s="108"/>
      <c r="F4" s="105"/>
      <c r="G4" s="109"/>
      <c r="H4" s="105"/>
      <c r="I4" s="110"/>
      <c r="J4" s="105"/>
      <c r="K4" s="104"/>
      <c r="L4" s="104"/>
      <c r="M4" s="104"/>
      <c r="N4" s="104"/>
      <c r="O4" s="104"/>
      <c r="P4" s="105"/>
      <c r="Q4" s="91"/>
      <c r="R4" s="91"/>
    </row>
    <row r="5" spans="1:38" hidden="1" x14ac:dyDescent="0.2">
      <c r="A5" s="95" t="s">
        <v>1441</v>
      </c>
      <c r="B5" s="79"/>
      <c r="C5" s="106">
        <f>SUM(C83:C331)</f>
        <v>36577</v>
      </c>
      <c r="D5" s="107"/>
      <c r="E5" s="108"/>
      <c r="F5" s="105"/>
      <c r="G5" s="109"/>
      <c r="H5" s="105"/>
      <c r="I5" s="110"/>
      <c r="J5" s="105"/>
      <c r="K5" s="104"/>
      <c r="L5" s="104"/>
      <c r="M5" s="104"/>
      <c r="N5" s="104"/>
      <c r="O5" s="104"/>
      <c r="P5" s="105"/>
      <c r="Q5" s="91"/>
      <c r="R5" s="91"/>
    </row>
    <row r="6" spans="1:38" hidden="1" x14ac:dyDescent="0.2">
      <c r="A6" s="111" t="s">
        <v>1442</v>
      </c>
      <c r="B6" s="96"/>
      <c r="C6" s="112">
        <f>SUM(C4:C5)</f>
        <v>41797</v>
      </c>
      <c r="D6" s="107"/>
      <c r="E6" s="108"/>
      <c r="F6" s="105"/>
      <c r="G6" s="109"/>
      <c r="H6" s="105"/>
      <c r="I6" s="110"/>
      <c r="J6" s="105"/>
      <c r="K6" s="104"/>
      <c r="L6" s="104"/>
      <c r="M6" s="104"/>
      <c r="N6" s="104"/>
      <c r="O6" s="104"/>
      <c r="P6" s="105"/>
      <c r="Q6" s="91"/>
      <c r="R6" s="91"/>
    </row>
    <row r="7" spans="1:38" hidden="1" x14ac:dyDescent="0.2">
      <c r="A7" s="95"/>
      <c r="B7" s="79"/>
      <c r="C7" s="106"/>
      <c r="D7" s="107"/>
      <c r="E7" s="108"/>
      <c r="F7" s="105"/>
      <c r="G7" s="109"/>
      <c r="H7" s="105"/>
      <c r="I7" s="110"/>
      <c r="J7" s="105"/>
      <c r="K7" s="104"/>
      <c r="L7" s="104"/>
      <c r="M7" s="104"/>
      <c r="N7" s="104"/>
      <c r="O7" s="104"/>
      <c r="P7" s="105"/>
      <c r="Q7" s="91"/>
      <c r="R7" s="91"/>
    </row>
    <row r="8" spans="1:38" hidden="1" x14ac:dyDescent="0.2">
      <c r="A8" s="95" t="s">
        <v>1443</v>
      </c>
      <c r="B8" s="79"/>
      <c r="C8" s="106">
        <f>SUM(C345:C363)</f>
        <v>3893</v>
      </c>
      <c r="D8" s="107"/>
      <c r="E8" s="108"/>
      <c r="F8" s="105"/>
      <c r="G8" s="109"/>
      <c r="H8" s="105"/>
      <c r="I8" s="110"/>
      <c r="J8" s="105"/>
      <c r="K8" s="104"/>
      <c r="L8" s="104"/>
      <c r="M8" s="104"/>
      <c r="N8" s="104"/>
      <c r="O8" s="104"/>
      <c r="P8" s="105"/>
      <c r="Q8" s="91"/>
      <c r="R8" s="91"/>
    </row>
    <row r="9" spans="1:38" hidden="1" x14ac:dyDescent="0.2">
      <c r="A9" s="95" t="s">
        <v>1444</v>
      </c>
      <c r="B9" s="79"/>
      <c r="C9" s="106">
        <v>250</v>
      </c>
      <c r="D9" s="107"/>
      <c r="E9" s="108"/>
      <c r="F9" s="105"/>
      <c r="G9" s="109"/>
      <c r="H9" s="105"/>
      <c r="I9" s="110"/>
      <c r="J9" s="105"/>
      <c r="K9" s="104"/>
      <c r="L9" s="104"/>
      <c r="M9" s="104"/>
      <c r="N9" s="104"/>
      <c r="O9" s="104"/>
      <c r="P9" s="105"/>
      <c r="Q9" s="91"/>
      <c r="R9" s="91"/>
    </row>
    <row r="10" spans="1:38" hidden="1" x14ac:dyDescent="0.2">
      <c r="A10" s="111" t="s">
        <v>1445</v>
      </c>
      <c r="B10" s="96"/>
      <c r="C10" s="112">
        <f>SUM(C6:C9)</f>
        <v>45940</v>
      </c>
      <c r="D10" s="107"/>
      <c r="E10" s="108"/>
      <c r="F10" s="105"/>
      <c r="G10" s="109"/>
      <c r="H10" s="105"/>
      <c r="I10" s="110"/>
      <c r="J10" s="105"/>
      <c r="K10" s="104"/>
      <c r="L10" s="104"/>
      <c r="M10" s="104"/>
      <c r="N10" s="104"/>
      <c r="O10" s="104"/>
      <c r="P10" s="105"/>
      <c r="Q10" s="91"/>
      <c r="R10" s="91"/>
    </row>
    <row r="11" spans="1:38" hidden="1" x14ac:dyDescent="0.2">
      <c r="A11" s="95" t="s">
        <v>1446</v>
      </c>
      <c r="B11" s="79"/>
      <c r="C11" s="106">
        <v>115</v>
      </c>
      <c r="D11" s="107"/>
      <c r="E11" s="108"/>
      <c r="F11" s="105"/>
      <c r="G11" s="109"/>
      <c r="H11" s="105"/>
      <c r="I11" s="110"/>
      <c r="J11" s="105"/>
      <c r="K11" s="104"/>
      <c r="L11" s="104"/>
      <c r="M11" s="104"/>
      <c r="N11" s="104"/>
      <c r="O11" s="104"/>
      <c r="P11" s="105"/>
      <c r="Q11" s="91"/>
      <c r="R11" s="91"/>
    </row>
    <row r="12" spans="1:38" hidden="1" x14ac:dyDescent="0.2">
      <c r="A12" s="95" t="s">
        <v>1447</v>
      </c>
      <c r="B12" s="79"/>
      <c r="C12" s="106">
        <v>55</v>
      </c>
      <c r="D12" s="107"/>
      <c r="E12" s="108"/>
      <c r="F12" s="105"/>
      <c r="G12" s="109"/>
      <c r="H12" s="105"/>
      <c r="I12" s="110"/>
      <c r="J12" s="105"/>
      <c r="K12" s="104"/>
      <c r="L12" s="104"/>
      <c r="M12" s="104"/>
      <c r="N12" s="104"/>
      <c r="O12" s="104"/>
      <c r="P12" s="105"/>
      <c r="Q12" s="91"/>
      <c r="R12" s="91"/>
    </row>
    <row r="13" spans="1:38" hidden="1" x14ac:dyDescent="0.2">
      <c r="A13" s="95"/>
      <c r="B13" s="79"/>
      <c r="C13" s="106">
        <f>SUM(C10:C12)</f>
        <v>46110</v>
      </c>
      <c r="D13" s="107"/>
      <c r="E13" s="108"/>
      <c r="F13" s="105"/>
      <c r="G13" s="109"/>
      <c r="H13" s="105"/>
      <c r="I13" s="110"/>
      <c r="J13" s="105"/>
      <c r="K13" s="104"/>
      <c r="L13" s="104"/>
      <c r="M13" s="104"/>
      <c r="N13" s="104"/>
      <c r="O13" s="104"/>
      <c r="P13" s="105"/>
      <c r="Q13" s="91"/>
      <c r="R13" s="91"/>
    </row>
    <row r="14" spans="1:38" hidden="1" x14ac:dyDescent="0.2">
      <c r="A14" s="95"/>
      <c r="B14" s="79"/>
      <c r="C14" s="106"/>
      <c r="D14" s="107"/>
      <c r="E14" s="108"/>
      <c r="F14" s="105"/>
      <c r="G14" s="109"/>
      <c r="H14" s="105"/>
      <c r="I14" s="110"/>
      <c r="J14" s="105"/>
      <c r="K14" s="104"/>
      <c r="L14" s="104"/>
      <c r="M14" s="104"/>
      <c r="N14" s="104"/>
      <c r="O14" s="104"/>
      <c r="P14" s="105"/>
      <c r="Q14" s="91"/>
      <c r="R14" s="91"/>
    </row>
    <row r="15" spans="1:38" x14ac:dyDescent="0.2">
      <c r="A15" s="95" t="s">
        <v>1114</v>
      </c>
      <c r="B15" s="95" t="s">
        <v>1448</v>
      </c>
      <c r="C15" s="106"/>
      <c r="D15" s="113" t="s">
        <v>1347</v>
      </c>
      <c r="E15" s="108"/>
      <c r="F15" s="105"/>
      <c r="G15" s="109"/>
      <c r="H15" s="105"/>
      <c r="I15" s="110"/>
      <c r="J15" s="105"/>
      <c r="K15" s="104" t="s">
        <v>1449</v>
      </c>
      <c r="L15" s="104" t="s">
        <v>1449</v>
      </c>
      <c r="M15" s="104" t="s">
        <v>1449</v>
      </c>
      <c r="N15" s="104" t="s">
        <v>1449</v>
      </c>
      <c r="O15" s="104" t="s">
        <v>1449</v>
      </c>
      <c r="P15" s="105"/>
      <c r="Q15" s="91" t="s">
        <v>1450</v>
      </c>
      <c r="R15" s="89" t="s">
        <v>1451</v>
      </c>
      <c r="S15" s="92">
        <v>30405</v>
      </c>
      <c r="T15" s="89">
        <f>+S17/S18</f>
        <v>0.72381590883575753</v>
      </c>
    </row>
    <row r="16" spans="1:38" x14ac:dyDescent="0.2">
      <c r="A16" s="95" t="s">
        <v>1452</v>
      </c>
      <c r="B16" s="79"/>
      <c r="C16" s="106"/>
      <c r="D16" s="107"/>
      <c r="E16" s="108"/>
      <c r="F16" s="105"/>
      <c r="G16" s="109"/>
      <c r="H16" s="105"/>
      <c r="I16" s="110"/>
      <c r="J16" s="105"/>
      <c r="K16" s="104"/>
      <c r="L16" s="104"/>
      <c r="M16" s="104"/>
      <c r="N16" s="104"/>
      <c r="O16" s="104"/>
      <c r="P16" s="105"/>
      <c r="Q16" s="91"/>
      <c r="R16" s="89" t="s">
        <v>1453</v>
      </c>
      <c r="S16" s="92">
        <f>+S15*0.92</f>
        <v>27972.600000000002</v>
      </c>
      <c r="U16" s="93">
        <f>SUM(U19:U333)</f>
        <v>27770.60000000002</v>
      </c>
      <c r="V16" s="93">
        <f>SUM(V19:V333)</f>
        <v>128407.17049999999</v>
      </c>
      <c r="W16" s="93">
        <f>SUM(W19:W333)</f>
        <v>25042.692967172694</v>
      </c>
      <c r="X16" s="94">
        <f>SUM(X19:X340)</f>
        <v>1.0000000000000007</v>
      </c>
      <c r="Y16" s="93">
        <f>+U16-W16</f>
        <v>2727.9070328273265</v>
      </c>
      <c r="Z16" s="93">
        <f>SUM(Z19:Z333)</f>
        <v>27375.562333818176</v>
      </c>
      <c r="AA16" s="93">
        <f>+U16-Z16</f>
        <v>395.03766618184454</v>
      </c>
      <c r="AB16" s="93">
        <f>SUM(AB19:AB333)</f>
        <v>27712.733537017888</v>
      </c>
      <c r="AC16" s="93">
        <f>+U16-AB16</f>
        <v>57.866462982132362</v>
      </c>
      <c r="AD16" s="93">
        <f>SUM(AD19:AD333)</f>
        <v>27762.123523388447</v>
      </c>
      <c r="AE16" s="93">
        <f>+U16-+AD16</f>
        <v>8.4764766115731618</v>
      </c>
      <c r="AF16" s="93">
        <f>SUM(AF19:AF333)</f>
        <v>27769.358336832072</v>
      </c>
      <c r="AG16" s="93">
        <f>+U16-+AF16</f>
        <v>1.2416631679479906</v>
      </c>
      <c r="AH16" s="93">
        <f>SUM(AH19:AH333)</f>
        <v>27770.418116949641</v>
      </c>
      <c r="AI16" s="93">
        <f>+U16-+AH16</f>
        <v>0.1818830503798381</v>
      </c>
      <c r="AJ16" s="92">
        <f>SUM(AJ19:AJ384)</f>
        <v>41349.773312458601</v>
      </c>
      <c r="AL16" s="92">
        <f>30405+2860+8085</f>
        <v>41350</v>
      </c>
    </row>
    <row r="17" spans="1:38" x14ac:dyDescent="0.2">
      <c r="A17" s="95"/>
      <c r="B17" s="79"/>
      <c r="C17" s="106"/>
      <c r="D17" s="107"/>
      <c r="E17" s="108"/>
      <c r="F17" s="105"/>
      <c r="G17" s="109"/>
      <c r="H17" s="105"/>
      <c r="I17" s="110"/>
      <c r="J17" s="105"/>
      <c r="K17" s="104"/>
      <c r="L17" s="104"/>
      <c r="M17" s="104"/>
      <c r="N17" s="104"/>
      <c r="O17" s="104"/>
      <c r="P17" s="105"/>
      <c r="Q17" s="91"/>
      <c r="R17" s="89" t="s">
        <v>1454</v>
      </c>
      <c r="S17" s="92">
        <f>+S16-(202)</f>
        <v>27770.600000000002</v>
      </c>
      <c r="Y17" s="93">
        <f>SUM(Y19:Y340)</f>
        <v>2727.9070328273292</v>
      </c>
      <c r="AA17" s="93">
        <f>SUM(AA19:AA340)</f>
        <v>395.03766618184403</v>
      </c>
      <c r="AB17" s="93"/>
      <c r="AC17" s="93">
        <f>SUM(AC19:AC340)</f>
        <v>57.866462982132276</v>
      </c>
      <c r="AD17" s="93"/>
      <c r="AE17" s="93">
        <f>SUM(AE19:AE340)</f>
        <v>8.4764766115731565</v>
      </c>
      <c r="AF17" s="93"/>
      <c r="AG17" s="93">
        <f>SUM(AG19:AG340)</f>
        <v>1.2416631679479884</v>
      </c>
      <c r="AH17" s="93"/>
      <c r="AI17" s="93">
        <f>SUM(AI19:AI340)</f>
        <v>0.18183835771627982</v>
      </c>
    </row>
    <row r="18" spans="1:38" x14ac:dyDescent="0.2">
      <c r="A18" s="95"/>
      <c r="B18" s="79"/>
      <c r="C18" s="106"/>
      <c r="D18" s="107"/>
      <c r="E18" s="108"/>
      <c r="F18" s="105"/>
      <c r="G18" s="109"/>
      <c r="H18" s="105"/>
      <c r="I18" s="110"/>
      <c r="J18" s="105"/>
      <c r="K18" s="104"/>
      <c r="L18" s="104"/>
      <c r="M18" s="104"/>
      <c r="N18" s="104"/>
      <c r="O18" s="104"/>
      <c r="P18" s="105"/>
      <c r="Q18" s="91"/>
      <c r="R18" s="89" t="s">
        <v>1455</v>
      </c>
      <c r="S18" s="92">
        <f>SUM(S19:S333)</f>
        <v>38366.937864999985</v>
      </c>
      <c r="AA18" s="93"/>
      <c r="AB18" s="93"/>
      <c r="AC18" s="93"/>
      <c r="AD18" s="93"/>
      <c r="AE18" s="93"/>
      <c r="AF18" s="93"/>
      <c r="AG18" s="93"/>
      <c r="AH18" s="93"/>
      <c r="AI18" s="93"/>
    </row>
    <row r="19" spans="1:38" x14ac:dyDescent="0.2">
      <c r="A19" s="96" t="s">
        <v>1456</v>
      </c>
      <c r="B19" s="96" t="s">
        <v>1457</v>
      </c>
      <c r="C19" s="112">
        <v>60</v>
      </c>
      <c r="D19" s="98">
        <f t="shared" ref="D19:D51" si="0">C19/$C$6</f>
        <v>1.4355097255783907E-3</v>
      </c>
      <c r="E19" s="99" t="s">
        <v>1458</v>
      </c>
      <c r="F19" s="100" t="s">
        <v>1459</v>
      </c>
      <c r="G19" s="114" t="s">
        <v>1460</v>
      </c>
      <c r="H19" s="115" t="s">
        <v>1461</v>
      </c>
      <c r="I19" s="102" t="s">
        <v>1462</v>
      </c>
      <c r="J19" s="100">
        <v>25</v>
      </c>
      <c r="K19" s="103">
        <v>882183</v>
      </c>
      <c r="L19" s="103">
        <v>869576</v>
      </c>
      <c r="M19" s="103">
        <v>0</v>
      </c>
      <c r="N19" s="103">
        <v>0</v>
      </c>
      <c r="O19" s="104">
        <v>882183</v>
      </c>
      <c r="P19" s="105" t="s">
        <v>1463</v>
      </c>
      <c r="Q19" s="91">
        <v>0.15</v>
      </c>
      <c r="R19" s="116"/>
      <c r="S19" s="104">
        <f t="shared" ref="S19:S82" si="1">+O19*Q19/2000</f>
        <v>66.163724999999985</v>
      </c>
      <c r="U19" s="93">
        <f t="shared" ref="U19:U50" si="2">+S19*$T$15</f>
        <v>47.890356742834122</v>
      </c>
      <c r="V19" s="93">
        <v>0</v>
      </c>
      <c r="W19" s="94">
        <f t="shared" ref="W19:W82" si="3">IF(U19&gt;V19,V19,U19)</f>
        <v>0</v>
      </c>
      <c r="X19" s="89">
        <f t="shared" ref="X19:X82" si="4">+U19/$U$16</f>
        <v>1.7244984531423191E-3</v>
      </c>
      <c r="Y19" s="93">
        <f t="shared" ref="Y19:Y82" si="5">+X19*$Y$16</f>
        <v>4.7042714584267777</v>
      </c>
      <c r="Z19" s="94">
        <f t="shared" ref="Z19:Z82" si="6">IF(W19+Y19&gt;V19,V19,W19+Y19)</f>
        <v>0</v>
      </c>
      <c r="AA19" s="93">
        <f t="shared" ref="AA19:AA82" si="7">+$AA$16*X19</f>
        <v>0.68124184426354273</v>
      </c>
      <c r="AB19" s="94">
        <f t="shared" ref="AB19:AB82" si="8">IF(Z19+AA19&gt;V19,V19,Z19+AA19)</f>
        <v>0</v>
      </c>
      <c r="AC19" s="93">
        <f t="shared" ref="AC19:AC82" si="9">+X19*$AC$16</f>
        <v>9.9790625901504532E-2</v>
      </c>
      <c r="AD19" s="94">
        <f t="shared" ref="AD19:AD82" si="10">IF(AB19+AC19&gt;V19,V19,AB19+AC19)</f>
        <v>0</v>
      </c>
      <c r="AE19" s="93">
        <f t="shared" ref="AE19:AE82" si="11">+X19*$AE$16</f>
        <v>1.4617670804754963E-2</v>
      </c>
      <c r="AF19" s="94">
        <f t="shared" ref="AF19:AF82" si="12">IF(AD19+AE19&gt;V19,V19,AD19+AE19)</f>
        <v>0</v>
      </c>
      <c r="AG19" s="93">
        <f t="shared" ref="AG19:AG82" si="13">+X19*$AG$16</f>
        <v>2.1412462124501012E-3</v>
      </c>
      <c r="AH19" s="94">
        <f t="shared" ref="AH19:AH82" si="14">IF(AF19+AG19&gt;V19,V19,AF19+AG19)</f>
        <v>0</v>
      </c>
      <c r="AI19" s="93">
        <f t="shared" ref="AI19:AI50" si="15">+X19*$AI$16</f>
        <v>3.136570390328373E-4</v>
      </c>
      <c r="AJ19" s="94">
        <f t="shared" ref="AJ19:AJ50" si="16">IF(AH19+AI19&gt;V19,V19,AH19+AI19)</f>
        <v>0</v>
      </c>
      <c r="AK19" s="93">
        <f>+V19</f>
        <v>0</v>
      </c>
      <c r="AL19" s="89" t="str">
        <f t="shared" ref="AL19:AL82" si="17">IF(AJ19&gt;V19,"'fail'","'pass'")</f>
        <v>'pass'</v>
      </c>
    </row>
    <row r="20" spans="1:38" x14ac:dyDescent="0.2">
      <c r="A20" s="117" t="s">
        <v>1464</v>
      </c>
      <c r="B20" s="117" t="s">
        <v>1465</v>
      </c>
      <c r="C20" s="118">
        <v>35</v>
      </c>
      <c r="D20" s="119">
        <f t="shared" si="0"/>
        <v>8.3738067325406132E-4</v>
      </c>
      <c r="E20" s="120" t="s">
        <v>1466</v>
      </c>
      <c r="F20" s="121" t="s">
        <v>1467</v>
      </c>
      <c r="G20" s="122">
        <v>1</v>
      </c>
      <c r="H20" s="121" t="s">
        <v>1461</v>
      </c>
      <c r="I20" s="118" t="s">
        <v>1468</v>
      </c>
      <c r="J20" s="121">
        <v>121</v>
      </c>
      <c r="K20" s="123">
        <v>0</v>
      </c>
      <c r="L20" s="123">
        <v>9765</v>
      </c>
      <c r="M20" s="123">
        <v>3844819</v>
      </c>
      <c r="N20" s="123">
        <v>4149126</v>
      </c>
      <c r="O20" s="104">
        <v>4149126</v>
      </c>
      <c r="P20" s="105" t="s">
        <v>1469</v>
      </c>
      <c r="Q20" s="91">
        <f t="shared" ref="Q20:Q25" si="18">IF(J20&gt;25,0.15,0)</f>
        <v>0.15</v>
      </c>
      <c r="R20" s="91"/>
      <c r="S20" s="104">
        <f t="shared" si="1"/>
        <v>311.18445000000003</v>
      </c>
      <c r="U20" s="93">
        <f t="shared" si="2"/>
        <v>225.24025549230535</v>
      </c>
      <c r="V20" s="93">
        <f>60.1/2</f>
        <v>30.05</v>
      </c>
      <c r="W20" s="93">
        <f t="shared" si="3"/>
        <v>30.05</v>
      </c>
      <c r="X20" s="89">
        <f t="shared" si="4"/>
        <v>8.1107450142346646E-3</v>
      </c>
      <c r="Y20" s="93">
        <f t="shared" si="5"/>
        <v>22.125358365799915</v>
      </c>
      <c r="Z20" s="92">
        <f t="shared" si="6"/>
        <v>30.05</v>
      </c>
      <c r="AA20" s="93">
        <f t="shared" si="7"/>
        <v>3.2040497814192932</v>
      </c>
      <c r="AB20" s="93">
        <f t="shared" si="8"/>
        <v>30.05</v>
      </c>
      <c r="AC20" s="93">
        <f t="shared" si="9"/>
        <v>0.46934012612372483</v>
      </c>
      <c r="AD20" s="93">
        <f t="shared" si="10"/>
        <v>30.05</v>
      </c>
      <c r="AE20" s="93">
        <f t="shared" si="11"/>
        <v>6.8750540415593767E-2</v>
      </c>
      <c r="AF20" s="92">
        <f t="shared" si="12"/>
        <v>30.05</v>
      </c>
      <c r="AG20" s="93">
        <f t="shared" si="13"/>
        <v>1.0070813348792984E-2</v>
      </c>
      <c r="AH20" s="92">
        <f t="shared" si="14"/>
        <v>30.05</v>
      </c>
      <c r="AI20" s="93">
        <f t="shared" si="15"/>
        <v>1.4752070440420641E-3</v>
      </c>
      <c r="AJ20" s="92">
        <f t="shared" si="16"/>
        <v>30.05</v>
      </c>
      <c r="AK20" s="93">
        <f>+V20</f>
        <v>30.05</v>
      </c>
      <c r="AL20" s="89" t="str">
        <f t="shared" si="17"/>
        <v>'pass'</v>
      </c>
    </row>
    <row r="21" spans="1:38" x14ac:dyDescent="0.2">
      <c r="A21" s="117" t="s">
        <v>1470</v>
      </c>
      <c r="B21" s="117" t="s">
        <v>1465</v>
      </c>
      <c r="C21" s="118">
        <v>35</v>
      </c>
      <c r="D21" s="119">
        <f t="shared" si="0"/>
        <v>8.3738067325406132E-4</v>
      </c>
      <c r="E21" s="120" t="s">
        <v>1471</v>
      </c>
      <c r="F21" s="121" t="s">
        <v>1467</v>
      </c>
      <c r="G21" s="122">
        <v>2</v>
      </c>
      <c r="H21" s="121" t="s">
        <v>1461</v>
      </c>
      <c r="I21" s="118" t="s">
        <v>1468</v>
      </c>
      <c r="J21" s="121">
        <v>121</v>
      </c>
      <c r="K21" s="123">
        <v>0</v>
      </c>
      <c r="L21" s="123">
        <v>12016</v>
      </c>
      <c r="M21" s="123">
        <v>3737221</v>
      </c>
      <c r="N21" s="123">
        <v>3631797</v>
      </c>
      <c r="O21" s="104">
        <v>3737221</v>
      </c>
      <c r="P21" s="105" t="s">
        <v>1472</v>
      </c>
      <c r="Q21" s="91">
        <f t="shared" si="18"/>
        <v>0.15</v>
      </c>
      <c r="R21" s="91"/>
      <c r="S21" s="104">
        <f t="shared" si="1"/>
        <v>280.29157500000002</v>
      </c>
      <c r="U21" s="93">
        <f t="shared" si="2"/>
        <v>202.87950109763091</v>
      </c>
      <c r="V21" s="93">
        <f>60.1/2</f>
        <v>30.05</v>
      </c>
      <c r="W21" s="93">
        <f t="shared" si="3"/>
        <v>30.05</v>
      </c>
      <c r="X21" s="89">
        <f t="shared" si="4"/>
        <v>7.3055497935813687E-3</v>
      </c>
      <c r="Y21" s="93">
        <f t="shared" si="5"/>
        <v>19.928860660580838</v>
      </c>
      <c r="Z21" s="92">
        <f t="shared" si="6"/>
        <v>30.05</v>
      </c>
      <c r="AA21" s="93">
        <f t="shared" si="7"/>
        <v>2.8859673406316402</v>
      </c>
      <c r="AB21" s="93">
        <f t="shared" si="8"/>
        <v>30.05</v>
      </c>
      <c r="AC21" s="93">
        <f t="shared" si="9"/>
        <v>0.42274632669440099</v>
      </c>
      <c r="AD21" s="93">
        <f t="shared" si="10"/>
        <v>30.05</v>
      </c>
      <c r="AE21" s="93">
        <f t="shared" si="11"/>
        <v>6.1925321959975611E-2</v>
      </c>
      <c r="AF21" s="92">
        <f t="shared" si="12"/>
        <v>30.05</v>
      </c>
      <c r="AG21" s="93">
        <f t="shared" si="13"/>
        <v>9.0710321003000319E-3</v>
      </c>
      <c r="AH21" s="92">
        <f t="shared" si="14"/>
        <v>30.05</v>
      </c>
      <c r="AI21" s="93">
        <f t="shared" si="15"/>
        <v>1.3287556811583758E-3</v>
      </c>
      <c r="AJ21" s="92">
        <f t="shared" si="16"/>
        <v>30.05</v>
      </c>
      <c r="AK21" s="93">
        <f>+V21</f>
        <v>30.05</v>
      </c>
      <c r="AL21" s="89" t="str">
        <f t="shared" si="17"/>
        <v>'pass'</v>
      </c>
    </row>
    <row r="22" spans="1:38" x14ac:dyDescent="0.2">
      <c r="A22" s="117" t="s">
        <v>1473</v>
      </c>
      <c r="B22" s="117" t="s">
        <v>1474</v>
      </c>
      <c r="C22" s="124">
        <v>89</v>
      </c>
      <c r="D22" s="119">
        <f t="shared" si="0"/>
        <v>2.1293394262746129E-3</v>
      </c>
      <c r="E22" s="125" t="s">
        <v>1475</v>
      </c>
      <c r="F22" s="126" t="s">
        <v>1476</v>
      </c>
      <c r="G22" s="122">
        <v>1</v>
      </c>
      <c r="H22" s="121" t="s">
        <v>1477</v>
      </c>
      <c r="I22" s="118" t="s">
        <v>1478</v>
      </c>
      <c r="J22" s="121">
        <v>142.80000000000001</v>
      </c>
      <c r="K22" s="123">
        <f>7051204/2</f>
        <v>3525602</v>
      </c>
      <c r="L22" s="123">
        <f>6719383/2</f>
        <v>3359691.5</v>
      </c>
      <c r="M22" s="123">
        <f>6555109/2</f>
        <v>3277554.5</v>
      </c>
      <c r="N22" s="123">
        <f>6568615/2</f>
        <v>3284307.5</v>
      </c>
      <c r="O22" s="123">
        <f>7051204/2</f>
        <v>3525602</v>
      </c>
      <c r="P22" s="105" t="s">
        <v>1479</v>
      </c>
      <c r="Q22" s="91">
        <f t="shared" si="18"/>
        <v>0.15</v>
      </c>
      <c r="R22" s="91"/>
      <c r="S22" s="104">
        <f t="shared" si="1"/>
        <v>264.42014999999998</v>
      </c>
      <c r="T22" s="89" t="s">
        <v>1016</v>
      </c>
      <c r="U22" s="93">
        <f t="shared" si="2"/>
        <v>191.39151118673732</v>
      </c>
      <c r="V22" s="93">
        <v>81.400000000000006</v>
      </c>
      <c r="W22" s="93">
        <f t="shared" si="3"/>
        <v>81.400000000000006</v>
      </c>
      <c r="X22" s="89">
        <f t="shared" si="4"/>
        <v>6.8918752632905729E-3</v>
      </c>
      <c r="Y22" s="93">
        <f t="shared" si="5"/>
        <v>18.800395000099037</v>
      </c>
      <c r="Z22" s="92">
        <f t="shared" si="6"/>
        <v>81.400000000000006</v>
      </c>
      <c r="AA22" s="93">
        <f t="shared" si="7"/>
        <v>2.7225503196266931</v>
      </c>
      <c r="AB22" s="93">
        <f t="shared" si="8"/>
        <v>81.400000000000006</v>
      </c>
      <c r="AC22" s="93">
        <f t="shared" si="9"/>
        <v>0.39880844480067767</v>
      </c>
      <c r="AD22" s="93">
        <f t="shared" si="10"/>
        <v>81.400000000000006</v>
      </c>
      <c r="AE22" s="93">
        <f t="shared" si="11"/>
        <v>5.8418819479162165E-2</v>
      </c>
      <c r="AF22" s="92">
        <f t="shared" si="12"/>
        <v>81.400000000000006</v>
      </c>
      <c r="AG22" s="93">
        <f t="shared" si="13"/>
        <v>8.5573876725197652E-3</v>
      </c>
      <c r="AH22" s="92">
        <f t="shared" si="14"/>
        <v>81.400000000000006</v>
      </c>
      <c r="AI22" s="93">
        <f t="shared" si="15"/>
        <v>1.2535152957246392E-3</v>
      </c>
      <c r="AJ22" s="92">
        <f t="shared" si="16"/>
        <v>81.400000000000006</v>
      </c>
      <c r="AK22" s="93" t="s">
        <v>259</v>
      </c>
      <c r="AL22" s="89" t="str">
        <f t="shared" si="17"/>
        <v>'pass'</v>
      </c>
    </row>
    <row r="23" spans="1:38" x14ac:dyDescent="0.2">
      <c r="A23" s="117" t="s">
        <v>1473</v>
      </c>
      <c r="B23" s="117" t="s">
        <v>1474</v>
      </c>
      <c r="C23" s="124">
        <v>88</v>
      </c>
      <c r="D23" s="119">
        <f t="shared" si="0"/>
        <v>2.10541426418164E-3</v>
      </c>
      <c r="E23" s="125" t="s">
        <v>1480</v>
      </c>
      <c r="F23" s="126" t="s">
        <v>1476</v>
      </c>
      <c r="G23" s="122">
        <v>2</v>
      </c>
      <c r="H23" s="121" t="s">
        <v>1477</v>
      </c>
      <c r="I23" s="118" t="s">
        <v>1478</v>
      </c>
      <c r="J23" s="121">
        <v>142.80000000000001</v>
      </c>
      <c r="K23" s="123">
        <v>3525602</v>
      </c>
      <c r="L23" s="123">
        <v>3359692</v>
      </c>
      <c r="M23" s="123">
        <v>3277555</v>
      </c>
      <c r="N23" s="123">
        <v>3284308</v>
      </c>
      <c r="O23" s="123">
        <f>7051204/2</f>
        <v>3525602</v>
      </c>
      <c r="P23" s="105" t="s">
        <v>1479</v>
      </c>
      <c r="Q23" s="91">
        <f t="shared" si="18"/>
        <v>0.15</v>
      </c>
      <c r="R23" s="91"/>
      <c r="S23" s="104">
        <f t="shared" si="1"/>
        <v>264.42014999999998</v>
      </c>
      <c r="U23" s="93">
        <f t="shared" si="2"/>
        <v>191.39151118673732</v>
      </c>
      <c r="V23" s="93">
        <v>81.400000000000006</v>
      </c>
      <c r="W23" s="93">
        <f t="shared" si="3"/>
        <v>81.400000000000006</v>
      </c>
      <c r="X23" s="89">
        <f t="shared" si="4"/>
        <v>6.8918752632905729E-3</v>
      </c>
      <c r="Y23" s="93">
        <f t="shared" si="5"/>
        <v>18.800395000099037</v>
      </c>
      <c r="Z23" s="92">
        <f t="shared" si="6"/>
        <v>81.400000000000006</v>
      </c>
      <c r="AA23" s="93">
        <f t="shared" si="7"/>
        <v>2.7225503196266931</v>
      </c>
      <c r="AB23" s="93">
        <f t="shared" si="8"/>
        <v>81.400000000000006</v>
      </c>
      <c r="AC23" s="93">
        <f t="shared" si="9"/>
        <v>0.39880844480067767</v>
      </c>
      <c r="AD23" s="93">
        <f t="shared" si="10"/>
        <v>81.400000000000006</v>
      </c>
      <c r="AE23" s="93">
        <f t="shared" si="11"/>
        <v>5.8418819479162165E-2</v>
      </c>
      <c r="AF23" s="92">
        <f t="shared" si="12"/>
        <v>81.400000000000006</v>
      </c>
      <c r="AG23" s="93">
        <f t="shared" si="13"/>
        <v>8.5573876725197652E-3</v>
      </c>
      <c r="AH23" s="92">
        <f t="shared" si="14"/>
        <v>81.400000000000006</v>
      </c>
      <c r="AI23" s="93">
        <f t="shared" si="15"/>
        <v>1.2535152957246392E-3</v>
      </c>
      <c r="AJ23" s="92">
        <f t="shared" si="16"/>
        <v>81.400000000000006</v>
      </c>
      <c r="AK23" s="93">
        <f t="shared" ref="AK23:AK54" si="19">+V23</f>
        <v>81.400000000000006</v>
      </c>
      <c r="AL23" s="89" t="str">
        <f t="shared" si="17"/>
        <v>'pass'</v>
      </c>
    </row>
    <row r="24" spans="1:38" x14ac:dyDescent="0.2">
      <c r="A24" s="117" t="s">
        <v>1481</v>
      </c>
      <c r="B24" s="117" t="s">
        <v>1482</v>
      </c>
      <c r="C24" s="124">
        <v>115</v>
      </c>
      <c r="D24" s="119">
        <f t="shared" si="0"/>
        <v>2.7513936406919157E-3</v>
      </c>
      <c r="E24" s="120" t="s">
        <v>1483</v>
      </c>
      <c r="F24" s="121" t="s">
        <v>1484</v>
      </c>
      <c r="G24" s="122" t="s">
        <v>1460</v>
      </c>
      <c r="H24" s="121" t="s">
        <v>1477</v>
      </c>
      <c r="I24" s="118" t="s">
        <v>1485</v>
      </c>
      <c r="J24" s="121">
        <v>60</v>
      </c>
      <c r="K24" s="123">
        <v>1979739</v>
      </c>
      <c r="L24" s="123">
        <v>1746305</v>
      </c>
      <c r="M24" s="123">
        <v>1975729</v>
      </c>
      <c r="N24" s="123">
        <v>1574096</v>
      </c>
      <c r="O24" s="123">
        <v>1979739</v>
      </c>
      <c r="P24" s="105" t="s">
        <v>1463</v>
      </c>
      <c r="Q24" s="91">
        <f t="shared" si="18"/>
        <v>0.15</v>
      </c>
      <c r="R24" s="116"/>
      <c r="S24" s="104">
        <f t="shared" si="1"/>
        <v>148.480425</v>
      </c>
      <c r="U24" s="93">
        <f t="shared" si="2"/>
        <v>107.47249376569454</v>
      </c>
      <c r="V24" s="93">
        <v>142.80000000000001</v>
      </c>
      <c r="W24" s="93">
        <f t="shared" si="3"/>
        <v>107.47249376569454</v>
      </c>
      <c r="X24" s="89">
        <f t="shared" si="4"/>
        <v>3.8700097860937272E-3</v>
      </c>
      <c r="Y24" s="93">
        <f t="shared" si="5"/>
        <v>10.557026912595656</v>
      </c>
      <c r="Z24" s="92">
        <f t="shared" si="6"/>
        <v>118.0295206782902</v>
      </c>
      <c r="AA24" s="93">
        <f t="shared" si="7"/>
        <v>1.5287996339993655</v>
      </c>
      <c r="AB24" s="93">
        <f t="shared" si="8"/>
        <v>119.55832031228957</v>
      </c>
      <c r="AC24" s="93">
        <f t="shared" si="9"/>
        <v>0.22394377802748264</v>
      </c>
      <c r="AD24" s="93">
        <f t="shared" si="10"/>
        <v>119.78226409031704</v>
      </c>
      <c r="AE24" s="93">
        <f t="shared" si="11"/>
        <v>3.2804047438382736E-2</v>
      </c>
      <c r="AF24" s="92">
        <f t="shared" si="12"/>
        <v>119.81506813775543</v>
      </c>
      <c r="AG24" s="93">
        <f t="shared" si="13"/>
        <v>4.8052486109908627E-3</v>
      </c>
      <c r="AH24" s="92">
        <f t="shared" si="14"/>
        <v>119.81987338636642</v>
      </c>
      <c r="AI24" s="93">
        <f t="shared" si="15"/>
        <v>7.0388918489455179E-4</v>
      </c>
      <c r="AJ24" s="92">
        <f t="shared" si="16"/>
        <v>119.82057727555132</v>
      </c>
      <c r="AK24" s="93">
        <f t="shared" si="19"/>
        <v>142.80000000000001</v>
      </c>
      <c r="AL24" s="89" t="str">
        <f t="shared" si="17"/>
        <v>'pass'</v>
      </c>
    </row>
    <row r="25" spans="1:38" x14ac:dyDescent="0.2">
      <c r="A25" s="117" t="s">
        <v>1486</v>
      </c>
      <c r="B25" s="117" t="s">
        <v>1487</v>
      </c>
      <c r="C25" s="124">
        <v>128</v>
      </c>
      <c r="D25" s="119">
        <f t="shared" si="0"/>
        <v>3.0624207479005672E-3</v>
      </c>
      <c r="E25" s="120" t="s">
        <v>1488</v>
      </c>
      <c r="F25" s="121" t="s">
        <v>1489</v>
      </c>
      <c r="G25" s="122">
        <v>1</v>
      </c>
      <c r="H25" s="121" t="s">
        <v>1477</v>
      </c>
      <c r="I25" s="118" t="s">
        <v>1490</v>
      </c>
      <c r="J25" s="121">
        <v>62</v>
      </c>
      <c r="K25" s="123">
        <v>2023466</v>
      </c>
      <c r="L25" s="123">
        <v>777010</v>
      </c>
      <c r="M25" s="123"/>
      <c r="N25" s="123"/>
      <c r="O25" s="104">
        <v>2023466</v>
      </c>
      <c r="P25" s="105" t="s">
        <v>1463</v>
      </c>
      <c r="Q25" s="91">
        <f t="shared" si="18"/>
        <v>0.15</v>
      </c>
      <c r="R25" s="91"/>
      <c r="S25" s="104">
        <f t="shared" si="1"/>
        <v>151.75994999999998</v>
      </c>
      <c r="U25" s="93">
        <f t="shared" si="2"/>
        <v>109.84626613411911</v>
      </c>
      <c r="V25" s="93">
        <v>0</v>
      </c>
      <c r="W25" s="93">
        <f t="shared" si="3"/>
        <v>0</v>
      </c>
      <c r="X25" s="89">
        <f t="shared" si="4"/>
        <v>3.9554876788444986E-3</v>
      </c>
      <c r="Y25" s="93">
        <f t="shared" si="5"/>
        <v>10.790202657381744</v>
      </c>
      <c r="Z25" s="92">
        <f t="shared" si="6"/>
        <v>0</v>
      </c>
      <c r="AA25" s="93">
        <f t="shared" si="7"/>
        <v>1.5625666212617721</v>
      </c>
      <c r="AB25" s="93">
        <f t="shared" si="8"/>
        <v>0</v>
      </c>
      <c r="AC25" s="93">
        <f t="shared" si="9"/>
        <v>0.22889008134413583</v>
      </c>
      <c r="AD25" s="93">
        <f t="shared" si="10"/>
        <v>0</v>
      </c>
      <c r="AE25" s="93">
        <f t="shared" si="11"/>
        <v>3.3528598797091205E-2</v>
      </c>
      <c r="AF25" s="92">
        <f t="shared" si="12"/>
        <v>0</v>
      </c>
      <c r="AG25" s="93">
        <f t="shared" si="13"/>
        <v>4.9113833620933042E-3</v>
      </c>
      <c r="AH25" s="92">
        <f t="shared" si="14"/>
        <v>0</v>
      </c>
      <c r="AI25" s="93">
        <f t="shared" si="15"/>
        <v>7.1943616476810275E-4</v>
      </c>
      <c r="AJ25" s="92">
        <f t="shared" si="16"/>
        <v>0</v>
      </c>
      <c r="AK25" s="93">
        <f t="shared" si="19"/>
        <v>0</v>
      </c>
      <c r="AL25" s="89" t="str">
        <f t="shared" si="17"/>
        <v>'pass'</v>
      </c>
    </row>
    <row r="26" spans="1:38" x14ac:dyDescent="0.2">
      <c r="A26" s="117" t="s">
        <v>1491</v>
      </c>
      <c r="B26" s="117" t="s">
        <v>1492</v>
      </c>
      <c r="C26" s="124">
        <v>740</v>
      </c>
      <c r="D26" s="119">
        <f t="shared" si="0"/>
        <v>1.7704619948800154E-2</v>
      </c>
      <c r="E26" s="120" t="s">
        <v>1493</v>
      </c>
      <c r="F26" s="121" t="s">
        <v>1494</v>
      </c>
      <c r="G26" s="122" t="s">
        <v>1495</v>
      </c>
      <c r="H26" s="121" t="s">
        <v>1477</v>
      </c>
      <c r="I26" s="118" t="s">
        <v>1496</v>
      </c>
      <c r="J26" s="121">
        <v>90.6</v>
      </c>
      <c r="K26" s="123">
        <f>3848909/5</f>
        <v>769781.8</v>
      </c>
      <c r="L26" s="123">
        <f>3084694/5</f>
        <v>616938.80000000005</v>
      </c>
      <c r="M26" s="123">
        <f>3603142/5</f>
        <v>720628.4</v>
      </c>
      <c r="N26" s="123">
        <f>3612929/5</f>
        <v>722585.8</v>
      </c>
      <c r="O26" s="123">
        <f>3848909/5</f>
        <v>769781.8</v>
      </c>
      <c r="P26" s="105" t="s">
        <v>1479</v>
      </c>
      <c r="Q26" s="91">
        <v>0.17</v>
      </c>
      <c r="R26" s="91"/>
      <c r="S26" s="104">
        <f t="shared" si="1"/>
        <v>65.431453000000005</v>
      </c>
      <c r="U26" s="93">
        <f t="shared" si="2"/>
        <v>47.36032661963916</v>
      </c>
      <c r="V26" s="93">
        <v>206.6</v>
      </c>
      <c r="W26" s="93">
        <f t="shared" si="3"/>
        <v>47.36032661963916</v>
      </c>
      <c r="X26" s="89">
        <f t="shared" si="4"/>
        <v>1.7054124368806984E-3</v>
      </c>
      <c r="Y26" s="93">
        <f t="shared" si="5"/>
        <v>4.6522065804380466</v>
      </c>
      <c r="Z26" s="92">
        <f t="shared" si="6"/>
        <v>52.012533200077208</v>
      </c>
      <c r="AA26" s="93">
        <f t="shared" si="7"/>
        <v>0.67370214894284342</v>
      </c>
      <c r="AB26" s="93">
        <f t="shared" si="8"/>
        <v>52.686235349020052</v>
      </c>
      <c r="AC26" s="93">
        <f t="shared" si="9"/>
        <v>9.8686185648025074E-2</v>
      </c>
      <c r="AD26" s="93">
        <f t="shared" si="10"/>
        <v>52.784921534668079</v>
      </c>
      <c r="AE26" s="93">
        <f t="shared" si="11"/>
        <v>1.4455888634305232E-2</v>
      </c>
      <c r="AF26" s="92">
        <f t="shared" si="12"/>
        <v>52.799377423302381</v>
      </c>
      <c r="AG26" s="93">
        <f t="shared" si="13"/>
        <v>2.1175478090351904E-3</v>
      </c>
      <c r="AH26" s="92">
        <f t="shared" si="14"/>
        <v>52.801494971111417</v>
      </c>
      <c r="AI26" s="93">
        <f t="shared" si="15"/>
        <v>3.1018561617557452E-4</v>
      </c>
      <c r="AJ26" s="92">
        <f t="shared" si="16"/>
        <v>52.801805156727596</v>
      </c>
      <c r="AK26" s="93">
        <f t="shared" si="19"/>
        <v>206.6</v>
      </c>
      <c r="AL26" s="89" t="str">
        <f t="shared" si="17"/>
        <v>'pass'</v>
      </c>
    </row>
    <row r="27" spans="1:38" x14ac:dyDescent="0.2">
      <c r="A27" s="117" t="s">
        <v>1491</v>
      </c>
      <c r="B27" s="117" t="s">
        <v>1492</v>
      </c>
      <c r="C27" s="124">
        <v>0</v>
      </c>
      <c r="D27" s="119">
        <f t="shared" si="0"/>
        <v>0</v>
      </c>
      <c r="E27" s="120" t="s">
        <v>1497</v>
      </c>
      <c r="F27" s="121" t="s">
        <v>1494</v>
      </c>
      <c r="G27" s="122" t="s">
        <v>1498</v>
      </c>
      <c r="H27" s="121" t="s">
        <v>1477</v>
      </c>
      <c r="I27" s="118" t="s">
        <v>1496</v>
      </c>
      <c r="J27" s="121">
        <v>90.6</v>
      </c>
      <c r="K27" s="123">
        <f>3848909/5</f>
        <v>769781.8</v>
      </c>
      <c r="L27" s="123">
        <f>3084694/5</f>
        <v>616938.80000000005</v>
      </c>
      <c r="M27" s="123">
        <f>3603142/5</f>
        <v>720628.4</v>
      </c>
      <c r="N27" s="123">
        <f>3612929/5</f>
        <v>722585.8</v>
      </c>
      <c r="O27" s="123">
        <f>3848909/5</f>
        <v>769781.8</v>
      </c>
      <c r="P27" s="105" t="s">
        <v>1479</v>
      </c>
      <c r="Q27" s="91">
        <v>0.17</v>
      </c>
      <c r="R27" s="91"/>
      <c r="S27" s="104">
        <f t="shared" si="1"/>
        <v>65.431453000000005</v>
      </c>
      <c r="U27" s="93">
        <f t="shared" si="2"/>
        <v>47.36032661963916</v>
      </c>
      <c r="V27" s="93">
        <v>206.6</v>
      </c>
      <c r="W27" s="93">
        <f t="shared" si="3"/>
        <v>47.36032661963916</v>
      </c>
      <c r="X27" s="89">
        <f t="shared" si="4"/>
        <v>1.7054124368806984E-3</v>
      </c>
      <c r="Y27" s="93">
        <f t="shared" si="5"/>
        <v>4.6522065804380466</v>
      </c>
      <c r="Z27" s="92">
        <f t="shared" si="6"/>
        <v>52.012533200077208</v>
      </c>
      <c r="AA27" s="93">
        <f t="shared" si="7"/>
        <v>0.67370214894284342</v>
      </c>
      <c r="AB27" s="93">
        <f t="shared" si="8"/>
        <v>52.686235349020052</v>
      </c>
      <c r="AC27" s="93">
        <f t="shared" si="9"/>
        <v>9.8686185648025074E-2</v>
      </c>
      <c r="AD27" s="93">
        <f t="shared" si="10"/>
        <v>52.784921534668079</v>
      </c>
      <c r="AE27" s="93">
        <f t="shared" si="11"/>
        <v>1.4455888634305232E-2</v>
      </c>
      <c r="AF27" s="92">
        <f t="shared" si="12"/>
        <v>52.799377423302381</v>
      </c>
      <c r="AG27" s="93">
        <f t="shared" si="13"/>
        <v>2.1175478090351904E-3</v>
      </c>
      <c r="AH27" s="92">
        <f t="shared" si="14"/>
        <v>52.801494971111417</v>
      </c>
      <c r="AI27" s="93">
        <f t="shared" si="15"/>
        <v>3.1018561617557452E-4</v>
      </c>
      <c r="AJ27" s="92">
        <f t="shared" si="16"/>
        <v>52.801805156727596</v>
      </c>
      <c r="AK27" s="93">
        <f t="shared" si="19"/>
        <v>206.6</v>
      </c>
      <c r="AL27" s="89" t="str">
        <f t="shared" si="17"/>
        <v>'pass'</v>
      </c>
    </row>
    <row r="28" spans="1:38" x14ac:dyDescent="0.2">
      <c r="A28" s="117" t="s">
        <v>1491</v>
      </c>
      <c r="B28" s="117" t="s">
        <v>1492</v>
      </c>
      <c r="C28" s="124">
        <v>0</v>
      </c>
      <c r="D28" s="119">
        <f t="shared" si="0"/>
        <v>0</v>
      </c>
      <c r="E28" s="120" t="s">
        <v>1499</v>
      </c>
      <c r="F28" s="121" t="s">
        <v>1494</v>
      </c>
      <c r="G28" s="122" t="s">
        <v>1500</v>
      </c>
      <c r="H28" s="121" t="s">
        <v>1477</v>
      </c>
      <c r="I28" s="118" t="s">
        <v>1496</v>
      </c>
      <c r="J28" s="121">
        <v>90.6</v>
      </c>
      <c r="K28" s="123">
        <f>3848909/5</f>
        <v>769781.8</v>
      </c>
      <c r="L28" s="123">
        <f>3084694/5</f>
        <v>616938.80000000005</v>
      </c>
      <c r="M28" s="123">
        <f>3603142/5</f>
        <v>720628.4</v>
      </c>
      <c r="N28" s="123">
        <f>3612929/5</f>
        <v>722585.8</v>
      </c>
      <c r="O28" s="123">
        <f>3848909/5</f>
        <v>769781.8</v>
      </c>
      <c r="P28" s="105" t="s">
        <v>1479</v>
      </c>
      <c r="Q28" s="91">
        <v>0.17</v>
      </c>
      <c r="R28" s="91"/>
      <c r="S28" s="104">
        <f t="shared" si="1"/>
        <v>65.431453000000005</v>
      </c>
      <c r="U28" s="93">
        <f t="shared" si="2"/>
        <v>47.36032661963916</v>
      </c>
      <c r="V28" s="93">
        <v>206.6</v>
      </c>
      <c r="W28" s="93">
        <f t="shared" si="3"/>
        <v>47.36032661963916</v>
      </c>
      <c r="X28" s="89">
        <f t="shared" si="4"/>
        <v>1.7054124368806984E-3</v>
      </c>
      <c r="Y28" s="93">
        <f t="shared" si="5"/>
        <v>4.6522065804380466</v>
      </c>
      <c r="Z28" s="92">
        <f t="shared" si="6"/>
        <v>52.012533200077208</v>
      </c>
      <c r="AA28" s="93">
        <f t="shared" si="7"/>
        <v>0.67370214894284342</v>
      </c>
      <c r="AB28" s="93">
        <f t="shared" si="8"/>
        <v>52.686235349020052</v>
      </c>
      <c r="AC28" s="93">
        <f t="shared" si="9"/>
        <v>9.8686185648025074E-2</v>
      </c>
      <c r="AD28" s="93">
        <f t="shared" si="10"/>
        <v>52.784921534668079</v>
      </c>
      <c r="AE28" s="93">
        <f t="shared" si="11"/>
        <v>1.4455888634305232E-2</v>
      </c>
      <c r="AF28" s="92">
        <f t="shared" si="12"/>
        <v>52.799377423302381</v>
      </c>
      <c r="AG28" s="93">
        <f t="shared" si="13"/>
        <v>2.1175478090351904E-3</v>
      </c>
      <c r="AH28" s="92">
        <f t="shared" si="14"/>
        <v>52.801494971111417</v>
      </c>
      <c r="AI28" s="93">
        <f t="shared" si="15"/>
        <v>3.1018561617557452E-4</v>
      </c>
      <c r="AJ28" s="92">
        <f t="shared" si="16"/>
        <v>52.801805156727596</v>
      </c>
      <c r="AK28" s="93">
        <f t="shared" si="19"/>
        <v>206.6</v>
      </c>
      <c r="AL28" s="89" t="str">
        <f t="shared" si="17"/>
        <v>'pass'</v>
      </c>
    </row>
    <row r="29" spans="1:38" x14ac:dyDescent="0.2">
      <c r="A29" s="117" t="s">
        <v>1491</v>
      </c>
      <c r="B29" s="117" t="s">
        <v>1492</v>
      </c>
      <c r="C29" s="124">
        <v>0</v>
      </c>
      <c r="D29" s="119">
        <f t="shared" si="0"/>
        <v>0</v>
      </c>
      <c r="E29" s="120" t="s">
        <v>1501</v>
      </c>
      <c r="F29" s="121" t="s">
        <v>1494</v>
      </c>
      <c r="G29" s="122" t="s">
        <v>1502</v>
      </c>
      <c r="H29" s="121" t="s">
        <v>1477</v>
      </c>
      <c r="I29" s="118" t="s">
        <v>1496</v>
      </c>
      <c r="J29" s="121">
        <v>90.6</v>
      </c>
      <c r="K29" s="123">
        <f>3848909/5</f>
        <v>769781.8</v>
      </c>
      <c r="L29" s="123">
        <f>3084694/5</f>
        <v>616938.80000000005</v>
      </c>
      <c r="M29" s="123">
        <f>3603142/5</f>
        <v>720628.4</v>
      </c>
      <c r="N29" s="123">
        <f>3612929/5</f>
        <v>722585.8</v>
      </c>
      <c r="O29" s="123">
        <f>3848909/5</f>
        <v>769781.8</v>
      </c>
      <c r="P29" s="105" t="s">
        <v>1479</v>
      </c>
      <c r="Q29" s="91">
        <v>0.17</v>
      </c>
      <c r="R29" s="91"/>
      <c r="S29" s="104">
        <f t="shared" si="1"/>
        <v>65.431453000000005</v>
      </c>
      <c r="U29" s="93">
        <f t="shared" si="2"/>
        <v>47.36032661963916</v>
      </c>
      <c r="V29" s="93">
        <v>206.6</v>
      </c>
      <c r="W29" s="93">
        <f t="shared" si="3"/>
        <v>47.36032661963916</v>
      </c>
      <c r="X29" s="89">
        <f t="shared" si="4"/>
        <v>1.7054124368806984E-3</v>
      </c>
      <c r="Y29" s="93">
        <f t="shared" si="5"/>
        <v>4.6522065804380466</v>
      </c>
      <c r="Z29" s="92">
        <f t="shared" si="6"/>
        <v>52.012533200077208</v>
      </c>
      <c r="AA29" s="93">
        <f t="shared" si="7"/>
        <v>0.67370214894284342</v>
      </c>
      <c r="AB29" s="93">
        <f t="shared" si="8"/>
        <v>52.686235349020052</v>
      </c>
      <c r="AC29" s="93">
        <f t="shared" si="9"/>
        <v>9.8686185648025074E-2</v>
      </c>
      <c r="AD29" s="93">
        <f t="shared" si="10"/>
        <v>52.784921534668079</v>
      </c>
      <c r="AE29" s="93">
        <f t="shared" si="11"/>
        <v>1.4455888634305232E-2</v>
      </c>
      <c r="AF29" s="92">
        <f t="shared" si="12"/>
        <v>52.799377423302381</v>
      </c>
      <c r="AG29" s="93">
        <f t="shared" si="13"/>
        <v>2.1175478090351904E-3</v>
      </c>
      <c r="AH29" s="92">
        <f t="shared" si="14"/>
        <v>52.801494971111417</v>
      </c>
      <c r="AI29" s="93">
        <f t="shared" si="15"/>
        <v>3.1018561617557452E-4</v>
      </c>
      <c r="AJ29" s="92">
        <f t="shared" si="16"/>
        <v>52.801805156727596</v>
      </c>
      <c r="AK29" s="93">
        <f t="shared" si="19"/>
        <v>206.6</v>
      </c>
      <c r="AL29" s="89" t="str">
        <f t="shared" si="17"/>
        <v>'pass'</v>
      </c>
    </row>
    <row r="30" spans="1:38" x14ac:dyDescent="0.2">
      <c r="A30" s="117" t="s">
        <v>1491</v>
      </c>
      <c r="B30" s="117" t="s">
        <v>1492</v>
      </c>
      <c r="C30" s="124">
        <v>0</v>
      </c>
      <c r="D30" s="119">
        <f t="shared" si="0"/>
        <v>0</v>
      </c>
      <c r="E30" s="120" t="s">
        <v>1503</v>
      </c>
      <c r="F30" s="121" t="s">
        <v>1494</v>
      </c>
      <c r="G30" s="122" t="s">
        <v>1504</v>
      </c>
      <c r="H30" s="121" t="s">
        <v>1477</v>
      </c>
      <c r="I30" s="118" t="s">
        <v>1496</v>
      </c>
      <c r="J30" s="121">
        <v>90.6</v>
      </c>
      <c r="K30" s="123">
        <f>3848909/5</f>
        <v>769781.8</v>
      </c>
      <c r="L30" s="123">
        <f>3084694/5</f>
        <v>616938.80000000005</v>
      </c>
      <c r="M30" s="123">
        <f>3603142/5</f>
        <v>720628.4</v>
      </c>
      <c r="N30" s="123">
        <f>3612929/5</f>
        <v>722585.8</v>
      </c>
      <c r="O30" s="123">
        <f>3848909/5</f>
        <v>769781.8</v>
      </c>
      <c r="P30" s="105" t="s">
        <v>1479</v>
      </c>
      <c r="Q30" s="91">
        <v>0.17</v>
      </c>
      <c r="R30" s="91"/>
      <c r="S30" s="104">
        <f t="shared" si="1"/>
        <v>65.431453000000005</v>
      </c>
      <c r="U30" s="93">
        <f t="shared" si="2"/>
        <v>47.36032661963916</v>
      </c>
      <c r="V30" s="93">
        <v>206.6</v>
      </c>
      <c r="W30" s="93">
        <f t="shared" si="3"/>
        <v>47.36032661963916</v>
      </c>
      <c r="X30" s="89">
        <f t="shared" si="4"/>
        <v>1.7054124368806984E-3</v>
      </c>
      <c r="Y30" s="93">
        <f t="shared" si="5"/>
        <v>4.6522065804380466</v>
      </c>
      <c r="Z30" s="92">
        <f t="shared" si="6"/>
        <v>52.012533200077208</v>
      </c>
      <c r="AA30" s="93">
        <f t="shared" si="7"/>
        <v>0.67370214894284342</v>
      </c>
      <c r="AB30" s="93">
        <f t="shared" si="8"/>
        <v>52.686235349020052</v>
      </c>
      <c r="AC30" s="93">
        <f t="shared" si="9"/>
        <v>9.8686185648025074E-2</v>
      </c>
      <c r="AD30" s="93">
        <f t="shared" si="10"/>
        <v>52.784921534668079</v>
      </c>
      <c r="AE30" s="93">
        <f t="shared" si="11"/>
        <v>1.4455888634305232E-2</v>
      </c>
      <c r="AF30" s="92">
        <f t="shared" si="12"/>
        <v>52.799377423302381</v>
      </c>
      <c r="AG30" s="93">
        <f t="shared" si="13"/>
        <v>2.1175478090351904E-3</v>
      </c>
      <c r="AH30" s="92">
        <f t="shared" si="14"/>
        <v>52.801494971111417</v>
      </c>
      <c r="AI30" s="93">
        <f t="shared" si="15"/>
        <v>3.1018561617557452E-4</v>
      </c>
      <c r="AJ30" s="92">
        <f t="shared" si="16"/>
        <v>52.801805156727596</v>
      </c>
      <c r="AK30" s="93">
        <f t="shared" si="19"/>
        <v>206.6</v>
      </c>
      <c r="AL30" s="89" t="str">
        <f t="shared" si="17"/>
        <v>'pass'</v>
      </c>
    </row>
    <row r="31" spans="1:38" x14ac:dyDescent="0.2">
      <c r="A31" s="117" t="s">
        <v>1505</v>
      </c>
      <c r="B31" s="117" t="s">
        <v>1506</v>
      </c>
      <c r="C31" s="124">
        <v>145</v>
      </c>
      <c r="D31" s="119">
        <f t="shared" si="0"/>
        <v>3.469148503481111E-3</v>
      </c>
      <c r="E31" s="125" t="s">
        <v>1507</v>
      </c>
      <c r="F31" s="121" t="s">
        <v>1508</v>
      </c>
      <c r="G31" s="122" t="s">
        <v>1509</v>
      </c>
      <c r="H31" s="121" t="s">
        <v>1477</v>
      </c>
      <c r="I31" s="118" t="s">
        <v>1510</v>
      </c>
      <c r="J31" s="121">
        <v>47</v>
      </c>
      <c r="K31" s="123">
        <v>1458200</v>
      </c>
      <c r="L31" s="123">
        <v>1366396</v>
      </c>
      <c r="M31" s="123">
        <v>1062634</v>
      </c>
      <c r="N31" s="123">
        <v>963094</v>
      </c>
      <c r="O31" s="104">
        <v>1458200</v>
      </c>
      <c r="P31" s="105" t="s">
        <v>1463</v>
      </c>
      <c r="Q31" s="91">
        <f>IF(J31&gt;25,0.15,0)</f>
        <v>0.15</v>
      </c>
      <c r="R31" s="116"/>
      <c r="S31" s="104">
        <f t="shared" si="1"/>
        <v>109.36499999999999</v>
      </c>
      <c r="U31" s="93">
        <f t="shared" si="2"/>
        <v>79.160126869822619</v>
      </c>
      <c r="V31" s="93">
        <v>147.19999999999999</v>
      </c>
      <c r="W31" s="93">
        <f t="shared" si="3"/>
        <v>79.160126869822619</v>
      </c>
      <c r="X31" s="89">
        <f t="shared" si="4"/>
        <v>2.8505011368073633E-3</v>
      </c>
      <c r="Y31" s="93">
        <f t="shared" si="5"/>
        <v>7.7759020981790954</v>
      </c>
      <c r="Z31" s="92">
        <f t="shared" si="6"/>
        <v>86.936028968001722</v>
      </c>
      <c r="AA31" s="93">
        <f t="shared" si="7"/>
        <v>1.1260553165330756</v>
      </c>
      <c r="AB31" s="93">
        <f t="shared" si="8"/>
        <v>88.062084284534791</v>
      </c>
      <c r="AC31" s="93">
        <f t="shared" si="9"/>
        <v>0.16494841851358949</v>
      </c>
      <c r="AD31" s="93">
        <f t="shared" si="10"/>
        <v>88.22703270304838</v>
      </c>
      <c r="AE31" s="93">
        <f t="shared" si="11"/>
        <v>2.4162206217410324E-2</v>
      </c>
      <c r="AF31" s="92">
        <f t="shared" si="12"/>
        <v>88.251194909265791</v>
      </c>
      <c r="AG31" s="93">
        <f t="shared" si="13"/>
        <v>3.5393622717675793E-3</v>
      </c>
      <c r="AH31" s="92">
        <f t="shared" si="14"/>
        <v>88.254734271537558</v>
      </c>
      <c r="AI31" s="93">
        <f t="shared" si="15"/>
        <v>5.1845784187371945E-4</v>
      </c>
      <c r="AJ31" s="92">
        <f t="shared" si="16"/>
        <v>88.255252729379436</v>
      </c>
      <c r="AK31" s="93">
        <f t="shared" si="19"/>
        <v>147.19999999999999</v>
      </c>
      <c r="AL31" s="89" t="str">
        <f t="shared" si="17"/>
        <v>'pass'</v>
      </c>
    </row>
    <row r="32" spans="1:38" x14ac:dyDescent="0.2">
      <c r="A32" s="117" t="s">
        <v>1511</v>
      </c>
      <c r="B32" s="117" t="s">
        <v>1512</v>
      </c>
      <c r="C32" s="124">
        <v>36</v>
      </c>
      <c r="D32" s="119">
        <f t="shared" si="0"/>
        <v>8.6130583534703453E-4</v>
      </c>
      <c r="E32" s="120" t="s">
        <v>1513</v>
      </c>
      <c r="F32" s="121" t="s">
        <v>1514</v>
      </c>
      <c r="G32" s="122" t="s">
        <v>1460</v>
      </c>
      <c r="H32" s="121" t="s">
        <v>1461</v>
      </c>
      <c r="I32" s="118" t="s">
        <v>1512</v>
      </c>
      <c r="J32" s="121">
        <v>79</v>
      </c>
      <c r="K32" s="123">
        <f>1597389/2</f>
        <v>798694.5</v>
      </c>
      <c r="L32" s="123">
        <f>990073/2</f>
        <v>495036.5</v>
      </c>
      <c r="M32" s="123">
        <f>2237161/2</f>
        <v>1118580.5</v>
      </c>
      <c r="N32" s="123">
        <f>2065866/2</f>
        <v>1032933</v>
      </c>
      <c r="O32" s="104">
        <v>1118581</v>
      </c>
      <c r="P32" s="105" t="s">
        <v>1515</v>
      </c>
      <c r="Q32" s="91">
        <v>0.15</v>
      </c>
      <c r="R32" s="91"/>
      <c r="S32" s="104">
        <f t="shared" si="1"/>
        <v>83.893574999999998</v>
      </c>
      <c r="U32" s="93">
        <f t="shared" si="2"/>
        <v>60.723504234105789</v>
      </c>
      <c r="V32" s="93">
        <v>43.978000000000002</v>
      </c>
      <c r="W32" s="93">
        <f t="shared" si="3"/>
        <v>43.978000000000002</v>
      </c>
      <c r="X32" s="89">
        <f t="shared" si="4"/>
        <v>2.1866111727548466E-3</v>
      </c>
      <c r="Y32" s="93">
        <f t="shared" si="5"/>
        <v>5.964871996216754</v>
      </c>
      <c r="Z32" s="92">
        <f t="shared" si="6"/>
        <v>43.978000000000002</v>
      </c>
      <c r="AA32" s="93">
        <f t="shared" si="7"/>
        <v>0.86379377453222073</v>
      </c>
      <c r="AB32" s="93">
        <f t="shared" si="8"/>
        <v>43.978000000000002</v>
      </c>
      <c r="AC32" s="93">
        <f t="shared" si="9"/>
        <v>0.12653145448453537</v>
      </c>
      <c r="AD32" s="93">
        <f t="shared" si="10"/>
        <v>43.978000000000002</v>
      </c>
      <c r="AE32" s="93">
        <f t="shared" si="11"/>
        <v>1.853475846446102E-2</v>
      </c>
      <c r="AF32" s="92">
        <f t="shared" si="12"/>
        <v>43.978000000000002</v>
      </c>
      <c r="AG32" s="93">
        <f t="shared" si="13"/>
        <v>2.7150345558332538E-3</v>
      </c>
      <c r="AH32" s="92">
        <f t="shared" si="14"/>
        <v>43.978000000000002</v>
      </c>
      <c r="AI32" s="93">
        <f t="shared" si="15"/>
        <v>3.9770751009528661E-4</v>
      </c>
      <c r="AJ32" s="92">
        <f t="shared" si="16"/>
        <v>43.978000000000002</v>
      </c>
      <c r="AK32" s="93">
        <f t="shared" si="19"/>
        <v>43.978000000000002</v>
      </c>
      <c r="AL32" s="89" t="str">
        <f t="shared" si="17"/>
        <v>'pass'</v>
      </c>
    </row>
    <row r="33" spans="1:38" x14ac:dyDescent="0.2">
      <c r="A33" s="117" t="s">
        <v>1511</v>
      </c>
      <c r="B33" s="117" t="s">
        <v>1512</v>
      </c>
      <c r="C33" s="124">
        <v>14</v>
      </c>
      <c r="D33" s="119">
        <f t="shared" si="0"/>
        <v>3.3495226930162453E-4</v>
      </c>
      <c r="E33" s="120" t="s">
        <v>1516</v>
      </c>
      <c r="F33" s="121" t="s">
        <v>1514</v>
      </c>
      <c r="G33" s="122" t="s">
        <v>1517</v>
      </c>
      <c r="H33" s="121" t="s">
        <v>1461</v>
      </c>
      <c r="I33" s="118" t="s">
        <v>1512</v>
      </c>
      <c r="J33" s="121">
        <v>79</v>
      </c>
      <c r="K33" s="123">
        <f>1597389/2</f>
        <v>798694.5</v>
      </c>
      <c r="L33" s="123">
        <f>990073/2</f>
        <v>495036.5</v>
      </c>
      <c r="M33" s="123">
        <f>2237161/2</f>
        <v>1118580.5</v>
      </c>
      <c r="N33" s="123">
        <f>2065866/2</f>
        <v>1032933</v>
      </c>
      <c r="O33" s="104">
        <v>1118581</v>
      </c>
      <c r="P33" s="105" t="s">
        <v>1515</v>
      </c>
      <c r="Q33" s="91">
        <v>0.15</v>
      </c>
      <c r="R33" s="91"/>
      <c r="S33" s="104">
        <f t="shared" si="1"/>
        <v>83.893574999999998</v>
      </c>
      <c r="U33" s="93">
        <f t="shared" si="2"/>
        <v>60.723504234105789</v>
      </c>
      <c r="V33" s="93">
        <v>24.189</v>
      </c>
      <c r="W33" s="93">
        <f t="shared" si="3"/>
        <v>24.189</v>
      </c>
      <c r="X33" s="89">
        <f t="shared" si="4"/>
        <v>2.1866111727548466E-3</v>
      </c>
      <c r="Y33" s="93">
        <f t="shared" si="5"/>
        <v>5.964871996216754</v>
      </c>
      <c r="Z33" s="92">
        <f t="shared" si="6"/>
        <v>24.189</v>
      </c>
      <c r="AA33" s="93">
        <f t="shared" si="7"/>
        <v>0.86379377453222073</v>
      </c>
      <c r="AB33" s="93">
        <f t="shared" si="8"/>
        <v>24.189</v>
      </c>
      <c r="AC33" s="93">
        <f t="shared" si="9"/>
        <v>0.12653145448453537</v>
      </c>
      <c r="AD33" s="93">
        <f t="shared" si="10"/>
        <v>24.189</v>
      </c>
      <c r="AE33" s="93">
        <f t="shared" si="11"/>
        <v>1.853475846446102E-2</v>
      </c>
      <c r="AF33" s="92">
        <f t="shared" si="12"/>
        <v>24.189</v>
      </c>
      <c r="AG33" s="93">
        <f t="shared" si="13"/>
        <v>2.7150345558332538E-3</v>
      </c>
      <c r="AH33" s="92">
        <f t="shared" si="14"/>
        <v>24.189</v>
      </c>
      <c r="AI33" s="93">
        <f t="shared" si="15"/>
        <v>3.9770751009528661E-4</v>
      </c>
      <c r="AJ33" s="92">
        <f t="shared" si="16"/>
        <v>24.189</v>
      </c>
      <c r="AK33" s="93">
        <f t="shared" si="19"/>
        <v>24.189</v>
      </c>
      <c r="AL33" s="89" t="str">
        <f t="shared" si="17"/>
        <v>'pass'</v>
      </c>
    </row>
    <row r="34" spans="1:38" x14ac:dyDescent="0.2">
      <c r="A34" s="117" t="s">
        <v>1511</v>
      </c>
      <c r="B34" s="117" t="s">
        <v>1518</v>
      </c>
      <c r="C34" s="124">
        <v>113</v>
      </c>
      <c r="D34" s="119">
        <f t="shared" si="0"/>
        <v>2.7035433165059695E-3</v>
      </c>
      <c r="E34" s="120" t="s">
        <v>1519</v>
      </c>
      <c r="F34" s="121" t="s">
        <v>1520</v>
      </c>
      <c r="G34" s="122" t="s">
        <v>1460</v>
      </c>
      <c r="H34" s="121" t="s">
        <v>1461</v>
      </c>
      <c r="I34" s="118" t="s">
        <v>1521</v>
      </c>
      <c r="J34" s="121">
        <v>60</v>
      </c>
      <c r="K34" s="123">
        <v>1333970</v>
      </c>
      <c r="L34" s="123">
        <v>1362072</v>
      </c>
      <c r="M34" s="123">
        <v>1154173</v>
      </c>
      <c r="N34" s="123">
        <v>1209773</v>
      </c>
      <c r="O34" s="104">
        <v>1362072</v>
      </c>
      <c r="P34" s="105" t="s">
        <v>1522</v>
      </c>
      <c r="Q34" s="91">
        <f>IF(J34&gt;25,0.15,0)</f>
        <v>0.15</v>
      </c>
      <c r="R34" s="91"/>
      <c r="S34" s="104">
        <f t="shared" si="1"/>
        <v>102.1554</v>
      </c>
      <c r="U34" s="93">
        <f t="shared" si="2"/>
        <v>73.941703693480349</v>
      </c>
      <c r="V34" s="93">
        <v>127</v>
      </c>
      <c r="W34" s="93">
        <f t="shared" si="3"/>
        <v>73.941703693480349</v>
      </c>
      <c r="X34" s="89">
        <f t="shared" si="4"/>
        <v>2.6625893460523104E-3</v>
      </c>
      <c r="Y34" s="93">
        <f t="shared" si="5"/>
        <v>7.2632962026272097</v>
      </c>
      <c r="Z34" s="92">
        <f t="shared" si="6"/>
        <v>81.204999896107552</v>
      </c>
      <c r="AA34" s="93">
        <f t="shared" si="7"/>
        <v>1.0518230812651483</v>
      </c>
      <c r="AB34" s="93">
        <f t="shared" si="8"/>
        <v>82.256822977372707</v>
      </c>
      <c r="AC34" s="93">
        <f t="shared" si="9"/>
        <v>0.15407462782995604</v>
      </c>
      <c r="AD34" s="93">
        <f t="shared" si="10"/>
        <v>82.410897605202663</v>
      </c>
      <c r="AE34" s="93">
        <f t="shared" si="11"/>
        <v>2.256937631803629E-2</v>
      </c>
      <c r="AF34" s="92">
        <f t="shared" si="12"/>
        <v>82.433466981520695</v>
      </c>
      <c r="AG34" s="93">
        <f t="shared" si="13"/>
        <v>3.3060391223638805E-3</v>
      </c>
      <c r="AH34" s="92">
        <f t="shared" si="14"/>
        <v>82.436773020643059</v>
      </c>
      <c r="AI34" s="93">
        <f t="shared" si="15"/>
        <v>4.8427987216885255E-4</v>
      </c>
      <c r="AJ34" s="92">
        <f t="shared" si="16"/>
        <v>82.437257300515228</v>
      </c>
      <c r="AK34" s="93">
        <f t="shared" si="19"/>
        <v>127</v>
      </c>
      <c r="AL34" s="89" t="str">
        <f t="shared" si="17"/>
        <v>'pass'</v>
      </c>
    </row>
    <row r="35" spans="1:38" x14ac:dyDescent="0.2">
      <c r="A35" s="117" t="s">
        <v>1511</v>
      </c>
      <c r="B35" s="117" t="s">
        <v>1518</v>
      </c>
      <c r="C35" s="124">
        <v>114</v>
      </c>
      <c r="D35" s="119">
        <f t="shared" si="0"/>
        <v>2.7274684785989424E-3</v>
      </c>
      <c r="E35" s="120" t="s">
        <v>1523</v>
      </c>
      <c r="F35" s="121" t="s">
        <v>1520</v>
      </c>
      <c r="G35" s="122" t="s">
        <v>1517</v>
      </c>
      <c r="H35" s="121" t="s">
        <v>1461</v>
      </c>
      <c r="I35" s="118" t="s">
        <v>1521</v>
      </c>
      <c r="J35" s="121">
        <v>60</v>
      </c>
      <c r="K35" s="123">
        <v>1399596</v>
      </c>
      <c r="L35" s="123">
        <v>1296152</v>
      </c>
      <c r="M35" s="123">
        <v>1198752</v>
      </c>
      <c r="N35" s="123">
        <v>1304645</v>
      </c>
      <c r="O35" s="104">
        <v>1399596</v>
      </c>
      <c r="P35" s="105" t="s">
        <v>1463</v>
      </c>
      <c r="Q35" s="91">
        <f>IF(J35&gt;25,0.15,0)</f>
        <v>0.15</v>
      </c>
      <c r="R35" s="91"/>
      <c r="S35" s="104">
        <f t="shared" si="1"/>
        <v>104.9697</v>
      </c>
      <c r="U35" s="93">
        <f t="shared" si="2"/>
        <v>75.978738805716816</v>
      </c>
      <c r="V35" s="93">
        <v>127</v>
      </c>
      <c r="W35" s="93">
        <f t="shared" si="3"/>
        <v>75.978738805716816</v>
      </c>
      <c r="X35" s="89">
        <f t="shared" si="4"/>
        <v>2.7359415643060199E-3</v>
      </c>
      <c r="Y35" s="93">
        <f t="shared" si="5"/>
        <v>7.4633942346749889</v>
      </c>
      <c r="Z35" s="92">
        <f t="shared" si="6"/>
        <v>83.442133040391809</v>
      </c>
      <c r="AA35" s="93">
        <f t="shared" si="7"/>
        <v>1.0807999703733551</v>
      </c>
      <c r="AB35" s="93">
        <f t="shared" si="8"/>
        <v>84.522933010765158</v>
      </c>
      <c r="AC35" s="93">
        <f t="shared" si="9"/>
        <v>0.15831926125219162</v>
      </c>
      <c r="AD35" s="93">
        <f t="shared" si="10"/>
        <v>84.681252272017346</v>
      </c>
      <c r="AE35" s="93">
        <f t="shared" si="11"/>
        <v>2.3191144680470867E-2</v>
      </c>
      <c r="AF35" s="92">
        <f t="shared" si="12"/>
        <v>84.704443416697814</v>
      </c>
      <c r="AG35" s="93">
        <f t="shared" si="13"/>
        <v>3.3971178700567938E-3</v>
      </c>
      <c r="AH35" s="92">
        <f t="shared" si="14"/>
        <v>84.707840534567865</v>
      </c>
      <c r="AI35" s="93">
        <f t="shared" si="15"/>
        <v>4.9762139737696484E-4</v>
      </c>
      <c r="AJ35" s="92">
        <f t="shared" si="16"/>
        <v>84.708338155965237</v>
      </c>
      <c r="AK35" s="93">
        <f t="shared" si="19"/>
        <v>127</v>
      </c>
      <c r="AL35" s="89" t="str">
        <f t="shared" si="17"/>
        <v>'pass'</v>
      </c>
    </row>
    <row r="36" spans="1:38" x14ac:dyDescent="0.2">
      <c r="A36" s="117" t="s">
        <v>1524</v>
      </c>
      <c r="B36" s="117" t="s">
        <v>1525</v>
      </c>
      <c r="C36" s="124">
        <v>64</v>
      </c>
      <c r="D36" s="119">
        <f t="shared" si="0"/>
        <v>1.5312103739502836E-3</v>
      </c>
      <c r="E36" s="120" t="s">
        <v>1526</v>
      </c>
      <c r="F36" s="121" t="s">
        <v>1527</v>
      </c>
      <c r="G36" s="122" t="s">
        <v>1460</v>
      </c>
      <c r="H36" s="121" t="s">
        <v>1477</v>
      </c>
      <c r="I36" s="118" t="s">
        <v>1528</v>
      </c>
      <c r="J36" s="121">
        <v>1125.7</v>
      </c>
      <c r="K36" s="123">
        <v>1463623</v>
      </c>
      <c r="L36" s="123">
        <v>1588471</v>
      </c>
      <c r="M36" s="123">
        <v>3280273</v>
      </c>
      <c r="N36" s="123">
        <v>2246557</v>
      </c>
      <c r="O36" s="104">
        <v>3280273</v>
      </c>
      <c r="P36" s="105" t="s">
        <v>1515</v>
      </c>
      <c r="Q36" s="91">
        <v>0.15</v>
      </c>
      <c r="R36" s="91"/>
      <c r="S36" s="104">
        <f t="shared" si="1"/>
        <v>246.02047499999998</v>
      </c>
      <c r="U36" s="93">
        <f t="shared" si="2"/>
        <v>178.07353370432975</v>
      </c>
      <c r="V36" s="93">
        <f>164786/2000</f>
        <v>82.393000000000001</v>
      </c>
      <c r="W36" s="93">
        <f t="shared" si="3"/>
        <v>82.393000000000001</v>
      </c>
      <c r="X36" s="89">
        <f t="shared" si="4"/>
        <v>6.4123041527489365E-3</v>
      </c>
      <c r="Y36" s="93">
        <f t="shared" si="5"/>
        <v>17.492169594911694</v>
      </c>
      <c r="Z36" s="92">
        <f t="shared" si="6"/>
        <v>82.393000000000001</v>
      </c>
      <c r="AA36" s="93">
        <f t="shared" si="7"/>
        <v>2.5331016673500897</v>
      </c>
      <c r="AB36" s="93">
        <f t="shared" si="8"/>
        <v>82.393000000000001</v>
      </c>
      <c r="AC36" s="93">
        <f t="shared" si="9"/>
        <v>0.37105736088521996</v>
      </c>
      <c r="AD36" s="93">
        <f t="shared" si="10"/>
        <v>82.393000000000001</v>
      </c>
      <c r="AE36" s="93">
        <f t="shared" si="11"/>
        <v>5.4353746177069819E-2</v>
      </c>
      <c r="AF36" s="92">
        <f t="shared" si="12"/>
        <v>82.393000000000001</v>
      </c>
      <c r="AG36" s="93">
        <f t="shared" si="13"/>
        <v>7.9619218881483E-3</v>
      </c>
      <c r="AH36" s="92">
        <f t="shared" si="14"/>
        <v>82.393000000000001</v>
      </c>
      <c r="AI36" s="93">
        <f t="shared" si="15"/>
        <v>1.1662894392652798E-3</v>
      </c>
      <c r="AJ36" s="92">
        <f t="shared" si="16"/>
        <v>82.393000000000001</v>
      </c>
      <c r="AK36" s="93">
        <f t="shared" si="19"/>
        <v>82.393000000000001</v>
      </c>
      <c r="AL36" s="89" t="str">
        <f t="shared" si="17"/>
        <v>'pass'</v>
      </c>
    </row>
    <row r="37" spans="1:38" x14ac:dyDescent="0.2">
      <c r="A37" s="117" t="s">
        <v>1524</v>
      </c>
      <c r="B37" s="117" t="s">
        <v>1529</v>
      </c>
      <c r="C37" s="124">
        <v>78</v>
      </c>
      <c r="D37" s="119">
        <f t="shared" si="0"/>
        <v>1.8661626432519081E-3</v>
      </c>
      <c r="E37" s="120" t="s">
        <v>1530</v>
      </c>
      <c r="F37" s="121" t="s">
        <v>1531</v>
      </c>
      <c r="G37" s="122" t="s">
        <v>1460</v>
      </c>
      <c r="H37" s="121" t="s">
        <v>1477</v>
      </c>
      <c r="I37" s="118" t="s">
        <v>1532</v>
      </c>
      <c r="J37" s="121">
        <v>63.8</v>
      </c>
      <c r="K37" s="123">
        <v>406770</v>
      </c>
      <c r="L37" s="123">
        <v>685535</v>
      </c>
      <c r="M37" s="123">
        <v>225927</v>
      </c>
      <c r="N37" s="123">
        <v>373426</v>
      </c>
      <c r="O37" s="104">
        <v>685535</v>
      </c>
      <c r="P37" s="105" t="s">
        <v>1522</v>
      </c>
      <c r="Q37" s="91">
        <f t="shared" ref="Q37:Q50" si="20">IF(J37&gt;25,0.15,0)</f>
        <v>0.15</v>
      </c>
      <c r="R37" s="91"/>
      <c r="S37" s="104">
        <f t="shared" si="1"/>
        <v>51.415125000000003</v>
      </c>
      <c r="U37" s="93">
        <f t="shared" si="2"/>
        <v>37.21508542977908</v>
      </c>
      <c r="V37" s="93">
        <f>195134/2000</f>
        <v>97.566999999999993</v>
      </c>
      <c r="W37" s="93">
        <f t="shared" si="3"/>
        <v>37.21508542977908</v>
      </c>
      <c r="X37" s="89">
        <f t="shared" si="4"/>
        <v>1.3400893545612645E-3</v>
      </c>
      <c r="Y37" s="93">
        <f t="shared" si="5"/>
        <v>3.6556391749247061</v>
      </c>
      <c r="Z37" s="92">
        <f t="shared" si="6"/>
        <v>40.870724604703788</v>
      </c>
      <c r="AA37" s="93">
        <f t="shared" si="7"/>
        <v>0.52938577110101637</v>
      </c>
      <c r="AB37" s="93">
        <f t="shared" si="8"/>
        <v>41.400110375804807</v>
      </c>
      <c r="AC37" s="93">
        <f t="shared" si="9"/>
        <v>7.7546231028469068E-2</v>
      </c>
      <c r="AD37" s="93">
        <f t="shared" si="10"/>
        <v>41.477656606833278</v>
      </c>
      <c r="AE37" s="93">
        <f t="shared" si="11"/>
        <v>1.1359236071356733E-2</v>
      </c>
      <c r="AF37" s="92">
        <f t="shared" si="12"/>
        <v>41.489015842904635</v>
      </c>
      <c r="AG37" s="93">
        <f t="shared" si="13"/>
        <v>1.6639395933179177E-3</v>
      </c>
      <c r="AH37" s="92">
        <f t="shared" si="14"/>
        <v>41.490679782497956</v>
      </c>
      <c r="AI37" s="93">
        <f t="shared" si="15"/>
        <v>2.437395395891512E-4</v>
      </c>
      <c r="AJ37" s="92">
        <f t="shared" si="16"/>
        <v>41.490923522037548</v>
      </c>
      <c r="AK37" s="93">
        <f t="shared" si="19"/>
        <v>97.566999999999993</v>
      </c>
      <c r="AL37" s="89" t="str">
        <f t="shared" si="17"/>
        <v>'pass'</v>
      </c>
    </row>
    <row r="38" spans="1:38" x14ac:dyDescent="0.2">
      <c r="A38" s="117" t="s">
        <v>1524</v>
      </c>
      <c r="B38" s="117" t="s">
        <v>1533</v>
      </c>
      <c r="C38" s="124">
        <v>41</v>
      </c>
      <c r="D38" s="119">
        <f t="shared" si="0"/>
        <v>9.8093164581190048E-4</v>
      </c>
      <c r="E38" s="120" t="s">
        <v>1534</v>
      </c>
      <c r="F38" s="121" t="s">
        <v>1535</v>
      </c>
      <c r="G38" s="122" t="s">
        <v>1460</v>
      </c>
      <c r="H38" s="121" t="s">
        <v>1477</v>
      </c>
      <c r="I38" s="118" t="s">
        <v>1536</v>
      </c>
      <c r="J38" s="121">
        <v>90.7</v>
      </c>
      <c r="K38" s="123">
        <v>781100</v>
      </c>
      <c r="L38" s="123">
        <v>990073</v>
      </c>
      <c r="M38" s="123">
        <v>497227</v>
      </c>
      <c r="N38" s="123">
        <v>557571</v>
      </c>
      <c r="O38" s="104">
        <v>990073</v>
      </c>
      <c r="P38" s="105" t="s">
        <v>1522</v>
      </c>
      <c r="Q38" s="91">
        <f t="shared" si="20"/>
        <v>0.15</v>
      </c>
      <c r="R38" s="91"/>
      <c r="S38" s="104">
        <f t="shared" si="1"/>
        <v>74.25547499999999</v>
      </c>
      <c r="U38" s="93">
        <f t="shared" si="2"/>
        <v>53.747294123155868</v>
      </c>
      <c r="V38" s="93">
        <f>105481/2000</f>
        <v>52.740499999999997</v>
      </c>
      <c r="W38" s="93">
        <f t="shared" si="3"/>
        <v>52.740499999999997</v>
      </c>
      <c r="X38" s="89">
        <f t="shared" si="4"/>
        <v>1.9354026964903829E-3</v>
      </c>
      <c r="Y38" s="93">
        <f t="shared" si="5"/>
        <v>5.2795986271090873</v>
      </c>
      <c r="Z38" s="92">
        <f t="shared" si="6"/>
        <v>52.740499999999997</v>
      </c>
      <c r="AA38" s="93">
        <f t="shared" si="7"/>
        <v>0.76455696434360965</v>
      </c>
      <c r="AB38" s="93">
        <f t="shared" si="8"/>
        <v>52.740499999999997</v>
      </c>
      <c r="AC38" s="93">
        <f t="shared" si="9"/>
        <v>0.11199490849197989</v>
      </c>
      <c r="AD38" s="93">
        <f t="shared" si="10"/>
        <v>52.740499999999997</v>
      </c>
      <c r="AE38" s="93">
        <f t="shared" si="11"/>
        <v>1.6405395690776359E-2</v>
      </c>
      <c r="AF38" s="92">
        <f t="shared" si="12"/>
        <v>52.740499999999997</v>
      </c>
      <c r="AG38" s="93">
        <f t="shared" si="13"/>
        <v>2.403118243379332E-3</v>
      </c>
      <c r="AH38" s="92">
        <f t="shared" si="14"/>
        <v>52.740499999999997</v>
      </c>
      <c r="AI38" s="93">
        <f t="shared" si="15"/>
        <v>3.5201694615103482E-4</v>
      </c>
      <c r="AJ38" s="92">
        <f t="shared" si="16"/>
        <v>52.740499999999997</v>
      </c>
      <c r="AK38" s="93">
        <f t="shared" si="19"/>
        <v>52.740499999999997</v>
      </c>
      <c r="AL38" s="89" t="str">
        <f t="shared" si="17"/>
        <v>'pass'</v>
      </c>
    </row>
    <row r="39" spans="1:38" x14ac:dyDescent="0.2">
      <c r="A39" s="117" t="s">
        <v>1524</v>
      </c>
      <c r="B39" s="117" t="s">
        <v>1537</v>
      </c>
      <c r="C39" s="124">
        <v>131</v>
      </c>
      <c r="D39" s="119">
        <f t="shared" si="0"/>
        <v>3.1341962341794867E-3</v>
      </c>
      <c r="E39" s="120" t="s">
        <v>1538</v>
      </c>
      <c r="F39" s="121" t="s">
        <v>1539</v>
      </c>
      <c r="G39" s="122" t="s">
        <v>1460</v>
      </c>
      <c r="H39" s="121" t="s">
        <v>1477</v>
      </c>
      <c r="I39" s="118" t="s">
        <v>1540</v>
      </c>
      <c r="J39" s="121">
        <v>57.6</v>
      </c>
      <c r="K39" s="123">
        <v>1612698</v>
      </c>
      <c r="L39" s="123">
        <v>631681</v>
      </c>
      <c r="M39" s="123">
        <v>1406966</v>
      </c>
      <c r="N39" s="123">
        <v>1270469</v>
      </c>
      <c r="O39" s="104">
        <v>1612698</v>
      </c>
      <c r="P39" s="105" t="s">
        <v>1463</v>
      </c>
      <c r="Q39" s="91">
        <f t="shared" si="20"/>
        <v>0.15</v>
      </c>
      <c r="R39" s="91"/>
      <c r="S39" s="104">
        <f t="shared" si="1"/>
        <v>120.95235</v>
      </c>
      <c r="U39" s="93">
        <f t="shared" si="2"/>
        <v>87.54723514107063</v>
      </c>
      <c r="V39" s="93">
        <f>324273/2000</f>
        <v>162.13650000000001</v>
      </c>
      <c r="W39" s="93">
        <f t="shared" si="3"/>
        <v>87.54723514107063</v>
      </c>
      <c r="X39" s="89">
        <f t="shared" si="4"/>
        <v>3.1525150749739136E-3</v>
      </c>
      <c r="Y39" s="93">
        <f t="shared" si="5"/>
        <v>8.5997680441155051</v>
      </c>
      <c r="Z39" s="92">
        <f t="shared" si="6"/>
        <v>96.147003185186136</v>
      </c>
      <c r="AA39" s="93">
        <f t="shared" si="7"/>
        <v>1.2453621978207776</v>
      </c>
      <c r="AB39" s="93">
        <f t="shared" si="8"/>
        <v>97.392365383006918</v>
      </c>
      <c r="AC39" s="93">
        <f t="shared" si="9"/>
        <v>0.18242489688659219</v>
      </c>
      <c r="AD39" s="93">
        <f t="shared" si="10"/>
        <v>97.574790279893506</v>
      </c>
      <c r="AE39" s="93">
        <f t="shared" si="11"/>
        <v>2.6722220300648192E-2</v>
      </c>
      <c r="AF39" s="92">
        <f t="shared" si="12"/>
        <v>97.601512500194147</v>
      </c>
      <c r="AG39" s="93">
        <f t="shared" si="13"/>
        <v>3.9143618549959064E-3</v>
      </c>
      <c r="AH39" s="92">
        <f t="shared" si="14"/>
        <v>97.605426862049143</v>
      </c>
      <c r="AI39" s="93">
        <f t="shared" si="15"/>
        <v>5.7338905820467935E-4</v>
      </c>
      <c r="AJ39" s="92">
        <f t="shared" si="16"/>
        <v>97.606000251107346</v>
      </c>
      <c r="AK39" s="93">
        <f t="shared" si="19"/>
        <v>162.13650000000001</v>
      </c>
      <c r="AL39" s="89" t="str">
        <f t="shared" si="17"/>
        <v>'pass'</v>
      </c>
    </row>
    <row r="40" spans="1:38" x14ac:dyDescent="0.2">
      <c r="A40" s="117" t="s">
        <v>1524</v>
      </c>
      <c r="B40" s="117" t="s">
        <v>1541</v>
      </c>
      <c r="C40" s="124">
        <v>111</v>
      </c>
      <c r="D40" s="119">
        <f t="shared" si="0"/>
        <v>2.6556929923200229E-3</v>
      </c>
      <c r="E40" s="125" t="s">
        <v>1542</v>
      </c>
      <c r="F40" s="126" t="s">
        <v>1543</v>
      </c>
      <c r="G40" s="122" t="s">
        <v>1460</v>
      </c>
      <c r="H40" s="121" t="s">
        <v>1477</v>
      </c>
      <c r="I40" s="118" t="s">
        <v>1544</v>
      </c>
      <c r="J40" s="121">
        <v>56.7</v>
      </c>
      <c r="K40" s="123">
        <v>1704660</v>
      </c>
      <c r="L40" s="123">
        <v>488779</v>
      </c>
      <c r="M40" s="123">
        <v>1341987</v>
      </c>
      <c r="N40" s="123">
        <v>1352108</v>
      </c>
      <c r="O40" s="104">
        <v>1704660</v>
      </c>
      <c r="P40" s="105" t="s">
        <v>1463</v>
      </c>
      <c r="Q40" s="91">
        <f t="shared" si="20"/>
        <v>0.15</v>
      </c>
      <c r="R40" s="91"/>
      <c r="S40" s="104">
        <f t="shared" si="1"/>
        <v>127.84950000000001</v>
      </c>
      <c r="U40" s="93">
        <f t="shared" si="2"/>
        <v>92.539502036697186</v>
      </c>
      <c r="V40" s="93">
        <f>264675/2000</f>
        <v>132.33750000000001</v>
      </c>
      <c r="W40" s="93">
        <f t="shared" si="3"/>
        <v>92.539502036697186</v>
      </c>
      <c r="X40" s="89">
        <f t="shared" si="4"/>
        <v>3.3322831352832535E-3</v>
      </c>
      <c r="Y40" s="93">
        <f t="shared" si="5"/>
        <v>9.0901586001110797</v>
      </c>
      <c r="Z40" s="92">
        <f t="shared" si="6"/>
        <v>101.62966063680827</v>
      </c>
      <c r="AA40" s="93">
        <f t="shared" si="7"/>
        <v>1.3163773528194163</v>
      </c>
      <c r="AB40" s="93">
        <f t="shared" si="8"/>
        <v>102.94603798962768</v>
      </c>
      <c r="AC40" s="93">
        <f t="shared" si="9"/>
        <v>0.19282743869385235</v>
      </c>
      <c r="AD40" s="93">
        <f t="shared" si="10"/>
        <v>103.13886542832154</v>
      </c>
      <c r="AE40" s="93">
        <f t="shared" si="11"/>
        <v>2.8246020059368184E-2</v>
      </c>
      <c r="AF40" s="92">
        <f t="shared" si="12"/>
        <v>103.16711144838091</v>
      </c>
      <c r="AG40" s="93">
        <f t="shared" si="13"/>
        <v>4.1375732342554669E-3</v>
      </c>
      <c r="AH40" s="92">
        <f t="shared" si="14"/>
        <v>103.17124902161517</v>
      </c>
      <c r="AI40" s="93">
        <f t="shared" si="15"/>
        <v>6.0608582137460887E-4</v>
      </c>
      <c r="AJ40" s="92">
        <f t="shared" si="16"/>
        <v>103.17185510743654</v>
      </c>
      <c r="AK40" s="93">
        <f t="shared" si="19"/>
        <v>132.33750000000001</v>
      </c>
      <c r="AL40" s="89" t="str">
        <f t="shared" si="17"/>
        <v>'pass'</v>
      </c>
    </row>
    <row r="41" spans="1:38" x14ac:dyDescent="0.2">
      <c r="A41" s="117" t="s">
        <v>1524</v>
      </c>
      <c r="B41" s="117" t="s">
        <v>1545</v>
      </c>
      <c r="C41" s="124">
        <v>128</v>
      </c>
      <c r="D41" s="119">
        <f t="shared" si="0"/>
        <v>3.0624207479005672E-3</v>
      </c>
      <c r="E41" s="120" t="s">
        <v>1546</v>
      </c>
      <c r="F41" s="121" t="s">
        <v>1547</v>
      </c>
      <c r="G41" s="122" t="s">
        <v>1460</v>
      </c>
      <c r="H41" s="121" t="s">
        <v>1477</v>
      </c>
      <c r="I41" s="118" t="s">
        <v>1548</v>
      </c>
      <c r="J41" s="121">
        <v>60</v>
      </c>
      <c r="K41" s="123">
        <v>797260</v>
      </c>
      <c r="L41" s="123">
        <v>701842</v>
      </c>
      <c r="M41" s="123">
        <v>334414</v>
      </c>
      <c r="N41" s="123">
        <v>524678</v>
      </c>
      <c r="O41" s="104">
        <v>797260</v>
      </c>
      <c r="P41" s="105" t="s">
        <v>1463</v>
      </c>
      <c r="Q41" s="91">
        <f t="shared" si="20"/>
        <v>0.15</v>
      </c>
      <c r="R41" s="91"/>
      <c r="S41" s="104">
        <f t="shared" si="1"/>
        <v>59.794499999999999</v>
      </c>
      <c r="U41" s="93">
        <f t="shared" si="2"/>
        <v>43.2802103608797</v>
      </c>
      <c r="V41" s="93">
        <f>305486/2000</f>
        <v>152.74299999999999</v>
      </c>
      <c r="W41" s="93">
        <f t="shared" si="3"/>
        <v>43.2802103608797</v>
      </c>
      <c r="X41" s="89">
        <f t="shared" si="4"/>
        <v>1.5584902868817983E-3</v>
      </c>
      <c r="Y41" s="93">
        <f t="shared" si="5"/>
        <v>4.251416614177935</v>
      </c>
      <c r="Z41" s="92">
        <f t="shared" si="6"/>
        <v>47.531626975057634</v>
      </c>
      <c r="AA41" s="93">
        <f t="shared" si="7"/>
        <v>0.61566236569685895</v>
      </c>
      <c r="AB41" s="93">
        <f t="shared" si="8"/>
        <v>48.14728934075449</v>
      </c>
      <c r="AC41" s="93">
        <f t="shared" si="9"/>
        <v>9.0184320493858425E-2</v>
      </c>
      <c r="AD41" s="93">
        <f t="shared" si="10"/>
        <v>48.237473661248352</v>
      </c>
      <c r="AE41" s="93">
        <f t="shared" si="11"/>
        <v>1.3210506466117511E-2</v>
      </c>
      <c r="AF41" s="92">
        <f t="shared" si="12"/>
        <v>48.250684167714468</v>
      </c>
      <c r="AG41" s="93">
        <f t="shared" si="13"/>
        <v>1.9351199868258265E-3</v>
      </c>
      <c r="AH41" s="92">
        <f t="shared" si="14"/>
        <v>48.252619287701293</v>
      </c>
      <c r="AI41" s="93">
        <f t="shared" si="15"/>
        <v>2.8346296736541044E-4</v>
      </c>
      <c r="AJ41" s="92">
        <f t="shared" si="16"/>
        <v>48.25290275066866</v>
      </c>
      <c r="AK41" s="93">
        <f t="shared" si="19"/>
        <v>152.74299999999999</v>
      </c>
      <c r="AL41" s="89" t="str">
        <f t="shared" si="17"/>
        <v>'pass'</v>
      </c>
    </row>
    <row r="42" spans="1:38" x14ac:dyDescent="0.2">
      <c r="A42" s="117" t="s">
        <v>1549</v>
      </c>
      <c r="B42" s="117" t="s">
        <v>1550</v>
      </c>
      <c r="C42" s="124">
        <v>63</v>
      </c>
      <c r="D42" s="119">
        <f t="shared" si="0"/>
        <v>1.5072852118573103E-3</v>
      </c>
      <c r="E42" s="125" t="s">
        <v>1551</v>
      </c>
      <c r="F42" s="121" t="s">
        <v>1552</v>
      </c>
      <c r="G42" s="122" t="s">
        <v>1553</v>
      </c>
      <c r="H42" s="121" t="s">
        <v>1477</v>
      </c>
      <c r="I42" s="118" t="s">
        <v>1554</v>
      </c>
      <c r="J42" s="121">
        <v>49.9</v>
      </c>
      <c r="K42" s="123">
        <f>+(505021+455103+189849+329321+467305)/3</f>
        <v>648866.33333333337</v>
      </c>
      <c r="L42" s="123">
        <f>+(492880+451889+306758+475640+345515)/3</f>
        <v>690894</v>
      </c>
      <c r="M42" s="123">
        <f>+(356951+396429+384321+383145+405730)/3</f>
        <v>642192</v>
      </c>
      <c r="N42" s="123">
        <f>+(479774+450380+384830+374806+331419)/3</f>
        <v>673736.33333333337</v>
      </c>
      <c r="O42" s="123">
        <f>+(492880+451889+306758+475640+345515)/3</f>
        <v>690894</v>
      </c>
      <c r="P42" s="105" t="s">
        <v>1555</v>
      </c>
      <c r="Q42" s="91">
        <f t="shared" si="20"/>
        <v>0.15</v>
      </c>
      <c r="R42" s="91"/>
      <c r="S42" s="104">
        <f t="shared" si="1"/>
        <v>51.817049999999995</v>
      </c>
      <c r="U42" s="93">
        <f t="shared" si="2"/>
        <v>37.506005138937887</v>
      </c>
      <c r="V42" s="93">
        <v>118.66666666666667</v>
      </c>
      <c r="W42" s="93">
        <f t="shared" si="3"/>
        <v>37.506005138937887</v>
      </c>
      <c r="X42" s="89">
        <f t="shared" si="4"/>
        <v>1.3505651710419601E-3</v>
      </c>
      <c r="Y42" s="93">
        <f t="shared" si="5"/>
        <v>3.6842162283770041</v>
      </c>
      <c r="Z42" s="92">
        <f t="shared" si="6"/>
        <v>41.190221367314891</v>
      </c>
      <c r="AA42" s="93">
        <f t="shared" si="7"/>
        <v>0.53352411319489956</v>
      </c>
      <c r="AB42" s="93">
        <f t="shared" si="8"/>
        <v>41.723745480509791</v>
      </c>
      <c r="AC42" s="93">
        <f t="shared" si="9"/>
        <v>7.815242947505685E-2</v>
      </c>
      <c r="AD42" s="93">
        <f t="shared" si="10"/>
        <v>41.801897909984845</v>
      </c>
      <c r="AE42" s="93">
        <f t="shared" si="11"/>
        <v>1.1448034084742481E-2</v>
      </c>
      <c r="AF42" s="92">
        <f t="shared" si="12"/>
        <v>41.813345944069589</v>
      </c>
      <c r="AG42" s="93">
        <f t="shared" si="13"/>
        <v>1.6769470287961799E-3</v>
      </c>
      <c r="AH42" s="92">
        <f t="shared" si="14"/>
        <v>41.815022891098387</v>
      </c>
      <c r="AI42" s="93">
        <f t="shared" si="15"/>
        <v>2.4564491304587946E-4</v>
      </c>
      <c r="AJ42" s="92">
        <f t="shared" si="16"/>
        <v>41.81526853601143</v>
      </c>
      <c r="AK42" s="93">
        <f t="shared" si="19"/>
        <v>118.66666666666667</v>
      </c>
      <c r="AL42" s="89" t="str">
        <f t="shared" si="17"/>
        <v>'pass'</v>
      </c>
    </row>
    <row r="43" spans="1:38" x14ac:dyDescent="0.2">
      <c r="A43" s="117" t="s">
        <v>1549</v>
      </c>
      <c r="B43" s="117" t="s">
        <v>1550</v>
      </c>
      <c r="C43" s="124">
        <v>64</v>
      </c>
      <c r="D43" s="119">
        <f t="shared" si="0"/>
        <v>1.5312103739502836E-3</v>
      </c>
      <c r="E43" s="125" t="s">
        <v>1556</v>
      </c>
      <c r="F43" s="121" t="s">
        <v>1552</v>
      </c>
      <c r="G43" s="122" t="s">
        <v>1557</v>
      </c>
      <c r="H43" s="121" t="s">
        <v>1477</v>
      </c>
      <c r="I43" s="118" t="s">
        <v>1554</v>
      </c>
      <c r="J43" s="121">
        <v>49.9</v>
      </c>
      <c r="K43" s="123">
        <f>+(505021+455103+189849+329321+467305)/3</f>
        <v>648866.33333333337</v>
      </c>
      <c r="L43" s="123">
        <f>+(492880+451889+306758+475640+345515)/3</f>
        <v>690894</v>
      </c>
      <c r="M43" s="123">
        <f>+(356951+396429+384321+383145+405730)/3</f>
        <v>642192</v>
      </c>
      <c r="N43" s="123">
        <f>+(479774+450380+384830+374806+331419)/3</f>
        <v>673736.33333333337</v>
      </c>
      <c r="O43" s="123">
        <f>+(492880+451889+306758+475640+345515)/3</f>
        <v>690894</v>
      </c>
      <c r="P43" s="105" t="s">
        <v>1555</v>
      </c>
      <c r="Q43" s="91">
        <f t="shared" si="20"/>
        <v>0.15</v>
      </c>
      <c r="R43" s="91"/>
      <c r="S43" s="104">
        <f t="shared" si="1"/>
        <v>51.817049999999995</v>
      </c>
      <c r="U43" s="93">
        <f t="shared" si="2"/>
        <v>37.506005138937887</v>
      </c>
      <c r="V43" s="93">
        <v>118.66666666666667</v>
      </c>
      <c r="W43" s="93">
        <f t="shared" si="3"/>
        <v>37.506005138937887</v>
      </c>
      <c r="X43" s="89">
        <f t="shared" si="4"/>
        <v>1.3505651710419601E-3</v>
      </c>
      <c r="Y43" s="93">
        <f t="shared" si="5"/>
        <v>3.6842162283770041</v>
      </c>
      <c r="Z43" s="92">
        <f t="shared" si="6"/>
        <v>41.190221367314891</v>
      </c>
      <c r="AA43" s="93">
        <f t="shared" si="7"/>
        <v>0.53352411319489956</v>
      </c>
      <c r="AB43" s="93">
        <f t="shared" si="8"/>
        <v>41.723745480509791</v>
      </c>
      <c r="AC43" s="93">
        <f t="shared" si="9"/>
        <v>7.815242947505685E-2</v>
      </c>
      <c r="AD43" s="93">
        <f t="shared" si="10"/>
        <v>41.801897909984845</v>
      </c>
      <c r="AE43" s="93">
        <f t="shared" si="11"/>
        <v>1.1448034084742481E-2</v>
      </c>
      <c r="AF43" s="92">
        <f t="shared" si="12"/>
        <v>41.813345944069589</v>
      </c>
      <c r="AG43" s="93">
        <f t="shared" si="13"/>
        <v>1.6769470287961799E-3</v>
      </c>
      <c r="AH43" s="92">
        <f t="shared" si="14"/>
        <v>41.815022891098387</v>
      </c>
      <c r="AI43" s="93">
        <f t="shared" si="15"/>
        <v>2.4564491304587946E-4</v>
      </c>
      <c r="AJ43" s="92">
        <f t="shared" si="16"/>
        <v>41.81526853601143</v>
      </c>
      <c r="AK43" s="93">
        <f t="shared" si="19"/>
        <v>118.66666666666667</v>
      </c>
      <c r="AL43" s="89" t="str">
        <f t="shared" si="17"/>
        <v>'pass'</v>
      </c>
    </row>
    <row r="44" spans="1:38" x14ac:dyDescent="0.2">
      <c r="A44" s="117" t="s">
        <v>1549</v>
      </c>
      <c r="B44" s="117" t="s">
        <v>1550</v>
      </c>
      <c r="C44" s="124">
        <v>64</v>
      </c>
      <c r="D44" s="119">
        <f t="shared" si="0"/>
        <v>1.5312103739502836E-3</v>
      </c>
      <c r="E44" s="125" t="s">
        <v>1558</v>
      </c>
      <c r="F44" s="121" t="s">
        <v>1552</v>
      </c>
      <c r="G44" s="122" t="s">
        <v>1559</v>
      </c>
      <c r="H44" s="121" t="s">
        <v>1477</v>
      </c>
      <c r="I44" s="118" t="s">
        <v>1554</v>
      </c>
      <c r="J44" s="121">
        <v>49.9</v>
      </c>
      <c r="K44" s="123">
        <f>+(505021+455103+189849+329321+467305)/3</f>
        <v>648866.33333333337</v>
      </c>
      <c r="L44" s="123">
        <f>+(492880+451889+306758+475640+345515)/3</f>
        <v>690894</v>
      </c>
      <c r="M44" s="123">
        <f>+(356951+396429+384321+383145+405730)/3</f>
        <v>642192</v>
      </c>
      <c r="N44" s="123">
        <f>+(479774+450380+384830+374806+331419)/3</f>
        <v>673736.33333333337</v>
      </c>
      <c r="O44" s="123">
        <f>+(492880+451889+306758+475640+345515)/3</f>
        <v>690894</v>
      </c>
      <c r="P44" s="105" t="s">
        <v>1555</v>
      </c>
      <c r="Q44" s="91">
        <f t="shared" si="20"/>
        <v>0.15</v>
      </c>
      <c r="R44" s="91"/>
      <c r="S44" s="104">
        <f t="shared" si="1"/>
        <v>51.817049999999995</v>
      </c>
      <c r="U44" s="93">
        <f t="shared" si="2"/>
        <v>37.506005138937887</v>
      </c>
      <c r="V44" s="93">
        <v>118.66666666666667</v>
      </c>
      <c r="W44" s="93">
        <f t="shared" si="3"/>
        <v>37.506005138937887</v>
      </c>
      <c r="X44" s="89">
        <f t="shared" si="4"/>
        <v>1.3505651710419601E-3</v>
      </c>
      <c r="Y44" s="93">
        <f t="shared" si="5"/>
        <v>3.6842162283770041</v>
      </c>
      <c r="Z44" s="92">
        <f t="shared" si="6"/>
        <v>41.190221367314891</v>
      </c>
      <c r="AA44" s="93">
        <f t="shared" si="7"/>
        <v>0.53352411319489956</v>
      </c>
      <c r="AB44" s="93">
        <f t="shared" si="8"/>
        <v>41.723745480509791</v>
      </c>
      <c r="AC44" s="93">
        <f t="shared" si="9"/>
        <v>7.815242947505685E-2</v>
      </c>
      <c r="AD44" s="93">
        <f t="shared" si="10"/>
        <v>41.801897909984845</v>
      </c>
      <c r="AE44" s="93">
        <f t="shared" si="11"/>
        <v>1.1448034084742481E-2</v>
      </c>
      <c r="AF44" s="92">
        <f t="shared" si="12"/>
        <v>41.813345944069589</v>
      </c>
      <c r="AG44" s="93">
        <f t="shared" si="13"/>
        <v>1.6769470287961799E-3</v>
      </c>
      <c r="AH44" s="92">
        <f t="shared" si="14"/>
        <v>41.815022891098387</v>
      </c>
      <c r="AI44" s="93">
        <f t="shared" si="15"/>
        <v>2.4564491304587946E-4</v>
      </c>
      <c r="AJ44" s="92">
        <f t="shared" si="16"/>
        <v>41.81526853601143</v>
      </c>
      <c r="AK44" s="93">
        <f t="shared" si="19"/>
        <v>118.66666666666667</v>
      </c>
      <c r="AL44" s="89" t="str">
        <f t="shared" si="17"/>
        <v>'pass'</v>
      </c>
    </row>
    <row r="45" spans="1:38" x14ac:dyDescent="0.2">
      <c r="A45" s="117" t="s">
        <v>1560</v>
      </c>
      <c r="B45" s="117" t="s">
        <v>1561</v>
      </c>
      <c r="C45" s="124">
        <v>29</v>
      </c>
      <c r="D45" s="119">
        <f t="shared" si="0"/>
        <v>6.9382970069622226E-4</v>
      </c>
      <c r="E45" s="120" t="s">
        <v>1562</v>
      </c>
      <c r="F45" s="121" t="s">
        <v>1563</v>
      </c>
      <c r="G45" s="127" t="s">
        <v>1564</v>
      </c>
      <c r="H45" s="121" t="s">
        <v>1477</v>
      </c>
      <c r="I45" s="118" t="s">
        <v>1561</v>
      </c>
      <c r="J45" s="121">
        <v>55</v>
      </c>
      <c r="K45" s="123">
        <v>1271844</v>
      </c>
      <c r="L45" s="123">
        <v>0</v>
      </c>
      <c r="M45" s="123">
        <v>0</v>
      </c>
      <c r="N45" s="123">
        <v>0</v>
      </c>
      <c r="O45" s="104">
        <v>1271844</v>
      </c>
      <c r="P45" s="105" t="s">
        <v>1463</v>
      </c>
      <c r="Q45" s="91">
        <f t="shared" si="20"/>
        <v>0.15</v>
      </c>
      <c r="R45" s="91"/>
      <c r="S45" s="104">
        <f t="shared" si="1"/>
        <v>95.388300000000001</v>
      </c>
      <c r="U45" s="93">
        <f t="shared" si="2"/>
        <v>69.043569056797892</v>
      </c>
      <c r="V45" s="93">
        <v>32</v>
      </c>
      <c r="W45" s="93">
        <f t="shared" si="3"/>
        <v>32</v>
      </c>
      <c r="X45" s="89">
        <f t="shared" si="4"/>
        <v>2.4862109229472117E-3</v>
      </c>
      <c r="Y45" s="93">
        <f t="shared" si="5"/>
        <v>6.7821522617998173</v>
      </c>
      <c r="Z45" s="92">
        <f t="shared" si="6"/>
        <v>32</v>
      </c>
      <c r="AA45" s="93">
        <f t="shared" si="7"/>
        <v>0.98214696063687623</v>
      </c>
      <c r="AB45" s="93">
        <f t="shared" si="8"/>
        <v>32</v>
      </c>
      <c r="AC45" s="93">
        <f t="shared" si="9"/>
        <v>0.14386823233849796</v>
      </c>
      <c r="AD45" s="93">
        <f t="shared" si="10"/>
        <v>32</v>
      </c>
      <c r="AE45" s="93">
        <f t="shared" si="11"/>
        <v>2.1074308739799763E-2</v>
      </c>
      <c r="AF45" s="92">
        <f t="shared" si="12"/>
        <v>32</v>
      </c>
      <c r="AG45" s="93">
        <f t="shared" si="13"/>
        <v>3.0870365307735324E-3</v>
      </c>
      <c r="AH45" s="92">
        <f t="shared" si="14"/>
        <v>32</v>
      </c>
      <c r="AI45" s="93">
        <f t="shared" si="15"/>
        <v>4.5219962655331148E-4</v>
      </c>
      <c r="AJ45" s="92">
        <f t="shared" si="16"/>
        <v>32</v>
      </c>
      <c r="AK45" s="93">
        <f t="shared" si="19"/>
        <v>32</v>
      </c>
      <c r="AL45" s="89" t="str">
        <f t="shared" si="17"/>
        <v>'pass'</v>
      </c>
    </row>
    <row r="46" spans="1:38" x14ac:dyDescent="0.2">
      <c r="A46" s="117" t="s">
        <v>1560</v>
      </c>
      <c r="B46" s="117" t="s">
        <v>1565</v>
      </c>
      <c r="C46" s="118">
        <v>39</v>
      </c>
      <c r="D46" s="119">
        <f t="shared" si="0"/>
        <v>9.3308132162595405E-4</v>
      </c>
      <c r="E46" s="120" t="s">
        <v>1566</v>
      </c>
      <c r="F46" s="121" t="s">
        <v>1567</v>
      </c>
      <c r="G46" s="122" t="s">
        <v>1460</v>
      </c>
      <c r="H46" s="121" t="s">
        <v>1477</v>
      </c>
      <c r="I46" s="118" t="s">
        <v>1565</v>
      </c>
      <c r="J46" s="121">
        <v>100</v>
      </c>
      <c r="K46" s="123">
        <v>188469</v>
      </c>
      <c r="L46" s="123">
        <v>738160</v>
      </c>
      <c r="M46" s="123">
        <v>82630</v>
      </c>
      <c r="N46" s="123">
        <v>15483</v>
      </c>
      <c r="O46" s="104">
        <v>738160</v>
      </c>
      <c r="P46" s="105" t="s">
        <v>1522</v>
      </c>
      <c r="Q46" s="91">
        <f t="shared" si="20"/>
        <v>0.15</v>
      </c>
      <c r="R46" s="91"/>
      <c r="S46" s="104">
        <f t="shared" si="1"/>
        <v>55.362000000000002</v>
      </c>
      <c r="U46" s="93">
        <f t="shared" si="2"/>
        <v>40.071896344965211</v>
      </c>
      <c r="V46" s="93">
        <v>60.97</v>
      </c>
      <c r="W46" s="93">
        <f t="shared" si="3"/>
        <v>40.071896344965211</v>
      </c>
      <c r="X46" s="89">
        <f t="shared" si="4"/>
        <v>1.4429611295746286E-3</v>
      </c>
      <c r="Y46" s="93">
        <f t="shared" si="5"/>
        <v>3.9362638134630923</v>
      </c>
      <c r="Z46" s="92">
        <f t="shared" si="6"/>
        <v>44.008160158428304</v>
      </c>
      <c r="AA46" s="93">
        <f t="shared" si="7"/>
        <v>0.57002399701827944</v>
      </c>
      <c r="AB46" s="93">
        <f t="shared" si="8"/>
        <v>44.578184155446586</v>
      </c>
      <c r="AC46" s="93">
        <f t="shared" si="9"/>
        <v>8.3499056789186149E-2</v>
      </c>
      <c r="AD46" s="93">
        <f t="shared" si="10"/>
        <v>44.661683212235772</v>
      </c>
      <c r="AE46" s="93">
        <f t="shared" si="11"/>
        <v>1.223122626624853E-2</v>
      </c>
      <c r="AF46" s="92">
        <f t="shared" si="12"/>
        <v>44.673914438502024</v>
      </c>
      <c r="AG46" s="93">
        <f t="shared" si="13"/>
        <v>1.7916716873734443E-3</v>
      </c>
      <c r="AH46" s="92">
        <f t="shared" si="14"/>
        <v>44.675706110189395</v>
      </c>
      <c r="AI46" s="93">
        <f t="shared" si="15"/>
        <v>2.6245017182657023E-4</v>
      </c>
      <c r="AJ46" s="92">
        <f t="shared" si="16"/>
        <v>44.67596856036122</v>
      </c>
      <c r="AK46" s="93">
        <f t="shared" si="19"/>
        <v>60.97</v>
      </c>
      <c r="AL46" s="89" t="str">
        <f t="shared" si="17"/>
        <v>'pass'</v>
      </c>
    </row>
    <row r="47" spans="1:38" x14ac:dyDescent="0.2">
      <c r="A47" s="117" t="s">
        <v>1560</v>
      </c>
      <c r="B47" s="117" t="s">
        <v>1568</v>
      </c>
      <c r="C47" s="124">
        <v>144</v>
      </c>
      <c r="D47" s="119">
        <f t="shared" si="0"/>
        <v>3.4452233413881381E-3</v>
      </c>
      <c r="E47" s="120" t="s">
        <v>1569</v>
      </c>
      <c r="F47" s="121" t="s">
        <v>1570</v>
      </c>
      <c r="G47" s="122" t="s">
        <v>1460</v>
      </c>
      <c r="H47" s="121" t="s">
        <v>1571</v>
      </c>
      <c r="I47" s="118" t="s">
        <v>1568</v>
      </c>
      <c r="J47" s="121">
        <v>59</v>
      </c>
      <c r="K47" s="123">
        <v>1246587</v>
      </c>
      <c r="L47" s="123">
        <v>1253045</v>
      </c>
      <c r="M47" s="123">
        <v>1249950</v>
      </c>
      <c r="N47" s="123">
        <v>3834</v>
      </c>
      <c r="O47" s="104">
        <v>1254461</v>
      </c>
      <c r="P47" s="105" t="s">
        <v>1555</v>
      </c>
      <c r="Q47" s="91">
        <f t="shared" si="20"/>
        <v>0.15</v>
      </c>
      <c r="R47" s="91"/>
      <c r="S47" s="104">
        <f t="shared" si="1"/>
        <v>94.084575000000001</v>
      </c>
      <c r="U47" s="93">
        <f t="shared" si="2"/>
        <v>68.099912161050995</v>
      </c>
      <c r="V47" s="93">
        <v>182.7</v>
      </c>
      <c r="W47" s="93">
        <f t="shared" si="3"/>
        <v>68.099912161050995</v>
      </c>
      <c r="X47" s="89">
        <f t="shared" si="4"/>
        <v>2.4522304941575245E-3</v>
      </c>
      <c r="Y47" s="93">
        <f t="shared" si="5"/>
        <v>6.6894568111259414</v>
      </c>
      <c r="Z47" s="92">
        <f t="shared" si="6"/>
        <v>74.789368972176931</v>
      </c>
      <c r="AA47" s="93">
        <f t="shared" si="7"/>
        <v>0.96872341135193984</v>
      </c>
      <c r="AB47" s="93">
        <f t="shared" si="8"/>
        <v>75.758092383528876</v>
      </c>
      <c r="AC47" s="93">
        <f t="shared" si="9"/>
        <v>0.14190190511382253</v>
      </c>
      <c r="AD47" s="93">
        <f t="shared" si="10"/>
        <v>75.899994288642702</v>
      </c>
      <c r="AE47" s="93">
        <f t="shared" si="11"/>
        <v>2.0786274429912752E-2</v>
      </c>
      <c r="AF47" s="92">
        <f t="shared" si="12"/>
        <v>75.920780563072611</v>
      </c>
      <c r="AG47" s="93">
        <f t="shared" si="13"/>
        <v>3.0448442839142984E-3</v>
      </c>
      <c r="AH47" s="92">
        <f t="shared" si="14"/>
        <v>75.923825407356532</v>
      </c>
      <c r="AI47" s="93">
        <f t="shared" si="15"/>
        <v>4.4601916251182829E-4</v>
      </c>
      <c r="AJ47" s="92">
        <f t="shared" si="16"/>
        <v>75.924271426519041</v>
      </c>
      <c r="AK47" s="93">
        <f t="shared" si="19"/>
        <v>182.7</v>
      </c>
      <c r="AL47" s="89" t="str">
        <f t="shared" si="17"/>
        <v>'pass'</v>
      </c>
    </row>
    <row r="48" spans="1:38" x14ac:dyDescent="0.2">
      <c r="A48" s="117" t="s">
        <v>1560</v>
      </c>
      <c r="B48" s="117" t="s">
        <v>1572</v>
      </c>
      <c r="C48" s="124">
        <v>147</v>
      </c>
      <c r="D48" s="119">
        <f t="shared" si="0"/>
        <v>3.5169988276670576E-3</v>
      </c>
      <c r="E48" s="120" t="s">
        <v>1573</v>
      </c>
      <c r="F48" s="121" t="s">
        <v>1574</v>
      </c>
      <c r="G48" s="122" t="s">
        <v>1460</v>
      </c>
      <c r="H48" s="121" t="s">
        <v>1477</v>
      </c>
      <c r="I48" s="118" t="s">
        <v>1572</v>
      </c>
      <c r="J48" s="121">
        <v>56</v>
      </c>
      <c r="K48" s="123">
        <v>0</v>
      </c>
      <c r="L48" s="123">
        <v>58379</v>
      </c>
      <c r="M48" s="123">
        <v>0</v>
      </c>
      <c r="N48" s="123">
        <v>0</v>
      </c>
      <c r="O48" s="104">
        <v>58379</v>
      </c>
      <c r="P48" s="105" t="s">
        <v>1522</v>
      </c>
      <c r="Q48" s="91">
        <f t="shared" si="20"/>
        <v>0.15</v>
      </c>
      <c r="R48" s="91"/>
      <c r="S48" s="104">
        <f t="shared" si="1"/>
        <v>4.378425</v>
      </c>
      <c r="U48" s="93">
        <f t="shared" si="2"/>
        <v>3.1691736706442017</v>
      </c>
      <c r="V48" s="93">
        <v>0</v>
      </c>
      <c r="W48" s="93">
        <f t="shared" si="3"/>
        <v>0</v>
      </c>
      <c r="X48" s="89">
        <f t="shared" si="4"/>
        <v>1.1411974068418397E-4</v>
      </c>
      <c r="Y48" s="93">
        <f t="shared" si="5"/>
        <v>0.31130804319681621</v>
      </c>
      <c r="Z48" s="92">
        <f t="shared" si="6"/>
        <v>0</v>
      </c>
      <c r="AA48" s="93">
        <f t="shared" si="7"/>
        <v>4.5081596025157329E-2</v>
      </c>
      <c r="AB48" s="93">
        <f t="shared" si="8"/>
        <v>0</v>
      </c>
      <c r="AC48" s="93">
        <f t="shared" si="9"/>
        <v>6.6037057498318759E-3</v>
      </c>
      <c r="AD48" s="93">
        <f t="shared" si="10"/>
        <v>0</v>
      </c>
      <c r="AE48" s="93">
        <f t="shared" si="11"/>
        <v>9.6733331282827968E-4</v>
      </c>
      <c r="AF48" s="92">
        <f t="shared" si="12"/>
        <v>0</v>
      </c>
      <c r="AG48" s="93">
        <f t="shared" si="13"/>
        <v>1.4169827874332706E-4</v>
      </c>
      <c r="AH48" s="92">
        <f t="shared" si="14"/>
        <v>0</v>
      </c>
      <c r="AI48" s="93">
        <f t="shared" si="15"/>
        <v>2.0756446544195493E-5</v>
      </c>
      <c r="AJ48" s="92">
        <f t="shared" si="16"/>
        <v>0</v>
      </c>
      <c r="AK48" s="93">
        <f t="shared" si="19"/>
        <v>0</v>
      </c>
      <c r="AL48" s="89" t="str">
        <f t="shared" si="17"/>
        <v>'pass'</v>
      </c>
    </row>
    <row r="49" spans="1:38" x14ac:dyDescent="0.2">
      <c r="A49" s="117" t="s">
        <v>1560</v>
      </c>
      <c r="B49" s="117" t="s">
        <v>1575</v>
      </c>
      <c r="C49" s="124">
        <v>43</v>
      </c>
      <c r="D49" s="119">
        <f t="shared" si="0"/>
        <v>1.0287819699978467E-3</v>
      </c>
      <c r="E49" s="120" t="s">
        <v>1576</v>
      </c>
      <c r="F49" s="121" t="s">
        <v>1577</v>
      </c>
      <c r="G49" s="122" t="s">
        <v>1460</v>
      </c>
      <c r="H49" s="121" t="s">
        <v>1477</v>
      </c>
      <c r="I49" s="118" t="s">
        <v>1575</v>
      </c>
      <c r="J49" s="121">
        <v>100</v>
      </c>
      <c r="K49" s="123">
        <v>124418</v>
      </c>
      <c r="L49" s="123">
        <v>18360</v>
      </c>
      <c r="M49" s="123">
        <v>0</v>
      </c>
      <c r="N49" s="123">
        <v>0</v>
      </c>
      <c r="O49" s="104">
        <v>124418</v>
      </c>
      <c r="P49" s="105" t="s">
        <v>1463</v>
      </c>
      <c r="Q49" s="91">
        <f t="shared" si="20"/>
        <v>0.15</v>
      </c>
      <c r="R49" s="91"/>
      <c r="S49" s="104">
        <f t="shared" si="1"/>
        <v>9.3313500000000005</v>
      </c>
      <c r="U49" s="93">
        <f t="shared" si="2"/>
        <v>6.7541795809145464</v>
      </c>
      <c r="V49" s="93">
        <v>57.735999999999997</v>
      </c>
      <c r="W49" s="93">
        <f t="shared" si="3"/>
        <v>6.7541795809145464</v>
      </c>
      <c r="X49" s="89">
        <f t="shared" si="4"/>
        <v>2.4321331123254599E-4</v>
      </c>
      <c r="Y49" s="93">
        <f t="shared" si="5"/>
        <v>0.66346330218848359</v>
      </c>
      <c r="Z49" s="92">
        <f t="shared" si="6"/>
        <v>7.4176428831030297</v>
      </c>
      <c r="AA49" s="93">
        <f t="shared" si="7"/>
        <v>9.6078418853663569E-2</v>
      </c>
      <c r="AB49" s="93">
        <f t="shared" si="8"/>
        <v>7.5137213019566929</v>
      </c>
      <c r="AC49" s="93">
        <f t="shared" si="9"/>
        <v>1.4073894071199959E-2</v>
      </c>
      <c r="AD49" s="93">
        <f t="shared" si="10"/>
        <v>7.5277951960278928</v>
      </c>
      <c r="AE49" s="93">
        <f t="shared" si="11"/>
        <v>2.0615919442859404E-3</v>
      </c>
      <c r="AF49" s="92">
        <f t="shared" si="12"/>
        <v>7.5298567879721787</v>
      </c>
      <c r="AG49" s="93">
        <f t="shared" si="13"/>
        <v>3.0198901051212368E-4</v>
      </c>
      <c r="AH49" s="92">
        <f t="shared" si="14"/>
        <v>7.5301587769826908</v>
      </c>
      <c r="AI49" s="93">
        <f t="shared" si="15"/>
        <v>4.4236378939956407E-5</v>
      </c>
      <c r="AJ49" s="92">
        <f t="shared" si="16"/>
        <v>7.5302030133616311</v>
      </c>
      <c r="AK49" s="93">
        <f t="shared" si="19"/>
        <v>57.735999999999997</v>
      </c>
      <c r="AL49" s="89" t="str">
        <f t="shared" si="17"/>
        <v>'pass'</v>
      </c>
    </row>
    <row r="50" spans="1:38" x14ac:dyDescent="0.2">
      <c r="A50" s="117" t="s">
        <v>1560</v>
      </c>
      <c r="B50" s="117" t="s">
        <v>1578</v>
      </c>
      <c r="C50" s="124">
        <v>144</v>
      </c>
      <c r="D50" s="119">
        <f t="shared" si="0"/>
        <v>3.4452233413881381E-3</v>
      </c>
      <c r="E50" s="120" t="s">
        <v>1579</v>
      </c>
      <c r="F50" s="121" t="s">
        <v>1580</v>
      </c>
      <c r="G50" s="122" t="s">
        <v>1460</v>
      </c>
      <c r="H50" s="121" t="s">
        <v>1477</v>
      </c>
      <c r="I50" s="118" t="s">
        <v>1581</v>
      </c>
      <c r="J50" s="121">
        <v>59</v>
      </c>
      <c r="K50" s="123">
        <v>1225105</v>
      </c>
      <c r="L50" s="123">
        <v>1254461</v>
      </c>
      <c r="M50" s="123">
        <v>1280956</v>
      </c>
      <c r="N50" s="123">
        <v>366016</v>
      </c>
      <c r="O50" s="104">
        <v>1280956</v>
      </c>
      <c r="P50" s="105" t="s">
        <v>1555</v>
      </c>
      <c r="Q50" s="91">
        <f t="shared" si="20"/>
        <v>0.15</v>
      </c>
      <c r="R50" s="91"/>
      <c r="S50" s="104">
        <f t="shared" si="1"/>
        <v>96.071699999999993</v>
      </c>
      <c r="U50" s="93">
        <f t="shared" si="2"/>
        <v>69.538224848896235</v>
      </c>
      <c r="V50" s="93">
        <v>182.7</v>
      </c>
      <c r="W50" s="93">
        <f t="shared" si="3"/>
        <v>69.538224848896235</v>
      </c>
      <c r="X50" s="89">
        <f t="shared" si="4"/>
        <v>2.504023134138124E-3</v>
      </c>
      <c r="Y50" s="93">
        <f t="shared" si="5"/>
        <v>6.8307423179777125</v>
      </c>
      <c r="Z50" s="92">
        <f t="shared" si="6"/>
        <v>76.368967166873944</v>
      </c>
      <c r="AA50" s="93">
        <f t="shared" si="7"/>
        <v>0.98918345497527238</v>
      </c>
      <c r="AB50" s="93">
        <f t="shared" si="8"/>
        <v>77.358150621849219</v>
      </c>
      <c r="AC50" s="93">
        <f t="shared" si="9"/>
        <v>0.14489896199800681</v>
      </c>
      <c r="AD50" s="93">
        <f t="shared" si="10"/>
        <v>77.503049583847229</v>
      </c>
      <c r="AE50" s="93">
        <f t="shared" si="11"/>
        <v>2.1225293531359934E-2</v>
      </c>
      <c r="AF50" s="92">
        <f t="shared" si="12"/>
        <v>77.524274877378588</v>
      </c>
      <c r="AG50" s="93">
        <f t="shared" si="13"/>
        <v>3.1091532973489991E-3</v>
      </c>
      <c r="AH50" s="92">
        <f t="shared" si="14"/>
        <v>77.527384030675933</v>
      </c>
      <c r="AI50" s="93">
        <f t="shared" si="15"/>
        <v>4.5543936585872447E-4</v>
      </c>
      <c r="AJ50" s="92">
        <f t="shared" si="16"/>
        <v>77.527839470041798</v>
      </c>
      <c r="AK50" s="93">
        <f t="shared" si="19"/>
        <v>182.7</v>
      </c>
      <c r="AL50" s="89" t="str">
        <f t="shared" si="17"/>
        <v>'pass'</v>
      </c>
    </row>
    <row r="51" spans="1:38" x14ac:dyDescent="0.2">
      <c r="A51" s="117" t="s">
        <v>1582</v>
      </c>
      <c r="B51" s="117" t="s">
        <v>1582</v>
      </c>
      <c r="C51" s="124">
        <v>30</v>
      </c>
      <c r="D51" s="119">
        <f t="shared" si="0"/>
        <v>7.1775486278919537E-4</v>
      </c>
      <c r="E51" s="120" t="s">
        <v>1583</v>
      </c>
      <c r="F51" s="121" t="s">
        <v>1584</v>
      </c>
      <c r="G51" s="122" t="s">
        <v>1585</v>
      </c>
      <c r="H51" s="121" t="s">
        <v>1477</v>
      </c>
      <c r="I51" s="118" t="s">
        <v>1586</v>
      </c>
      <c r="J51" s="121"/>
      <c r="K51" s="123">
        <v>1039991</v>
      </c>
      <c r="L51" s="123">
        <v>1155853</v>
      </c>
      <c r="M51" s="123">
        <v>1179507</v>
      </c>
      <c r="N51" s="123">
        <v>1241243</v>
      </c>
      <c r="O51" s="104">
        <v>1241243</v>
      </c>
      <c r="P51" s="105" t="s">
        <v>1587</v>
      </c>
      <c r="Q51" s="91">
        <v>0.15</v>
      </c>
      <c r="R51" s="91"/>
      <c r="S51" s="104">
        <f t="shared" si="1"/>
        <v>93.09322499999999</v>
      </c>
      <c r="U51" s="93">
        <f t="shared" ref="U51:U77" si="21">+S51*$T$15</f>
        <v>67.382357259826662</v>
      </c>
      <c r="V51" s="93">
        <v>41.7</v>
      </c>
      <c r="W51" s="93">
        <f t="shared" si="3"/>
        <v>41.7</v>
      </c>
      <c r="X51" s="89">
        <f t="shared" si="4"/>
        <v>2.426391841005474E-3</v>
      </c>
      <c r="Y51" s="93">
        <f t="shared" si="5"/>
        <v>6.6189713674736765</v>
      </c>
      <c r="Z51" s="92">
        <f t="shared" si="6"/>
        <v>41.7</v>
      </c>
      <c r="AA51" s="93">
        <f t="shared" si="7"/>
        <v>0.95851617011347168</v>
      </c>
      <c r="AB51" s="93">
        <f t="shared" si="8"/>
        <v>41.7</v>
      </c>
      <c r="AC51" s="93">
        <f t="shared" si="9"/>
        <v>0.14040671364769125</v>
      </c>
      <c r="AD51" s="93">
        <f t="shared" si="10"/>
        <v>41.7</v>
      </c>
      <c r="AE51" s="93">
        <f t="shared" si="11"/>
        <v>2.0567253690794846E-2</v>
      </c>
      <c r="AF51" s="92">
        <f t="shared" si="12"/>
        <v>41.7</v>
      </c>
      <c r="AG51" s="93">
        <f t="shared" si="13"/>
        <v>3.0127613799860141E-3</v>
      </c>
      <c r="AH51" s="92">
        <f t="shared" si="14"/>
        <v>41.7</v>
      </c>
      <c r="AI51" s="93">
        <f t="shared" ref="AI51:AI82" si="22">+X51*$AI$16</f>
        <v>4.4131954945882671E-4</v>
      </c>
      <c r="AJ51" s="92">
        <f t="shared" ref="AJ51:AJ77" si="23">IF(AH51+AI51&gt;V51,V51,AH51+AI51)</f>
        <v>41.7</v>
      </c>
      <c r="AK51" s="93">
        <f t="shared" si="19"/>
        <v>41.7</v>
      </c>
      <c r="AL51" s="89" t="str">
        <f t="shared" si="17"/>
        <v>'pass'</v>
      </c>
    </row>
    <row r="52" spans="1:38" x14ac:dyDescent="0.2">
      <c r="A52" s="117" t="s">
        <v>1582</v>
      </c>
      <c r="B52" s="117" t="s">
        <v>1582</v>
      </c>
      <c r="C52" s="124">
        <v>29</v>
      </c>
      <c r="D52" s="119"/>
      <c r="E52" s="120" t="s">
        <v>1588</v>
      </c>
      <c r="F52" s="121" t="s">
        <v>1584</v>
      </c>
      <c r="G52" s="122" t="s">
        <v>1589</v>
      </c>
      <c r="H52" s="121" t="s">
        <v>1477</v>
      </c>
      <c r="I52" s="118" t="s">
        <v>1586</v>
      </c>
      <c r="J52" s="121"/>
      <c r="K52" s="123">
        <v>518785</v>
      </c>
      <c r="L52" s="123">
        <v>562252</v>
      </c>
      <c r="M52" s="123">
        <v>427678</v>
      </c>
      <c r="N52" s="123">
        <v>851714</v>
      </c>
      <c r="O52" s="104">
        <v>851714</v>
      </c>
      <c r="P52" s="105" t="s">
        <v>1587</v>
      </c>
      <c r="Q52" s="91">
        <v>0.15</v>
      </c>
      <c r="R52" s="91"/>
      <c r="S52" s="104">
        <f t="shared" si="1"/>
        <v>63.878549999999997</v>
      </c>
      <c r="U52" s="93">
        <f t="shared" si="21"/>
        <v>46.236310723360376</v>
      </c>
      <c r="V52" s="93">
        <v>41.7</v>
      </c>
      <c r="W52" s="93">
        <f t="shared" si="3"/>
        <v>41.7</v>
      </c>
      <c r="X52" s="89">
        <f t="shared" si="4"/>
        <v>1.6649374058666482E-3</v>
      </c>
      <c r="Y52" s="93">
        <f t="shared" si="5"/>
        <v>4.5417944586809149</v>
      </c>
      <c r="Z52" s="92">
        <f t="shared" si="6"/>
        <v>41.7</v>
      </c>
      <c r="AA52" s="93">
        <f t="shared" si="7"/>
        <v>0.65771298715241522</v>
      </c>
      <c r="AB52" s="93">
        <f t="shared" si="8"/>
        <v>41.7</v>
      </c>
      <c r="AC52" s="93">
        <f t="shared" si="9"/>
        <v>9.6344038764149889E-2</v>
      </c>
      <c r="AD52" s="93">
        <f t="shared" si="10"/>
        <v>41.7</v>
      </c>
      <c r="AE52" s="93">
        <f t="shared" si="11"/>
        <v>1.4112802980561936E-2</v>
      </c>
      <c r="AF52" s="92">
        <f t="shared" si="12"/>
        <v>41.7</v>
      </c>
      <c r="AG52" s="93">
        <f t="shared" si="13"/>
        <v>2.0672914538034919E-3</v>
      </c>
      <c r="AH52" s="92">
        <f t="shared" si="14"/>
        <v>41.7</v>
      </c>
      <c r="AI52" s="93">
        <f t="shared" si="22"/>
        <v>3.0282389407052055E-4</v>
      </c>
      <c r="AJ52" s="92">
        <f t="shared" si="23"/>
        <v>41.7</v>
      </c>
      <c r="AK52" s="93">
        <f t="shared" si="19"/>
        <v>41.7</v>
      </c>
      <c r="AL52" s="89" t="str">
        <f t="shared" si="17"/>
        <v>'pass'</v>
      </c>
    </row>
    <row r="53" spans="1:38" x14ac:dyDescent="0.2">
      <c r="A53" s="117" t="s">
        <v>1590</v>
      </c>
      <c r="B53" s="117" t="s">
        <v>1591</v>
      </c>
      <c r="C53" s="124">
        <v>46</v>
      </c>
      <c r="D53" s="119">
        <f t="shared" ref="D53:D63" si="24">C53/$C$6</f>
        <v>1.1005574562767662E-3</v>
      </c>
      <c r="E53" s="120" t="s">
        <v>1592</v>
      </c>
      <c r="F53" s="121" t="s">
        <v>1593</v>
      </c>
      <c r="G53" s="122" t="s">
        <v>1594</v>
      </c>
      <c r="H53" s="121" t="s">
        <v>1477</v>
      </c>
      <c r="I53" s="118" t="s">
        <v>1590</v>
      </c>
      <c r="J53" s="121">
        <v>79</v>
      </c>
      <c r="K53" s="123">
        <v>186168</v>
      </c>
      <c r="L53" s="123">
        <v>233720</v>
      </c>
      <c r="M53" s="123">
        <v>893340</v>
      </c>
      <c r="N53" s="123">
        <v>1042430</v>
      </c>
      <c r="O53" s="104">
        <v>1042430</v>
      </c>
      <c r="P53" s="105" t="s">
        <v>1587</v>
      </c>
      <c r="Q53" s="91">
        <f t="shared" ref="Q53:Q59" si="25">IF(J53&gt;25,0.15,0)</f>
        <v>0.15</v>
      </c>
      <c r="R53" s="91"/>
      <c r="S53" s="104">
        <f t="shared" si="1"/>
        <v>78.182249999999996</v>
      </c>
      <c r="U53" s="93">
        <f t="shared" si="21"/>
        <v>56.589556338574404</v>
      </c>
      <c r="V53" s="93">
        <v>69.599999999999994</v>
      </c>
      <c r="W53" s="93">
        <f t="shared" si="3"/>
        <v>56.589556338574404</v>
      </c>
      <c r="X53" s="89">
        <f t="shared" si="4"/>
        <v>2.0377505829393084E-3</v>
      </c>
      <c r="Y53" s="93">
        <f t="shared" si="5"/>
        <v>5.5587941463481236</v>
      </c>
      <c r="Z53" s="92">
        <f t="shared" si="6"/>
        <v>62.148350484922531</v>
      </c>
      <c r="AA53" s="93">
        <f t="shared" si="7"/>
        <v>0.80498823454503765</v>
      </c>
      <c r="AB53" s="93">
        <f t="shared" si="8"/>
        <v>62.953338719467567</v>
      </c>
      <c r="AC53" s="93">
        <f t="shared" si="9"/>
        <v>0.11791741867447614</v>
      </c>
      <c r="AD53" s="93">
        <f t="shared" si="10"/>
        <v>63.07125613814204</v>
      </c>
      <c r="AE53" s="93">
        <f t="shared" si="11"/>
        <v>1.7272945156504623E-2</v>
      </c>
      <c r="AF53" s="92">
        <f t="shared" si="12"/>
        <v>63.088529083298546</v>
      </c>
      <c r="AG53" s="93">
        <f t="shared" si="13"/>
        <v>2.5301998443002863E-3</v>
      </c>
      <c r="AH53" s="92">
        <f t="shared" si="14"/>
        <v>63.091059283142847</v>
      </c>
      <c r="AI53" s="93">
        <f t="shared" si="22"/>
        <v>3.7063229193829469E-4</v>
      </c>
      <c r="AJ53" s="92">
        <f t="shared" si="23"/>
        <v>63.091429915434787</v>
      </c>
      <c r="AK53" s="93">
        <f t="shared" si="19"/>
        <v>69.599999999999994</v>
      </c>
      <c r="AL53" s="89" t="str">
        <f t="shared" si="17"/>
        <v>'pass'</v>
      </c>
    </row>
    <row r="54" spans="1:38" x14ac:dyDescent="0.2">
      <c r="A54" s="117" t="s">
        <v>1595</v>
      </c>
      <c r="B54" s="117" t="s">
        <v>1596</v>
      </c>
      <c r="C54" s="124">
        <v>144</v>
      </c>
      <c r="D54" s="119">
        <f t="shared" si="24"/>
        <v>3.4452233413881381E-3</v>
      </c>
      <c r="E54" s="120" t="s">
        <v>1597</v>
      </c>
      <c r="F54" s="121" t="s">
        <v>1598</v>
      </c>
      <c r="G54" s="122" t="s">
        <v>1599</v>
      </c>
      <c r="H54" s="121" t="s">
        <v>1461</v>
      </c>
      <c r="I54" s="118" t="s">
        <v>1596</v>
      </c>
      <c r="J54" s="121">
        <v>63.9</v>
      </c>
      <c r="K54" s="123">
        <v>1601900</v>
      </c>
      <c r="L54" s="123">
        <v>1663702</v>
      </c>
      <c r="M54" s="123">
        <v>1492027</v>
      </c>
      <c r="N54" s="123">
        <v>1633888</v>
      </c>
      <c r="O54" s="104">
        <v>1663702</v>
      </c>
      <c r="P54" s="105" t="s">
        <v>1522</v>
      </c>
      <c r="Q54" s="91">
        <f t="shared" si="25"/>
        <v>0.15</v>
      </c>
      <c r="R54" s="91"/>
      <c r="S54" s="104">
        <f t="shared" si="1"/>
        <v>124.77764999999999</v>
      </c>
      <c r="U54" s="93">
        <f t="shared" si="21"/>
        <v>90.316048137140058</v>
      </c>
      <c r="V54" s="93">
        <v>187.6</v>
      </c>
      <c r="W54" s="93">
        <f t="shared" si="3"/>
        <v>90.316048137140058</v>
      </c>
      <c r="X54" s="89">
        <f t="shared" si="4"/>
        <v>3.2522181060956547E-3</v>
      </c>
      <c r="Y54" s="93">
        <f t="shared" si="5"/>
        <v>8.8717486439067041</v>
      </c>
      <c r="Z54" s="92">
        <f t="shared" si="6"/>
        <v>99.187796781046757</v>
      </c>
      <c r="AA54" s="93">
        <f t="shared" si="7"/>
        <v>1.2847486505463659</v>
      </c>
      <c r="AB54" s="93">
        <f t="shared" si="8"/>
        <v>100.47254543159312</v>
      </c>
      <c r="AC54" s="93">
        <f t="shared" si="9"/>
        <v>0.18819435864620482</v>
      </c>
      <c r="AD54" s="93">
        <f t="shared" si="10"/>
        <v>100.66073979023932</v>
      </c>
      <c r="AE54" s="93">
        <f t="shared" si="11"/>
        <v>2.7567350712054579E-2</v>
      </c>
      <c r="AF54" s="92">
        <f t="shared" si="12"/>
        <v>100.68830714095138</v>
      </c>
      <c r="AG54" s="93">
        <f t="shared" si="13"/>
        <v>4.0381594364725451E-3</v>
      </c>
      <c r="AH54" s="92">
        <f t="shared" si="14"/>
        <v>100.69234530038786</v>
      </c>
      <c r="AI54" s="93">
        <f t="shared" si="22"/>
        <v>5.9152334963721756E-4</v>
      </c>
      <c r="AJ54" s="92">
        <f t="shared" si="23"/>
        <v>100.6929368237375</v>
      </c>
      <c r="AK54" s="93">
        <f t="shared" si="19"/>
        <v>187.6</v>
      </c>
      <c r="AL54" s="89" t="str">
        <f t="shared" si="17"/>
        <v>'pass'</v>
      </c>
    </row>
    <row r="55" spans="1:38" x14ac:dyDescent="0.2">
      <c r="A55" s="117" t="s">
        <v>1595</v>
      </c>
      <c r="B55" s="117" t="s">
        <v>1596</v>
      </c>
      <c r="C55" s="124">
        <v>144</v>
      </c>
      <c r="D55" s="119">
        <f t="shared" si="24"/>
        <v>3.4452233413881381E-3</v>
      </c>
      <c r="E55" s="120" t="s">
        <v>1600</v>
      </c>
      <c r="F55" s="121" t="s">
        <v>1598</v>
      </c>
      <c r="G55" s="122">
        <v>11855</v>
      </c>
      <c r="H55" s="121" t="s">
        <v>1461</v>
      </c>
      <c r="I55" s="118" t="s">
        <v>1596</v>
      </c>
      <c r="J55" s="121">
        <v>63.9</v>
      </c>
      <c r="K55" s="123">
        <v>1669600</v>
      </c>
      <c r="L55" s="123">
        <v>1704189</v>
      </c>
      <c r="M55" s="123">
        <v>1534222</v>
      </c>
      <c r="N55" s="123">
        <v>1594125</v>
      </c>
      <c r="O55" s="104">
        <v>1704189</v>
      </c>
      <c r="P55" s="105" t="s">
        <v>1522</v>
      </c>
      <c r="Q55" s="91">
        <f t="shared" si="25"/>
        <v>0.15</v>
      </c>
      <c r="R55" s="91"/>
      <c r="S55" s="104">
        <f t="shared" si="1"/>
        <v>127.81417499999999</v>
      </c>
      <c r="U55" s="93">
        <f t="shared" si="21"/>
        <v>92.513933239717559</v>
      </c>
      <c r="V55" s="93">
        <v>187.6</v>
      </c>
      <c r="W55" s="93">
        <f t="shared" si="3"/>
        <v>92.513933239717559</v>
      </c>
      <c r="X55" s="89">
        <f t="shared" si="4"/>
        <v>3.3313624206793334E-3</v>
      </c>
      <c r="Y55" s="93">
        <f t="shared" si="5"/>
        <v>9.0876469762678198</v>
      </c>
      <c r="Z55" s="92">
        <f t="shared" si="6"/>
        <v>101.60158021598538</v>
      </c>
      <c r="AA55" s="93">
        <f t="shared" si="7"/>
        <v>1.3160136358710641</v>
      </c>
      <c r="AB55" s="93">
        <f t="shared" si="8"/>
        <v>102.91759385185644</v>
      </c>
      <c r="AC55" s="93">
        <f t="shared" si="9"/>
        <v>0.1927741601963075</v>
      </c>
      <c r="AD55" s="93">
        <f t="shared" si="10"/>
        <v>103.11036801205275</v>
      </c>
      <c r="AE55" s="93">
        <f t="shared" si="11"/>
        <v>2.8238215643562121E-2</v>
      </c>
      <c r="AF55" s="92">
        <f t="shared" si="12"/>
        <v>103.13860622769631</v>
      </c>
      <c r="AG55" s="93">
        <f t="shared" si="13"/>
        <v>4.1364300168435873E-3</v>
      </c>
      <c r="AH55" s="92">
        <f t="shared" si="14"/>
        <v>103.14274265771316</v>
      </c>
      <c r="AI55" s="93">
        <f t="shared" si="22"/>
        <v>6.0591835899391857E-4</v>
      </c>
      <c r="AJ55" s="92">
        <f t="shared" si="23"/>
        <v>103.14334857607216</v>
      </c>
      <c r="AK55" s="93">
        <f t="shared" ref="AK55:AK89" si="26">+V55</f>
        <v>187.6</v>
      </c>
      <c r="AL55" s="89" t="str">
        <f t="shared" si="17"/>
        <v>'pass'</v>
      </c>
    </row>
    <row r="56" spans="1:38" x14ac:dyDescent="0.2">
      <c r="A56" s="117" t="s">
        <v>1595</v>
      </c>
      <c r="B56" s="117" t="s">
        <v>1596</v>
      </c>
      <c r="C56" s="124">
        <v>144</v>
      </c>
      <c r="D56" s="119">
        <f t="shared" si="24"/>
        <v>3.4452233413881381E-3</v>
      </c>
      <c r="E56" s="120" t="s">
        <v>1601</v>
      </c>
      <c r="F56" s="121" t="s">
        <v>1598</v>
      </c>
      <c r="G56" s="122">
        <v>11856</v>
      </c>
      <c r="H56" s="121" t="s">
        <v>1461</v>
      </c>
      <c r="I56" s="118" t="s">
        <v>1596</v>
      </c>
      <c r="J56" s="121">
        <v>63.9</v>
      </c>
      <c r="K56" s="123">
        <v>1653100</v>
      </c>
      <c r="L56" s="123">
        <v>1239241</v>
      </c>
      <c r="M56" s="123">
        <v>1672122</v>
      </c>
      <c r="N56" s="123">
        <v>1641891</v>
      </c>
      <c r="O56" s="104">
        <v>1672122</v>
      </c>
      <c r="P56" s="105" t="s">
        <v>1515</v>
      </c>
      <c r="Q56" s="91">
        <f t="shared" si="25"/>
        <v>0.15</v>
      </c>
      <c r="R56" s="91"/>
      <c r="S56" s="104">
        <f t="shared" si="1"/>
        <v>125.40915</v>
      </c>
      <c r="U56" s="93">
        <f t="shared" si="21"/>
        <v>90.773137883569845</v>
      </c>
      <c r="V56" s="93">
        <v>187.6</v>
      </c>
      <c r="W56" s="93">
        <f t="shared" si="3"/>
        <v>90.773137883569845</v>
      </c>
      <c r="X56" s="89">
        <f t="shared" si="4"/>
        <v>3.2686775900977933E-3</v>
      </c>
      <c r="Y56" s="93">
        <f t="shared" si="5"/>
        <v>8.9166485860728475</v>
      </c>
      <c r="Z56" s="92">
        <f t="shared" si="6"/>
        <v>99.689786469642698</v>
      </c>
      <c r="AA56" s="93">
        <f t="shared" si="7"/>
        <v>1.2912507666931281</v>
      </c>
      <c r="AB56" s="93">
        <f t="shared" si="8"/>
        <v>100.98103723633582</v>
      </c>
      <c r="AC56" s="93">
        <f t="shared" si="9"/>
        <v>0.18914681076791959</v>
      </c>
      <c r="AD56" s="93">
        <f t="shared" si="10"/>
        <v>101.17018404710375</v>
      </c>
      <c r="AE56" s="93">
        <f t="shared" si="11"/>
        <v>2.7706869143237271E-2</v>
      </c>
      <c r="AF56" s="92">
        <f t="shared" si="12"/>
        <v>101.19789091624698</v>
      </c>
      <c r="AG56" s="93">
        <f t="shared" si="13"/>
        <v>4.0585965715214294E-3</v>
      </c>
      <c r="AH56" s="92">
        <f t="shared" si="14"/>
        <v>101.2019495128185</v>
      </c>
      <c r="AI56" s="93">
        <f t="shared" si="22"/>
        <v>5.9451705079520477E-4</v>
      </c>
      <c r="AJ56" s="92">
        <f t="shared" si="23"/>
        <v>101.2025440298693</v>
      </c>
      <c r="AK56" s="93">
        <f t="shared" si="26"/>
        <v>187.6</v>
      </c>
      <c r="AL56" s="89" t="str">
        <f t="shared" si="17"/>
        <v>'pass'</v>
      </c>
    </row>
    <row r="57" spans="1:38" x14ac:dyDescent="0.2">
      <c r="A57" s="117" t="s">
        <v>1602</v>
      </c>
      <c r="B57" s="117" t="s">
        <v>1603</v>
      </c>
      <c r="C57" s="124">
        <v>103</v>
      </c>
      <c r="D57" s="119">
        <f t="shared" si="24"/>
        <v>2.4642916955762376E-3</v>
      </c>
      <c r="E57" s="120" t="s">
        <v>1604</v>
      </c>
      <c r="F57" s="121" t="s">
        <v>1605</v>
      </c>
      <c r="G57" s="122" t="s">
        <v>1460</v>
      </c>
      <c r="H57" s="121" t="s">
        <v>1477</v>
      </c>
      <c r="I57" s="118" t="s">
        <v>1603</v>
      </c>
      <c r="J57" s="121">
        <v>49</v>
      </c>
      <c r="K57" s="123">
        <v>1317034</v>
      </c>
      <c r="L57" s="123">
        <v>614084</v>
      </c>
      <c r="M57" s="123">
        <v>0</v>
      </c>
      <c r="N57" s="123">
        <v>0</v>
      </c>
      <c r="O57" s="104">
        <v>1317034</v>
      </c>
      <c r="P57" s="105" t="s">
        <v>1463</v>
      </c>
      <c r="Q57" s="91">
        <f t="shared" si="25"/>
        <v>0.15</v>
      </c>
      <c r="R57" s="91"/>
      <c r="S57" s="104">
        <f t="shared" si="1"/>
        <v>98.777550000000005</v>
      </c>
      <c r="U57" s="93">
        <f t="shared" si="21"/>
        <v>71.496762125819487</v>
      </c>
      <c r="V57" s="93">
        <v>0</v>
      </c>
      <c r="W57" s="93">
        <f t="shared" si="3"/>
        <v>0</v>
      </c>
      <c r="X57" s="89">
        <f t="shared" si="4"/>
        <v>2.5745486999135571E-3</v>
      </c>
      <c r="Y57" s="93">
        <f t="shared" si="5"/>
        <v>7.0231295048506421</v>
      </c>
      <c r="Z57" s="92">
        <f t="shared" si="6"/>
        <v>0</v>
      </c>
      <c r="AA57" s="93">
        <f t="shared" si="7"/>
        <v>1.0170437098853535</v>
      </c>
      <c r="AB57" s="93">
        <f t="shared" si="8"/>
        <v>0</v>
      </c>
      <c r="AC57" s="93">
        <f t="shared" si="9"/>
        <v>0.14898002703924484</v>
      </c>
      <c r="AD57" s="93">
        <f t="shared" si="10"/>
        <v>0</v>
      </c>
      <c r="AE57" s="93">
        <f t="shared" si="11"/>
        <v>2.1823101840173359E-2</v>
      </c>
      <c r="AF57" s="92">
        <f t="shared" si="12"/>
        <v>0</v>
      </c>
      <c r="AG57" s="93">
        <f t="shared" si="13"/>
        <v>3.1967222947710478E-3</v>
      </c>
      <c r="AH57" s="92">
        <f t="shared" si="14"/>
        <v>0</v>
      </c>
      <c r="AI57" s="93">
        <f t="shared" si="22"/>
        <v>4.6826677089172416E-4</v>
      </c>
      <c r="AJ57" s="92">
        <f t="shared" si="23"/>
        <v>0</v>
      </c>
      <c r="AK57" s="93">
        <f t="shared" si="26"/>
        <v>0</v>
      </c>
      <c r="AL57" s="89" t="str">
        <f t="shared" si="17"/>
        <v>'pass'</v>
      </c>
    </row>
    <row r="58" spans="1:38" x14ac:dyDescent="0.2">
      <c r="A58" s="117" t="s">
        <v>1606</v>
      </c>
      <c r="B58" s="117" t="s">
        <v>1607</v>
      </c>
      <c r="C58" s="124">
        <v>111</v>
      </c>
      <c r="D58" s="119">
        <f t="shared" si="24"/>
        <v>2.6556929923200229E-3</v>
      </c>
      <c r="E58" s="120" t="s">
        <v>1608</v>
      </c>
      <c r="F58" s="121" t="s">
        <v>1609</v>
      </c>
      <c r="G58" s="122" t="s">
        <v>1460</v>
      </c>
      <c r="H58" s="121" t="s">
        <v>1477</v>
      </c>
      <c r="I58" s="118" t="s">
        <v>1610</v>
      </c>
      <c r="J58" s="121">
        <v>41</v>
      </c>
      <c r="K58" s="123">
        <v>1389786</v>
      </c>
      <c r="L58" s="123">
        <v>1474388</v>
      </c>
      <c r="M58" s="123">
        <v>1416926</v>
      </c>
      <c r="N58" s="123">
        <v>1467771</v>
      </c>
      <c r="O58" s="104">
        <v>1474388</v>
      </c>
      <c r="P58" s="105" t="s">
        <v>1522</v>
      </c>
      <c r="Q58" s="91">
        <f t="shared" si="25"/>
        <v>0.15</v>
      </c>
      <c r="R58" s="91"/>
      <c r="S58" s="104">
        <f t="shared" si="1"/>
        <v>110.5791</v>
      </c>
      <c r="U58" s="93">
        <f t="shared" si="21"/>
        <v>80.038911764740106</v>
      </c>
      <c r="V58" s="93">
        <v>106</v>
      </c>
      <c r="W58" s="93">
        <f t="shared" si="3"/>
        <v>80.038911764740106</v>
      </c>
      <c r="X58" s="89">
        <f t="shared" si="4"/>
        <v>2.8821455699459156E-3</v>
      </c>
      <c r="Y58" s="93">
        <f t="shared" si="5"/>
        <v>7.8622251698875862</v>
      </c>
      <c r="Z58" s="92">
        <f t="shared" si="6"/>
        <v>87.901136934627687</v>
      </c>
      <c r="AA58" s="93">
        <f t="shared" si="7"/>
        <v>1.1385560595477766</v>
      </c>
      <c r="AB58" s="93">
        <f t="shared" si="8"/>
        <v>89.039692994175468</v>
      </c>
      <c r="AC58" s="93">
        <f t="shared" si="9"/>
        <v>0.1667795699323921</v>
      </c>
      <c r="AD58" s="93">
        <f t="shared" si="10"/>
        <v>89.206472564107855</v>
      </c>
      <c r="AE58" s="93">
        <f t="shared" si="11"/>
        <v>2.4430439514795753E-2</v>
      </c>
      <c r="AF58" s="92">
        <f t="shared" si="12"/>
        <v>89.230903003622657</v>
      </c>
      <c r="AG58" s="93">
        <f t="shared" si="13"/>
        <v>3.5786539988663124E-3</v>
      </c>
      <c r="AH58" s="92">
        <f t="shared" si="14"/>
        <v>89.234481657621529</v>
      </c>
      <c r="AI58" s="93">
        <f t="shared" si="22"/>
        <v>5.2421342790050013E-4</v>
      </c>
      <c r="AJ58" s="92">
        <f t="shared" si="23"/>
        <v>89.235005871049424</v>
      </c>
      <c r="AK58" s="93">
        <f t="shared" si="26"/>
        <v>106</v>
      </c>
      <c r="AL58" s="89" t="str">
        <f t="shared" si="17"/>
        <v>'pass'</v>
      </c>
    </row>
    <row r="59" spans="1:38" x14ac:dyDescent="0.2">
      <c r="A59" s="117" t="s">
        <v>1611</v>
      </c>
      <c r="B59" s="117" t="s">
        <v>1612</v>
      </c>
      <c r="C59" s="124">
        <v>79</v>
      </c>
      <c r="D59" s="119">
        <f t="shared" si="24"/>
        <v>1.8900878053448812E-3</v>
      </c>
      <c r="E59" s="125" t="s">
        <v>1613</v>
      </c>
      <c r="F59" s="121" t="s">
        <v>1614</v>
      </c>
      <c r="G59" s="122" t="s">
        <v>1615</v>
      </c>
      <c r="H59" s="121" t="s">
        <v>1477</v>
      </c>
      <c r="I59" s="118" t="s">
        <v>1616</v>
      </c>
      <c r="J59" s="121">
        <v>55</v>
      </c>
      <c r="K59" s="123">
        <v>922050</v>
      </c>
      <c r="L59" s="123">
        <v>1385665</v>
      </c>
      <c r="M59" s="123">
        <v>1440000</v>
      </c>
      <c r="N59" s="123">
        <v>1190000</v>
      </c>
      <c r="O59" s="104">
        <v>1440000</v>
      </c>
      <c r="P59" s="105" t="s">
        <v>1515</v>
      </c>
      <c r="Q59" s="91">
        <f t="shared" si="25"/>
        <v>0.15</v>
      </c>
      <c r="R59" s="91"/>
      <c r="S59" s="104">
        <f t="shared" si="1"/>
        <v>108</v>
      </c>
      <c r="U59" s="93">
        <f t="shared" si="21"/>
        <v>78.17211815426181</v>
      </c>
      <c r="V59" s="93">
        <v>96</v>
      </c>
      <c r="W59" s="93">
        <f t="shared" si="3"/>
        <v>78.17211815426181</v>
      </c>
      <c r="X59" s="89">
        <f t="shared" si="4"/>
        <v>2.8149236298193685E-3</v>
      </c>
      <c r="Y59" s="93">
        <f t="shared" si="5"/>
        <v>7.678849966656081</v>
      </c>
      <c r="Z59" s="92">
        <f t="shared" si="6"/>
        <v>85.850968120917884</v>
      </c>
      <c r="AA59" s="93">
        <f t="shared" si="7"/>
        <v>1.1120008612039698</v>
      </c>
      <c r="AB59" s="93">
        <f t="shared" si="8"/>
        <v>86.962968982121851</v>
      </c>
      <c r="AC59" s="93">
        <f t="shared" si="9"/>
        <v>0.16288967402247215</v>
      </c>
      <c r="AD59" s="93">
        <f t="shared" si="10"/>
        <v>87.125858656144317</v>
      </c>
      <c r="AE59" s="93">
        <f t="shared" si="11"/>
        <v>2.3860634311528506E-2</v>
      </c>
      <c r="AF59" s="92">
        <f t="shared" si="12"/>
        <v>87.149719290455849</v>
      </c>
      <c r="AG59" s="93">
        <f t="shared" si="13"/>
        <v>3.4951869917331738E-3</v>
      </c>
      <c r="AH59" s="92">
        <f t="shared" si="14"/>
        <v>87.153214477447577</v>
      </c>
      <c r="AI59" s="93">
        <f t="shared" si="22"/>
        <v>5.1198689637783294E-4</v>
      </c>
      <c r="AJ59" s="92">
        <f t="shared" si="23"/>
        <v>87.153726464343961</v>
      </c>
      <c r="AK59" s="93">
        <f t="shared" si="26"/>
        <v>96</v>
      </c>
      <c r="AL59" s="89" t="str">
        <f t="shared" si="17"/>
        <v>'pass'</v>
      </c>
    </row>
    <row r="60" spans="1:38" x14ac:dyDescent="0.2">
      <c r="A60" s="117" t="s">
        <v>1617</v>
      </c>
      <c r="B60" s="117" t="s">
        <v>1618</v>
      </c>
      <c r="C60" s="124">
        <v>35</v>
      </c>
      <c r="D60" s="119">
        <f t="shared" si="24"/>
        <v>8.3738067325406132E-4</v>
      </c>
      <c r="E60" s="120" t="s">
        <v>1619</v>
      </c>
      <c r="F60" s="121" t="s">
        <v>1620</v>
      </c>
      <c r="G60" s="122" t="s">
        <v>1460</v>
      </c>
      <c r="H60" s="121" t="s">
        <v>1477</v>
      </c>
      <c r="I60" s="118" t="s">
        <v>1621</v>
      </c>
      <c r="J60" s="121">
        <v>3.8</v>
      </c>
      <c r="K60" s="123">
        <v>1450260</v>
      </c>
      <c r="L60" s="123">
        <v>1413186</v>
      </c>
      <c r="M60" s="123">
        <v>1432183</v>
      </c>
      <c r="N60" s="123">
        <v>469547</v>
      </c>
      <c r="O60" s="104">
        <v>1450260</v>
      </c>
      <c r="P60" s="105" t="s">
        <v>1479</v>
      </c>
      <c r="Q60" s="91">
        <v>0.15</v>
      </c>
      <c r="R60" s="91"/>
      <c r="S60" s="104">
        <f t="shared" si="1"/>
        <v>108.76949999999999</v>
      </c>
      <c r="U60" s="93">
        <f t="shared" si="21"/>
        <v>78.729094496110918</v>
      </c>
      <c r="V60" s="93">
        <v>32.26</v>
      </c>
      <c r="W60" s="93">
        <f t="shared" si="3"/>
        <v>32.26</v>
      </c>
      <c r="X60" s="89">
        <f t="shared" si="4"/>
        <v>2.834979960681831E-3</v>
      </c>
      <c r="Y60" s="93">
        <f t="shared" si="5"/>
        <v>7.7335617726685042</v>
      </c>
      <c r="Z60" s="92">
        <f t="shared" si="6"/>
        <v>32.26</v>
      </c>
      <c r="AA60" s="93">
        <f t="shared" si="7"/>
        <v>1.119923867340048</v>
      </c>
      <c r="AB60" s="93">
        <f t="shared" si="8"/>
        <v>32.26</v>
      </c>
      <c r="AC60" s="93">
        <f t="shared" si="9"/>
        <v>0.16405026294988223</v>
      </c>
      <c r="AD60" s="93">
        <f t="shared" si="10"/>
        <v>32.26</v>
      </c>
      <c r="AE60" s="93">
        <f t="shared" si="11"/>
        <v>2.4030641330998144E-2</v>
      </c>
      <c r="AF60" s="92">
        <f t="shared" si="12"/>
        <v>32.26</v>
      </c>
      <c r="AG60" s="93">
        <f t="shared" si="13"/>
        <v>3.5200901990492723E-3</v>
      </c>
      <c r="AH60" s="92">
        <f t="shared" si="14"/>
        <v>32.26</v>
      </c>
      <c r="AI60" s="93">
        <f t="shared" si="22"/>
        <v>5.1563480301452494E-4</v>
      </c>
      <c r="AJ60" s="92">
        <f t="shared" si="23"/>
        <v>32.26</v>
      </c>
      <c r="AK60" s="93">
        <f t="shared" si="26"/>
        <v>32.26</v>
      </c>
      <c r="AL60" s="89" t="str">
        <f t="shared" si="17"/>
        <v>'pass'</v>
      </c>
    </row>
    <row r="61" spans="1:38" x14ac:dyDescent="0.2">
      <c r="A61" s="117" t="s">
        <v>1617</v>
      </c>
      <c r="B61" s="117" t="s">
        <v>1618</v>
      </c>
      <c r="C61" s="124">
        <v>14</v>
      </c>
      <c r="D61" s="119">
        <f t="shared" si="24"/>
        <v>3.3495226930162453E-4</v>
      </c>
      <c r="E61" s="120" t="s">
        <v>1622</v>
      </c>
      <c r="F61" s="121" t="s">
        <v>1620</v>
      </c>
      <c r="G61" s="122" t="s">
        <v>1517</v>
      </c>
      <c r="H61" s="121" t="s">
        <v>1477</v>
      </c>
      <c r="I61" s="118" t="s">
        <v>1621</v>
      </c>
      <c r="J61" s="121">
        <v>3.8</v>
      </c>
      <c r="K61" s="123">
        <v>760540</v>
      </c>
      <c r="L61" s="123">
        <v>805740</v>
      </c>
      <c r="M61" s="123">
        <v>811334</v>
      </c>
      <c r="N61" s="123">
        <v>260037</v>
      </c>
      <c r="O61" s="104">
        <v>811740</v>
      </c>
      <c r="P61" s="105" t="s">
        <v>1515</v>
      </c>
      <c r="Q61" s="91">
        <v>0.15</v>
      </c>
      <c r="R61" s="91"/>
      <c r="S61" s="104">
        <f t="shared" si="1"/>
        <v>60.880499999999998</v>
      </c>
      <c r="U61" s="93">
        <f t="shared" si="21"/>
        <v>44.066274437875336</v>
      </c>
      <c r="V61" s="93">
        <v>17.420000000000002</v>
      </c>
      <c r="W61" s="93">
        <f t="shared" si="3"/>
        <v>17.420000000000002</v>
      </c>
      <c r="X61" s="89">
        <f t="shared" si="4"/>
        <v>1.5867959078260932E-3</v>
      </c>
      <c r="Y61" s="93">
        <f t="shared" si="5"/>
        <v>4.3286317166204213</v>
      </c>
      <c r="Z61" s="92">
        <f t="shared" si="6"/>
        <v>17.420000000000002</v>
      </c>
      <c r="AA61" s="93">
        <f t="shared" si="7"/>
        <v>0.62684415213452116</v>
      </c>
      <c r="AB61" s="93">
        <f t="shared" si="8"/>
        <v>17.420000000000002</v>
      </c>
      <c r="AC61" s="93">
        <f t="shared" si="9"/>
        <v>9.1822266660417734E-2</v>
      </c>
      <c r="AD61" s="93">
        <f t="shared" si="10"/>
        <v>17.420000000000002</v>
      </c>
      <c r="AE61" s="93">
        <f t="shared" si="11"/>
        <v>1.3450438400027881E-2</v>
      </c>
      <c r="AF61" s="92">
        <f t="shared" si="12"/>
        <v>17.420000000000002</v>
      </c>
      <c r="AG61" s="93">
        <f t="shared" si="13"/>
        <v>1.9702660337982546E-3</v>
      </c>
      <c r="AH61" s="92">
        <f t="shared" si="14"/>
        <v>17.420000000000002</v>
      </c>
      <c r="AI61" s="93">
        <f t="shared" si="22"/>
        <v>2.8861128004565423E-4</v>
      </c>
      <c r="AJ61" s="92">
        <f t="shared" si="23"/>
        <v>17.420000000000002</v>
      </c>
      <c r="AK61" s="93">
        <f t="shared" si="26"/>
        <v>17.420000000000002</v>
      </c>
      <c r="AL61" s="89" t="str">
        <f t="shared" si="17"/>
        <v>'pass'</v>
      </c>
    </row>
    <row r="62" spans="1:38" x14ac:dyDescent="0.2">
      <c r="A62" s="117" t="s">
        <v>1617</v>
      </c>
      <c r="B62" s="117" t="s">
        <v>1623</v>
      </c>
      <c r="C62" s="124">
        <v>52</v>
      </c>
      <c r="D62" s="119">
        <f t="shared" si="24"/>
        <v>1.2441084288346053E-3</v>
      </c>
      <c r="E62" s="120" t="s">
        <v>1624</v>
      </c>
      <c r="F62" s="121" t="s">
        <v>1625</v>
      </c>
      <c r="G62" s="122" t="s">
        <v>1460</v>
      </c>
      <c r="H62" s="121" t="s">
        <v>1477</v>
      </c>
      <c r="I62" s="118" t="s">
        <v>1626</v>
      </c>
      <c r="J62" s="121">
        <v>101.9</v>
      </c>
      <c r="K62" s="123">
        <v>2600000</v>
      </c>
      <c r="L62" s="123">
        <v>2250712</v>
      </c>
      <c r="M62" s="123">
        <v>2635654</v>
      </c>
      <c r="N62" s="123">
        <v>1180326</v>
      </c>
      <c r="O62" s="104">
        <v>2635654</v>
      </c>
      <c r="P62" s="105" t="s">
        <v>1515</v>
      </c>
      <c r="Q62" s="91">
        <f t="shared" ref="Q62:Q68" si="27">IF(J62&gt;25,0.15,0)</f>
        <v>0.15</v>
      </c>
      <c r="R62" s="91"/>
      <c r="S62" s="104">
        <f t="shared" si="1"/>
        <v>197.67404999999999</v>
      </c>
      <c r="U62" s="93">
        <f t="shared" si="21"/>
        <v>143.07962215399496</v>
      </c>
      <c r="V62" s="93">
        <v>64.599999999999994</v>
      </c>
      <c r="W62" s="93">
        <f t="shared" si="3"/>
        <v>64.599999999999994</v>
      </c>
      <c r="X62" s="89">
        <f t="shared" si="4"/>
        <v>5.1521977254360678E-3</v>
      </c>
      <c r="Y62" s="93">
        <f t="shared" si="5"/>
        <v>14.054716409734004</v>
      </c>
      <c r="Z62" s="92">
        <f t="shared" si="6"/>
        <v>64.599999999999994</v>
      </c>
      <c r="AA62" s="93">
        <f t="shared" si="7"/>
        <v>2.0353121651636723</v>
      </c>
      <c r="AB62" s="93">
        <f t="shared" si="8"/>
        <v>64.599999999999994</v>
      </c>
      <c r="AC62" s="93">
        <f t="shared" si="9"/>
        <v>0.29813945895557276</v>
      </c>
      <c r="AD62" s="93">
        <f t="shared" si="10"/>
        <v>64.599999999999994</v>
      </c>
      <c r="AE62" s="93">
        <f t="shared" si="11"/>
        <v>4.3672483517859274E-2</v>
      </c>
      <c r="AF62" s="92">
        <f t="shared" si="12"/>
        <v>64.599999999999994</v>
      </c>
      <c r="AG62" s="93">
        <f t="shared" si="13"/>
        <v>6.3972941496593791E-3</v>
      </c>
      <c r="AH62" s="92">
        <f t="shared" si="14"/>
        <v>64.599999999999994</v>
      </c>
      <c r="AI62" s="93">
        <f t="shared" si="22"/>
        <v>9.3709743846237558E-4</v>
      </c>
      <c r="AJ62" s="92">
        <f t="shared" si="23"/>
        <v>64.599999999999994</v>
      </c>
      <c r="AK62" s="93">
        <f t="shared" si="26"/>
        <v>64.599999999999994</v>
      </c>
      <c r="AL62" s="89" t="str">
        <f t="shared" si="17"/>
        <v>'pass'</v>
      </c>
    </row>
    <row r="63" spans="1:38" x14ac:dyDescent="0.2">
      <c r="A63" s="117" t="s">
        <v>1617</v>
      </c>
      <c r="B63" s="117" t="s">
        <v>1627</v>
      </c>
      <c r="C63" s="124">
        <v>53</v>
      </c>
      <c r="D63" s="119">
        <f t="shared" si="24"/>
        <v>1.2680335909275786E-3</v>
      </c>
      <c r="E63" s="120" t="s">
        <v>1628</v>
      </c>
      <c r="F63" s="121" t="s">
        <v>1629</v>
      </c>
      <c r="G63" s="122" t="s">
        <v>1460</v>
      </c>
      <c r="H63" s="121" t="s">
        <v>1477</v>
      </c>
      <c r="I63" s="118" t="s">
        <v>1630</v>
      </c>
      <c r="J63" s="121">
        <v>170</v>
      </c>
      <c r="K63" s="123">
        <f>24554039/4</f>
        <v>6138509.75</v>
      </c>
      <c r="L63" s="123">
        <f>23155386/4</f>
        <v>5788846.5</v>
      </c>
      <c r="M63" s="123">
        <f>25187331/4</f>
        <v>6296832.75</v>
      </c>
      <c r="N63" s="123">
        <f>20593280/4</f>
        <v>5148320</v>
      </c>
      <c r="O63" s="123">
        <v>6296833</v>
      </c>
      <c r="P63" s="105" t="s">
        <v>1515</v>
      </c>
      <c r="Q63" s="91">
        <f t="shared" si="27"/>
        <v>0.15</v>
      </c>
      <c r="R63" s="91"/>
      <c r="S63" s="104">
        <f t="shared" si="1"/>
        <v>472.26247499999999</v>
      </c>
      <c r="U63" s="93">
        <f t="shared" si="21"/>
        <v>341.8310925511492</v>
      </c>
      <c r="V63" s="93">
        <v>62.4</v>
      </c>
      <c r="W63" s="93">
        <f t="shared" si="3"/>
        <v>62.4</v>
      </c>
      <c r="X63" s="89">
        <f t="shared" si="4"/>
        <v>1.2309100003282209E-2</v>
      </c>
      <c r="Y63" s="93">
        <f t="shared" si="5"/>
        <v>33.578080466728409</v>
      </c>
      <c r="Z63" s="92">
        <f t="shared" si="6"/>
        <v>62.4</v>
      </c>
      <c r="AA63" s="93">
        <f t="shared" si="7"/>
        <v>4.8625581380955394</v>
      </c>
      <c r="AB63" s="93">
        <f t="shared" si="8"/>
        <v>62.4</v>
      </c>
      <c r="AC63" s="93">
        <f t="shared" si="9"/>
        <v>0.71228407968329532</v>
      </c>
      <c r="AD63" s="93">
        <f t="shared" si="10"/>
        <v>62.4</v>
      </c>
      <c r="AE63" s="93">
        <f t="shared" si="11"/>
        <v>0.10433779828733677</v>
      </c>
      <c r="AF63" s="92">
        <f t="shared" si="12"/>
        <v>62.4</v>
      </c>
      <c r="AG63" s="93">
        <f t="shared" si="13"/>
        <v>1.5283756104664009E-2</v>
      </c>
      <c r="AH63" s="92">
        <f t="shared" si="14"/>
        <v>62.4</v>
      </c>
      <c r="AI63" s="93">
        <f t="shared" si="22"/>
        <v>2.2388166560274435E-3</v>
      </c>
      <c r="AJ63" s="92">
        <f t="shared" si="23"/>
        <v>62.4</v>
      </c>
      <c r="AK63" s="93">
        <f t="shared" si="26"/>
        <v>62.4</v>
      </c>
      <c r="AL63" s="89" t="str">
        <f t="shared" si="17"/>
        <v>'pass'</v>
      </c>
    </row>
    <row r="64" spans="1:38" x14ac:dyDescent="0.2">
      <c r="A64" s="117" t="s">
        <v>1617</v>
      </c>
      <c r="B64" s="117" t="s">
        <v>1627</v>
      </c>
      <c r="C64" s="124">
        <v>53</v>
      </c>
      <c r="D64" s="119"/>
      <c r="E64" s="120" t="s">
        <v>1631</v>
      </c>
      <c r="F64" s="121" t="s">
        <v>1629</v>
      </c>
      <c r="G64" s="122" t="s">
        <v>1517</v>
      </c>
      <c r="H64" s="121" t="s">
        <v>1477</v>
      </c>
      <c r="I64" s="118" t="s">
        <v>1630</v>
      </c>
      <c r="J64" s="121">
        <v>170</v>
      </c>
      <c r="K64" s="123">
        <f>24554039/4</f>
        <v>6138509.75</v>
      </c>
      <c r="L64" s="123">
        <f>23155386/4</f>
        <v>5788846.5</v>
      </c>
      <c r="M64" s="123">
        <f>25187331/4</f>
        <v>6296832.75</v>
      </c>
      <c r="N64" s="123">
        <f>20593280/4</f>
        <v>5148320</v>
      </c>
      <c r="O64" s="123">
        <v>6296833</v>
      </c>
      <c r="P64" s="105" t="s">
        <v>1515</v>
      </c>
      <c r="Q64" s="91">
        <f t="shared" si="27"/>
        <v>0.15</v>
      </c>
      <c r="R64" s="91"/>
      <c r="S64" s="104">
        <f t="shared" si="1"/>
        <v>472.26247499999999</v>
      </c>
      <c r="U64" s="93">
        <f t="shared" si="21"/>
        <v>341.8310925511492</v>
      </c>
      <c r="V64" s="93">
        <v>62.4</v>
      </c>
      <c r="W64" s="93">
        <f t="shared" si="3"/>
        <v>62.4</v>
      </c>
      <c r="X64" s="89">
        <f t="shared" si="4"/>
        <v>1.2309100003282209E-2</v>
      </c>
      <c r="Y64" s="93">
        <f t="shared" si="5"/>
        <v>33.578080466728409</v>
      </c>
      <c r="Z64" s="92">
        <f t="shared" si="6"/>
        <v>62.4</v>
      </c>
      <c r="AA64" s="93">
        <f t="shared" si="7"/>
        <v>4.8625581380955394</v>
      </c>
      <c r="AB64" s="93">
        <f t="shared" si="8"/>
        <v>62.4</v>
      </c>
      <c r="AC64" s="93">
        <f t="shared" si="9"/>
        <v>0.71228407968329532</v>
      </c>
      <c r="AD64" s="93">
        <f t="shared" si="10"/>
        <v>62.4</v>
      </c>
      <c r="AE64" s="93">
        <f t="shared" si="11"/>
        <v>0.10433779828733677</v>
      </c>
      <c r="AF64" s="92">
        <f t="shared" si="12"/>
        <v>62.4</v>
      </c>
      <c r="AG64" s="93">
        <f t="shared" si="13"/>
        <v>1.5283756104664009E-2</v>
      </c>
      <c r="AH64" s="92">
        <f t="shared" si="14"/>
        <v>62.4</v>
      </c>
      <c r="AI64" s="93">
        <f t="shared" si="22"/>
        <v>2.2388166560274435E-3</v>
      </c>
      <c r="AJ64" s="92">
        <f t="shared" si="23"/>
        <v>62.4</v>
      </c>
      <c r="AK64" s="93">
        <f t="shared" si="26"/>
        <v>62.4</v>
      </c>
      <c r="AL64" s="89" t="str">
        <f t="shared" si="17"/>
        <v>'pass'</v>
      </c>
    </row>
    <row r="65" spans="1:38" x14ac:dyDescent="0.2">
      <c r="A65" s="117" t="s">
        <v>1617</v>
      </c>
      <c r="B65" s="117" t="s">
        <v>1627</v>
      </c>
      <c r="C65" s="124">
        <v>53</v>
      </c>
      <c r="D65" s="119"/>
      <c r="E65" s="120" t="s">
        <v>1632</v>
      </c>
      <c r="F65" s="121" t="s">
        <v>1629</v>
      </c>
      <c r="G65" s="122" t="s">
        <v>1633</v>
      </c>
      <c r="H65" s="121" t="s">
        <v>1477</v>
      </c>
      <c r="I65" s="118" t="s">
        <v>1630</v>
      </c>
      <c r="J65" s="121">
        <v>170</v>
      </c>
      <c r="K65" s="123">
        <f>24554039/4</f>
        <v>6138509.75</v>
      </c>
      <c r="L65" s="123">
        <f>23155386/4</f>
        <v>5788846.5</v>
      </c>
      <c r="M65" s="123">
        <f>25187331/4</f>
        <v>6296832.75</v>
      </c>
      <c r="N65" s="123">
        <f>20593280/4</f>
        <v>5148320</v>
      </c>
      <c r="O65" s="123">
        <v>6296833</v>
      </c>
      <c r="P65" s="105" t="s">
        <v>1515</v>
      </c>
      <c r="Q65" s="91">
        <f t="shared" si="27"/>
        <v>0.15</v>
      </c>
      <c r="R65" s="91"/>
      <c r="S65" s="104">
        <f t="shared" si="1"/>
        <v>472.26247499999999</v>
      </c>
      <c r="U65" s="93">
        <f t="shared" si="21"/>
        <v>341.8310925511492</v>
      </c>
      <c r="V65" s="93">
        <v>62.4</v>
      </c>
      <c r="W65" s="93">
        <f t="shared" si="3"/>
        <v>62.4</v>
      </c>
      <c r="X65" s="89">
        <f t="shared" si="4"/>
        <v>1.2309100003282209E-2</v>
      </c>
      <c r="Y65" s="93">
        <f t="shared" si="5"/>
        <v>33.578080466728409</v>
      </c>
      <c r="Z65" s="92">
        <f t="shared" si="6"/>
        <v>62.4</v>
      </c>
      <c r="AA65" s="93">
        <f t="shared" si="7"/>
        <v>4.8625581380955394</v>
      </c>
      <c r="AB65" s="93">
        <f t="shared" si="8"/>
        <v>62.4</v>
      </c>
      <c r="AC65" s="93">
        <f t="shared" si="9"/>
        <v>0.71228407968329532</v>
      </c>
      <c r="AD65" s="93">
        <f t="shared" si="10"/>
        <v>62.4</v>
      </c>
      <c r="AE65" s="93">
        <f t="shared" si="11"/>
        <v>0.10433779828733677</v>
      </c>
      <c r="AF65" s="92">
        <f t="shared" si="12"/>
        <v>62.4</v>
      </c>
      <c r="AG65" s="93">
        <f t="shared" si="13"/>
        <v>1.5283756104664009E-2</v>
      </c>
      <c r="AH65" s="92">
        <f t="shared" si="14"/>
        <v>62.4</v>
      </c>
      <c r="AI65" s="93">
        <f t="shared" si="22"/>
        <v>2.2388166560274435E-3</v>
      </c>
      <c r="AJ65" s="92">
        <f t="shared" si="23"/>
        <v>62.4</v>
      </c>
      <c r="AK65" s="93">
        <f t="shared" si="26"/>
        <v>62.4</v>
      </c>
      <c r="AL65" s="89" t="str">
        <f t="shared" si="17"/>
        <v>'pass'</v>
      </c>
    </row>
    <row r="66" spans="1:38" x14ac:dyDescent="0.2">
      <c r="A66" s="117" t="s">
        <v>1617</v>
      </c>
      <c r="B66" s="117" t="s">
        <v>1627</v>
      </c>
      <c r="C66" s="124">
        <v>53</v>
      </c>
      <c r="D66" s="119"/>
      <c r="E66" s="120" t="s">
        <v>1634</v>
      </c>
      <c r="F66" s="121" t="s">
        <v>1629</v>
      </c>
      <c r="G66" s="122">
        <v>4</v>
      </c>
      <c r="H66" s="121" t="s">
        <v>1477</v>
      </c>
      <c r="I66" s="118" t="s">
        <v>1630</v>
      </c>
      <c r="J66" s="121">
        <v>170</v>
      </c>
      <c r="K66" s="123">
        <f>24554039/4</f>
        <v>6138509.75</v>
      </c>
      <c r="L66" s="123">
        <f>23155386/4</f>
        <v>5788846.5</v>
      </c>
      <c r="M66" s="123">
        <f>25187331/4</f>
        <v>6296832.75</v>
      </c>
      <c r="N66" s="123">
        <f>20593280/4</f>
        <v>5148320</v>
      </c>
      <c r="O66" s="123">
        <v>6296833</v>
      </c>
      <c r="P66" s="105" t="s">
        <v>1515</v>
      </c>
      <c r="Q66" s="91">
        <f t="shared" si="27"/>
        <v>0.15</v>
      </c>
      <c r="R66" s="91"/>
      <c r="S66" s="104">
        <f t="shared" si="1"/>
        <v>472.26247499999999</v>
      </c>
      <c r="U66" s="93">
        <f t="shared" si="21"/>
        <v>341.8310925511492</v>
      </c>
      <c r="V66" s="93">
        <v>62.4</v>
      </c>
      <c r="W66" s="93">
        <f t="shared" si="3"/>
        <v>62.4</v>
      </c>
      <c r="X66" s="89">
        <f t="shared" si="4"/>
        <v>1.2309100003282209E-2</v>
      </c>
      <c r="Y66" s="93">
        <f t="shared" si="5"/>
        <v>33.578080466728409</v>
      </c>
      <c r="Z66" s="92">
        <f t="shared" si="6"/>
        <v>62.4</v>
      </c>
      <c r="AA66" s="93">
        <f t="shared" si="7"/>
        <v>4.8625581380955394</v>
      </c>
      <c r="AB66" s="93">
        <f t="shared" si="8"/>
        <v>62.4</v>
      </c>
      <c r="AC66" s="93">
        <f t="shared" si="9"/>
        <v>0.71228407968329532</v>
      </c>
      <c r="AD66" s="93">
        <f t="shared" si="10"/>
        <v>62.4</v>
      </c>
      <c r="AE66" s="93">
        <f t="shared" si="11"/>
        <v>0.10433779828733677</v>
      </c>
      <c r="AF66" s="92">
        <f t="shared" si="12"/>
        <v>62.4</v>
      </c>
      <c r="AG66" s="93">
        <f t="shared" si="13"/>
        <v>1.5283756104664009E-2</v>
      </c>
      <c r="AH66" s="92">
        <f t="shared" si="14"/>
        <v>62.4</v>
      </c>
      <c r="AI66" s="93">
        <f t="shared" si="22"/>
        <v>2.2388166560274435E-3</v>
      </c>
      <c r="AJ66" s="92">
        <f t="shared" si="23"/>
        <v>62.4</v>
      </c>
      <c r="AK66" s="93">
        <f t="shared" si="26"/>
        <v>62.4</v>
      </c>
      <c r="AL66" s="89" t="str">
        <f t="shared" si="17"/>
        <v>'pass'</v>
      </c>
    </row>
    <row r="67" spans="1:38" x14ac:dyDescent="0.2">
      <c r="A67" s="117" t="s">
        <v>1617</v>
      </c>
      <c r="B67" s="117" t="s">
        <v>1635</v>
      </c>
      <c r="C67" s="124">
        <v>103</v>
      </c>
      <c r="D67" s="119">
        <f>C67/$C$6</f>
        <v>2.4642916955762376E-3</v>
      </c>
      <c r="E67" s="120" t="s">
        <v>1636</v>
      </c>
      <c r="F67" s="121" t="s">
        <v>1637</v>
      </c>
      <c r="G67" s="122" t="s">
        <v>1460</v>
      </c>
      <c r="H67" s="121" t="s">
        <v>1477</v>
      </c>
      <c r="I67" s="118" t="s">
        <v>1638</v>
      </c>
      <c r="J67" s="121">
        <v>67.400000000000006</v>
      </c>
      <c r="K67" s="123">
        <v>1640540</v>
      </c>
      <c r="L67" s="123">
        <v>1668242</v>
      </c>
      <c r="M67" s="123">
        <v>1658580</v>
      </c>
      <c r="N67" s="123">
        <v>848828</v>
      </c>
      <c r="O67" s="104">
        <v>1668242</v>
      </c>
      <c r="P67" s="105" t="s">
        <v>1555</v>
      </c>
      <c r="Q67" s="91">
        <f t="shared" si="27"/>
        <v>0.15</v>
      </c>
      <c r="R67" s="91"/>
      <c r="S67" s="104">
        <f t="shared" si="1"/>
        <v>125.11815</v>
      </c>
      <c r="U67" s="93">
        <f t="shared" si="21"/>
        <v>90.562507454098636</v>
      </c>
      <c r="V67" s="93">
        <v>102.8</v>
      </c>
      <c r="W67" s="93">
        <f t="shared" si="3"/>
        <v>90.562507454098636</v>
      </c>
      <c r="X67" s="89">
        <f t="shared" si="4"/>
        <v>3.2610929347618909E-3</v>
      </c>
      <c r="Y67" s="93">
        <f t="shared" si="5"/>
        <v>8.8959583514404681</v>
      </c>
      <c r="Z67" s="92">
        <f t="shared" si="6"/>
        <v>99.458465805539106</v>
      </c>
      <c r="AA67" s="93">
        <f t="shared" si="7"/>
        <v>1.2882545421504397</v>
      </c>
      <c r="AB67" s="93">
        <f t="shared" si="8"/>
        <v>100.74672034768955</v>
      </c>
      <c r="AC67" s="93">
        <f t="shared" si="9"/>
        <v>0.18870791359069233</v>
      </c>
      <c r="AD67" s="93">
        <f t="shared" si="10"/>
        <v>100.93542826128024</v>
      </c>
      <c r="AE67" s="93">
        <f t="shared" si="11"/>
        <v>2.7642577989675652E-2</v>
      </c>
      <c r="AF67" s="92">
        <f t="shared" si="12"/>
        <v>100.96307083926992</v>
      </c>
      <c r="AG67" s="93">
        <f t="shared" si="13"/>
        <v>4.0491789843492589E-3</v>
      </c>
      <c r="AH67" s="92">
        <f t="shared" si="14"/>
        <v>100.96712001825426</v>
      </c>
      <c r="AI67" s="93">
        <f t="shared" si="22"/>
        <v>5.9313753054663102E-4</v>
      </c>
      <c r="AJ67" s="92">
        <f t="shared" si="23"/>
        <v>100.96771315578481</v>
      </c>
      <c r="AK67" s="93">
        <f t="shared" si="26"/>
        <v>102.8</v>
      </c>
      <c r="AL67" s="89" t="str">
        <f t="shared" si="17"/>
        <v>'pass'</v>
      </c>
    </row>
    <row r="68" spans="1:38" x14ac:dyDescent="0.2">
      <c r="A68" s="117" t="s">
        <v>1617</v>
      </c>
      <c r="B68" s="117" t="s">
        <v>1639</v>
      </c>
      <c r="C68" s="124">
        <v>108</v>
      </c>
      <c r="D68" s="119">
        <f>C68/$C$6</f>
        <v>2.5839175060411034E-3</v>
      </c>
      <c r="E68" s="120" t="s">
        <v>1640</v>
      </c>
      <c r="F68" s="121" t="s">
        <v>1641</v>
      </c>
      <c r="G68" s="122" t="s">
        <v>1460</v>
      </c>
      <c r="H68" s="121" t="s">
        <v>1477</v>
      </c>
      <c r="I68" s="118" t="s">
        <v>1642</v>
      </c>
      <c r="J68" s="121">
        <v>65.3</v>
      </c>
      <c r="K68" s="123">
        <v>1720962</v>
      </c>
      <c r="L68" s="123">
        <v>1687346</v>
      </c>
      <c r="M68" s="123">
        <v>1725016</v>
      </c>
      <c r="N68" s="123">
        <v>767211</v>
      </c>
      <c r="O68" s="104">
        <v>1725016</v>
      </c>
      <c r="P68" s="105" t="s">
        <v>1515</v>
      </c>
      <c r="Q68" s="91">
        <f t="shared" si="27"/>
        <v>0.15</v>
      </c>
      <c r="R68" s="91"/>
      <c r="S68" s="104">
        <f t="shared" si="1"/>
        <v>129.37619999999998</v>
      </c>
      <c r="U68" s="93">
        <f t="shared" si="21"/>
        <v>93.644551784716725</v>
      </c>
      <c r="V68" s="93">
        <v>98.2</v>
      </c>
      <c r="W68" s="93">
        <f t="shared" si="3"/>
        <v>93.644551784716725</v>
      </c>
      <c r="X68" s="89">
        <f t="shared" si="4"/>
        <v>3.3720752084836717E-3</v>
      </c>
      <c r="Y68" s="93">
        <f t="shared" si="5"/>
        <v>9.1987076764452809</v>
      </c>
      <c r="Z68" s="92">
        <f t="shared" si="6"/>
        <v>98.2</v>
      </c>
      <c r="AA68" s="93">
        <f t="shared" si="7"/>
        <v>1.3320967205490466</v>
      </c>
      <c r="AB68" s="93">
        <f t="shared" si="8"/>
        <v>98.2</v>
      </c>
      <c r="AC68" s="93">
        <f t="shared" si="9"/>
        <v>0.19513006522468665</v>
      </c>
      <c r="AD68" s="93">
        <f t="shared" si="10"/>
        <v>98.2</v>
      </c>
      <c r="AE68" s="93">
        <f t="shared" si="11"/>
        <v>2.8583316637177537E-2</v>
      </c>
      <c r="AF68" s="92">
        <f t="shared" si="12"/>
        <v>98.2</v>
      </c>
      <c r="AG68" s="93">
        <f t="shared" si="13"/>
        <v>4.1869815859247169E-3</v>
      </c>
      <c r="AH68" s="92">
        <f t="shared" si="14"/>
        <v>98.2</v>
      </c>
      <c r="AI68" s="93">
        <f t="shared" si="22"/>
        <v>6.1332332502923869E-4</v>
      </c>
      <c r="AJ68" s="92">
        <f t="shared" si="23"/>
        <v>98.2</v>
      </c>
      <c r="AK68" s="93">
        <f t="shared" si="26"/>
        <v>98.2</v>
      </c>
      <c r="AL68" s="89" t="str">
        <f t="shared" si="17"/>
        <v>'pass'</v>
      </c>
    </row>
    <row r="69" spans="1:38" x14ac:dyDescent="0.2">
      <c r="A69" s="117" t="s">
        <v>1643</v>
      </c>
      <c r="B69" s="117" t="s">
        <v>1643</v>
      </c>
      <c r="C69" s="124">
        <v>77</v>
      </c>
      <c r="D69" s="119">
        <f>C69/$C$6</f>
        <v>1.8422374811589348E-3</v>
      </c>
      <c r="E69" s="120" t="s">
        <v>1644</v>
      </c>
      <c r="F69" s="121" t="s">
        <v>1645</v>
      </c>
      <c r="G69" s="122" t="s">
        <v>1585</v>
      </c>
      <c r="H69" s="121" t="s">
        <v>1477</v>
      </c>
      <c r="I69" s="118" t="s">
        <v>1643</v>
      </c>
      <c r="J69" s="121">
        <v>24.7</v>
      </c>
      <c r="K69" s="123">
        <v>794479</v>
      </c>
      <c r="L69" s="123">
        <v>822428</v>
      </c>
      <c r="M69" s="123">
        <v>812259</v>
      </c>
      <c r="N69" s="123">
        <v>833452</v>
      </c>
      <c r="O69" s="104">
        <v>833452</v>
      </c>
      <c r="P69" s="105" t="s">
        <v>1587</v>
      </c>
      <c r="Q69" s="91">
        <v>0.15</v>
      </c>
      <c r="R69" s="91"/>
      <c r="S69" s="104">
        <f t="shared" si="1"/>
        <v>62.508899999999997</v>
      </c>
      <c r="U69" s="93">
        <f t="shared" si="21"/>
        <v>45.244936263823483</v>
      </c>
      <c r="V69" s="93">
        <v>159</v>
      </c>
      <c r="W69" s="93">
        <f t="shared" si="3"/>
        <v>45.244936263823483</v>
      </c>
      <c r="X69" s="89">
        <f t="shared" si="4"/>
        <v>1.6292387007779251E-3</v>
      </c>
      <c r="Y69" s="93">
        <f t="shared" si="5"/>
        <v>4.4444117100065581</v>
      </c>
      <c r="Z69" s="92">
        <f t="shared" si="6"/>
        <v>49.689347973830039</v>
      </c>
      <c r="AA69" s="93">
        <f t="shared" si="7"/>
        <v>0.64361065400845208</v>
      </c>
      <c r="AB69" s="93">
        <f t="shared" si="8"/>
        <v>50.332958627838494</v>
      </c>
      <c r="AC69" s="93">
        <f t="shared" si="9"/>
        <v>9.4278280967623224E-2</v>
      </c>
      <c r="AD69" s="93">
        <f t="shared" si="10"/>
        <v>50.427236908806115</v>
      </c>
      <c r="AE69" s="93">
        <f t="shared" si="11"/>
        <v>1.3810203741813928E-2</v>
      </c>
      <c r="AF69" s="92">
        <f t="shared" si="12"/>
        <v>50.441047112547928</v>
      </c>
      <c r="AG69" s="93">
        <f t="shared" si="13"/>
        <v>2.0229656865513868E-3</v>
      </c>
      <c r="AH69" s="92">
        <f t="shared" si="14"/>
        <v>50.443070078234477</v>
      </c>
      <c r="AI69" s="93">
        <f t="shared" si="22"/>
        <v>2.9633090469437332E-4</v>
      </c>
      <c r="AJ69" s="92">
        <f t="shared" si="23"/>
        <v>50.443366409139173</v>
      </c>
      <c r="AK69" s="93">
        <f t="shared" si="26"/>
        <v>159</v>
      </c>
      <c r="AL69" s="89" t="str">
        <f t="shared" si="17"/>
        <v>'pass'</v>
      </c>
    </row>
    <row r="70" spans="1:38" x14ac:dyDescent="0.2">
      <c r="A70" s="117" t="s">
        <v>1643</v>
      </c>
      <c r="B70" s="117" t="s">
        <v>1643</v>
      </c>
      <c r="C70" s="124">
        <v>76</v>
      </c>
      <c r="D70" s="119"/>
      <c r="E70" s="120" t="s">
        <v>1646</v>
      </c>
      <c r="F70" s="121" t="s">
        <v>1645</v>
      </c>
      <c r="G70" s="122" t="s">
        <v>1589</v>
      </c>
      <c r="H70" s="121"/>
      <c r="I70" s="118" t="s">
        <v>1643</v>
      </c>
      <c r="J70" s="121">
        <v>24.7</v>
      </c>
      <c r="K70" s="123">
        <v>794479</v>
      </c>
      <c r="L70" s="123">
        <v>822428</v>
      </c>
      <c r="M70" s="123">
        <v>812259</v>
      </c>
      <c r="N70" s="123">
        <v>833452</v>
      </c>
      <c r="O70" s="104">
        <v>833452</v>
      </c>
      <c r="P70" s="105" t="s">
        <v>1587</v>
      </c>
      <c r="Q70" s="91">
        <v>0.15</v>
      </c>
      <c r="R70" s="91"/>
      <c r="S70" s="104">
        <f t="shared" si="1"/>
        <v>62.508899999999997</v>
      </c>
      <c r="U70" s="93">
        <f t="shared" si="21"/>
        <v>45.244936263823483</v>
      </c>
      <c r="V70" s="93">
        <v>159</v>
      </c>
      <c r="W70" s="93">
        <f t="shared" si="3"/>
        <v>45.244936263823483</v>
      </c>
      <c r="X70" s="89">
        <f t="shared" si="4"/>
        <v>1.6292387007779251E-3</v>
      </c>
      <c r="Y70" s="93">
        <f t="shared" si="5"/>
        <v>4.4444117100065581</v>
      </c>
      <c r="Z70" s="92">
        <f t="shared" si="6"/>
        <v>49.689347973830039</v>
      </c>
      <c r="AA70" s="93">
        <f t="shared" si="7"/>
        <v>0.64361065400845208</v>
      </c>
      <c r="AB70" s="93">
        <f t="shared" si="8"/>
        <v>50.332958627838494</v>
      </c>
      <c r="AC70" s="93">
        <f t="shared" si="9"/>
        <v>9.4278280967623224E-2</v>
      </c>
      <c r="AD70" s="93">
        <f t="shared" si="10"/>
        <v>50.427236908806115</v>
      </c>
      <c r="AE70" s="93">
        <f t="shared" si="11"/>
        <v>1.3810203741813928E-2</v>
      </c>
      <c r="AF70" s="92">
        <f t="shared" si="12"/>
        <v>50.441047112547928</v>
      </c>
      <c r="AG70" s="93">
        <f t="shared" si="13"/>
        <v>2.0229656865513868E-3</v>
      </c>
      <c r="AH70" s="92">
        <f t="shared" si="14"/>
        <v>50.443070078234477</v>
      </c>
      <c r="AI70" s="93">
        <f t="shared" si="22"/>
        <v>2.9633090469437332E-4</v>
      </c>
      <c r="AJ70" s="92">
        <f t="shared" si="23"/>
        <v>50.443366409139173</v>
      </c>
      <c r="AK70" s="93">
        <f t="shared" si="26"/>
        <v>159</v>
      </c>
      <c r="AL70" s="89" t="str">
        <f t="shared" si="17"/>
        <v>'pass'</v>
      </c>
    </row>
    <row r="71" spans="1:38" x14ac:dyDescent="0.2">
      <c r="A71" s="117" t="s">
        <v>1112</v>
      </c>
      <c r="B71" s="117" t="s">
        <v>1647</v>
      </c>
      <c r="C71" s="124">
        <v>172</v>
      </c>
      <c r="D71" s="119">
        <f>C71/$C$6</f>
        <v>4.1151278799913867E-3</v>
      </c>
      <c r="E71" s="125" t="s">
        <v>1648</v>
      </c>
      <c r="F71" s="121" t="s">
        <v>1649</v>
      </c>
      <c r="G71" s="127" t="s">
        <v>1650</v>
      </c>
      <c r="H71" s="121" t="s">
        <v>1477</v>
      </c>
      <c r="I71" s="118" t="s">
        <v>1651</v>
      </c>
      <c r="J71" s="121">
        <v>40</v>
      </c>
      <c r="K71" s="123">
        <v>1555350</v>
      </c>
      <c r="L71" s="123">
        <v>1566638</v>
      </c>
      <c r="M71" s="123">
        <v>1746003</v>
      </c>
      <c r="N71" s="123">
        <v>1720334</v>
      </c>
      <c r="O71" s="104">
        <v>1746003</v>
      </c>
      <c r="P71" s="105" t="s">
        <v>1515</v>
      </c>
      <c r="Q71" s="91">
        <f>IF(J71&gt;25,0.15,0)</f>
        <v>0.15</v>
      </c>
      <c r="R71" s="91"/>
      <c r="S71" s="104">
        <f t="shared" si="1"/>
        <v>130.95022499999999</v>
      </c>
      <c r="U71" s="93">
        <f t="shared" si="21"/>
        <v>94.783856120621934</v>
      </c>
      <c r="V71" s="93">
        <v>169.7</v>
      </c>
      <c r="W71" s="93">
        <f t="shared" si="3"/>
        <v>94.783856120621934</v>
      </c>
      <c r="X71" s="89">
        <f t="shared" si="4"/>
        <v>3.413100765580213E-3</v>
      </c>
      <c r="Y71" s="93">
        <f t="shared" si="5"/>
        <v>9.3106215821745959</v>
      </c>
      <c r="Z71" s="92">
        <f t="shared" si="6"/>
        <v>104.09447770279652</v>
      </c>
      <c r="AA71" s="93">
        <f t="shared" si="7"/>
        <v>1.3483033608782742</v>
      </c>
      <c r="AB71" s="93">
        <f t="shared" si="8"/>
        <v>105.4427810636748</v>
      </c>
      <c r="AC71" s="93">
        <f t="shared" si="9"/>
        <v>0.19750406910573501</v>
      </c>
      <c r="AD71" s="93">
        <f t="shared" si="10"/>
        <v>105.64028513278053</v>
      </c>
      <c r="AE71" s="93">
        <f t="shared" si="11"/>
        <v>2.8931068812383127E-2</v>
      </c>
      <c r="AF71" s="92">
        <f t="shared" si="12"/>
        <v>105.66921620159292</v>
      </c>
      <c r="AG71" s="93">
        <f t="shared" si="13"/>
        <v>4.2379215091160397E-3</v>
      </c>
      <c r="AH71" s="92">
        <f t="shared" si="14"/>
        <v>105.67345412310203</v>
      </c>
      <c r="AI71" s="93">
        <f t="shared" si="22"/>
        <v>6.207851784974899E-4</v>
      </c>
      <c r="AJ71" s="92">
        <f t="shared" si="23"/>
        <v>105.67407490828053</v>
      </c>
      <c r="AK71" s="93">
        <f t="shared" si="26"/>
        <v>169.7</v>
      </c>
      <c r="AL71" s="89" t="str">
        <f t="shared" si="17"/>
        <v>'pass'</v>
      </c>
    </row>
    <row r="72" spans="1:38" x14ac:dyDescent="0.2">
      <c r="A72" s="117" t="s">
        <v>1652</v>
      </c>
      <c r="B72" s="117" t="s">
        <v>1652</v>
      </c>
      <c r="C72" s="124">
        <v>190</v>
      </c>
      <c r="D72" s="119">
        <f>C72/$C$6</f>
        <v>4.5457807976649039E-3</v>
      </c>
      <c r="E72" s="120" t="s">
        <v>1653</v>
      </c>
      <c r="F72" s="121" t="s">
        <v>1654</v>
      </c>
      <c r="G72" s="122" t="s">
        <v>1460</v>
      </c>
      <c r="H72" s="121" t="s">
        <v>1477</v>
      </c>
      <c r="I72" s="118" t="s">
        <v>1652</v>
      </c>
      <c r="J72" s="121">
        <v>56</v>
      </c>
      <c r="K72" s="123">
        <v>1768602</v>
      </c>
      <c r="L72" s="123">
        <v>2132634</v>
      </c>
      <c r="M72" s="123">
        <v>2075955</v>
      </c>
      <c r="N72" s="123">
        <v>806666</v>
      </c>
      <c r="O72" s="104">
        <v>2132634</v>
      </c>
      <c r="P72" s="105" t="s">
        <v>1463</v>
      </c>
      <c r="Q72" s="91">
        <f>IF(J72&gt;25,0.15,0)</f>
        <v>0.15</v>
      </c>
      <c r="R72" s="91"/>
      <c r="S72" s="104">
        <f t="shared" si="1"/>
        <v>159.94754999999998</v>
      </c>
      <c r="U72" s="93">
        <f t="shared" si="21"/>
        <v>115.77258126930275</v>
      </c>
      <c r="V72" s="93">
        <v>381</v>
      </c>
      <c r="W72" s="93">
        <f t="shared" si="3"/>
        <v>115.77258126930275</v>
      </c>
      <c r="X72" s="89">
        <f t="shared" si="4"/>
        <v>4.1688901669140266E-3</v>
      </c>
      <c r="Y72" s="93">
        <f t="shared" si="5"/>
        <v>11.37234480540946</v>
      </c>
      <c r="Z72" s="92">
        <f t="shared" si="6"/>
        <v>127.1449260747122</v>
      </c>
      <c r="AA72" s="93">
        <f t="shared" si="7"/>
        <v>1.6468686421061574</v>
      </c>
      <c r="AB72" s="93">
        <f t="shared" si="8"/>
        <v>128.79179471681837</v>
      </c>
      <c r="AC72" s="93">
        <f t="shared" si="9"/>
        <v>0.24123892852030612</v>
      </c>
      <c r="AD72" s="93">
        <f t="shared" si="10"/>
        <v>129.03303364533869</v>
      </c>
      <c r="AE72" s="93">
        <f t="shared" si="11"/>
        <v>3.533749999606408E-2</v>
      </c>
      <c r="AF72" s="92">
        <f t="shared" si="12"/>
        <v>129.06837114533477</v>
      </c>
      <c r="AG72" s="93">
        <f t="shared" si="13"/>
        <v>5.1763573714776979E-3</v>
      </c>
      <c r="AH72" s="92">
        <f t="shared" si="14"/>
        <v>129.07354750270625</v>
      </c>
      <c r="AI72" s="93">
        <f t="shared" si="22"/>
        <v>7.582504602568356E-4</v>
      </c>
      <c r="AJ72" s="92">
        <f t="shared" si="23"/>
        <v>129.0743057531665</v>
      </c>
      <c r="AK72" s="93">
        <f t="shared" si="26"/>
        <v>381</v>
      </c>
      <c r="AL72" s="89" t="str">
        <f t="shared" si="17"/>
        <v>'pass'</v>
      </c>
    </row>
    <row r="73" spans="1:38" x14ac:dyDescent="0.2">
      <c r="A73" s="117" t="s">
        <v>1655</v>
      </c>
      <c r="B73" s="117" t="s">
        <v>1656</v>
      </c>
      <c r="C73" s="124">
        <v>25</v>
      </c>
      <c r="D73" s="119">
        <f>C73/$C$6</f>
        <v>5.9812905232432953E-4</v>
      </c>
      <c r="E73" s="120" t="s">
        <v>1657</v>
      </c>
      <c r="F73" s="121" t="s">
        <v>1658</v>
      </c>
      <c r="G73" s="122" t="s">
        <v>1659</v>
      </c>
      <c r="H73" s="121" t="s">
        <v>1477</v>
      </c>
      <c r="I73" s="118" t="s">
        <v>1660</v>
      </c>
      <c r="J73" s="121">
        <v>42</v>
      </c>
      <c r="K73" s="123">
        <f>534593/2</f>
        <v>267296.5</v>
      </c>
      <c r="L73" s="123">
        <f>534593/2</f>
        <v>267296.5</v>
      </c>
      <c r="M73" s="123">
        <f>2440013/2</f>
        <v>1220006.5</v>
      </c>
      <c r="N73" s="123">
        <f>1978968/2</f>
        <v>989484</v>
      </c>
      <c r="O73" s="123">
        <f>2440013/2</f>
        <v>1220006.5</v>
      </c>
      <c r="P73" s="105" t="s">
        <v>1515</v>
      </c>
      <c r="Q73" s="91">
        <v>0.15</v>
      </c>
      <c r="R73" s="91"/>
      <c r="S73" s="104">
        <f t="shared" si="1"/>
        <v>91.500487500000006</v>
      </c>
      <c r="U73" s="93">
        <f t="shared" si="21"/>
        <v>66.229508518727371</v>
      </c>
      <c r="V73" s="93">
        <f>32.9/2</f>
        <v>16.45</v>
      </c>
      <c r="W73" s="93">
        <f t="shared" si="3"/>
        <v>16.45</v>
      </c>
      <c r="X73" s="89">
        <f t="shared" si="4"/>
        <v>2.384878559293905E-3</v>
      </c>
      <c r="Y73" s="93">
        <f t="shared" si="5"/>
        <v>6.5057269943369453</v>
      </c>
      <c r="Z73" s="92">
        <f t="shared" si="6"/>
        <v>16.45</v>
      </c>
      <c r="AA73" s="93">
        <f t="shared" si="7"/>
        <v>0.94211686019058405</v>
      </c>
      <c r="AB73" s="93">
        <f t="shared" si="8"/>
        <v>16.45</v>
      </c>
      <c r="AC73" s="93">
        <f t="shared" si="9"/>
        <v>0.13800448686826192</v>
      </c>
      <c r="AD73" s="93">
        <f t="shared" si="10"/>
        <v>16.45</v>
      </c>
      <c r="AE73" s="93">
        <f t="shared" si="11"/>
        <v>2.0215367329297084E-2</v>
      </c>
      <c r="AF73" s="92">
        <f t="shared" si="12"/>
        <v>16.45</v>
      </c>
      <c r="AG73" s="93">
        <f t="shared" si="13"/>
        <v>2.96121586710411E-3</v>
      </c>
      <c r="AH73" s="92">
        <f t="shared" si="14"/>
        <v>16.45</v>
      </c>
      <c r="AI73" s="93">
        <f t="shared" si="22"/>
        <v>4.3376898714984902E-4</v>
      </c>
      <c r="AJ73" s="92">
        <f t="shared" si="23"/>
        <v>16.45</v>
      </c>
      <c r="AK73" s="93">
        <f t="shared" si="26"/>
        <v>16.45</v>
      </c>
      <c r="AL73" s="89" t="str">
        <f t="shared" si="17"/>
        <v>'pass'</v>
      </c>
    </row>
    <row r="74" spans="1:38" x14ac:dyDescent="0.2">
      <c r="A74" s="117" t="s">
        <v>1655</v>
      </c>
      <c r="B74" s="117" t="s">
        <v>1656</v>
      </c>
      <c r="C74" s="124">
        <v>25</v>
      </c>
      <c r="D74" s="119"/>
      <c r="E74" s="120" t="s">
        <v>1661</v>
      </c>
      <c r="F74" s="126" t="s">
        <v>1658</v>
      </c>
      <c r="G74" s="122" t="s">
        <v>1662</v>
      </c>
      <c r="H74" s="121" t="s">
        <v>1477</v>
      </c>
      <c r="I74" s="118" t="s">
        <v>1660</v>
      </c>
      <c r="J74" s="121">
        <v>42</v>
      </c>
      <c r="K74" s="123">
        <f>534593/2</f>
        <v>267296.5</v>
      </c>
      <c r="L74" s="123">
        <f>534593/2</f>
        <v>267296.5</v>
      </c>
      <c r="M74" s="123">
        <f>2440013/2</f>
        <v>1220006.5</v>
      </c>
      <c r="N74" s="123">
        <f>1978968/2</f>
        <v>989484</v>
      </c>
      <c r="O74" s="123">
        <f>2440013/2</f>
        <v>1220006.5</v>
      </c>
      <c r="P74" s="105" t="s">
        <v>1515</v>
      </c>
      <c r="Q74" s="91">
        <v>0.15</v>
      </c>
      <c r="R74" s="91"/>
      <c r="S74" s="104">
        <f t="shared" si="1"/>
        <v>91.500487500000006</v>
      </c>
      <c r="U74" s="93">
        <f t="shared" si="21"/>
        <v>66.229508518727371</v>
      </c>
      <c r="V74" s="93">
        <f>32.9/2</f>
        <v>16.45</v>
      </c>
      <c r="W74" s="93">
        <f t="shared" si="3"/>
        <v>16.45</v>
      </c>
      <c r="X74" s="89">
        <f t="shared" si="4"/>
        <v>2.384878559293905E-3</v>
      </c>
      <c r="Y74" s="93">
        <f t="shared" si="5"/>
        <v>6.5057269943369453</v>
      </c>
      <c r="Z74" s="92">
        <f t="shared" si="6"/>
        <v>16.45</v>
      </c>
      <c r="AA74" s="93">
        <f t="shared" si="7"/>
        <v>0.94211686019058405</v>
      </c>
      <c r="AB74" s="93">
        <f t="shared" si="8"/>
        <v>16.45</v>
      </c>
      <c r="AC74" s="93">
        <f t="shared" si="9"/>
        <v>0.13800448686826192</v>
      </c>
      <c r="AD74" s="93">
        <f t="shared" si="10"/>
        <v>16.45</v>
      </c>
      <c r="AE74" s="93">
        <f t="shared" si="11"/>
        <v>2.0215367329297084E-2</v>
      </c>
      <c r="AF74" s="92">
        <f t="shared" si="12"/>
        <v>16.45</v>
      </c>
      <c r="AG74" s="93">
        <f t="shared" si="13"/>
        <v>2.96121586710411E-3</v>
      </c>
      <c r="AH74" s="92">
        <f t="shared" si="14"/>
        <v>16.45</v>
      </c>
      <c r="AI74" s="93">
        <f t="shared" si="22"/>
        <v>4.3376898714984902E-4</v>
      </c>
      <c r="AJ74" s="92">
        <f t="shared" si="23"/>
        <v>16.45</v>
      </c>
      <c r="AK74" s="93">
        <f t="shared" si="26"/>
        <v>16.45</v>
      </c>
      <c r="AL74" s="89" t="str">
        <f t="shared" si="17"/>
        <v>'pass'</v>
      </c>
    </row>
    <row r="75" spans="1:38" x14ac:dyDescent="0.2">
      <c r="A75" s="117" t="s">
        <v>1655</v>
      </c>
      <c r="B75" s="117" t="s">
        <v>1663</v>
      </c>
      <c r="C75" s="124">
        <v>101</v>
      </c>
      <c r="D75" s="119">
        <f>C75/$C$6</f>
        <v>2.416441371390291E-3</v>
      </c>
      <c r="E75" s="120" t="s">
        <v>1664</v>
      </c>
      <c r="F75" s="121" t="s">
        <v>1665</v>
      </c>
      <c r="G75" s="122" t="s">
        <v>1666</v>
      </c>
      <c r="H75" s="121" t="s">
        <v>1477</v>
      </c>
      <c r="I75" s="118" t="s">
        <v>1667</v>
      </c>
      <c r="J75" s="121">
        <v>120</v>
      </c>
      <c r="K75" s="123">
        <v>1416203</v>
      </c>
      <c r="L75" s="123">
        <v>1071931</v>
      </c>
      <c r="M75" s="123">
        <v>1063828</v>
      </c>
      <c r="N75" s="123">
        <v>2529765</v>
      </c>
      <c r="O75" s="104">
        <v>2529765</v>
      </c>
      <c r="P75" s="105" t="s">
        <v>1515</v>
      </c>
      <c r="Q75" s="91">
        <f>IF(J75&gt;25,0.15,0)</f>
        <v>0.15</v>
      </c>
      <c r="R75" s="91"/>
      <c r="S75" s="104">
        <f t="shared" si="1"/>
        <v>189.73237499999999</v>
      </c>
      <c r="U75" s="93">
        <f t="shared" si="21"/>
        <v>137.33131144619176</v>
      </c>
      <c r="V75" s="93">
        <v>274</v>
      </c>
      <c r="W75" s="93">
        <f t="shared" si="3"/>
        <v>137.33131144619176</v>
      </c>
      <c r="X75" s="89">
        <f t="shared" si="4"/>
        <v>4.9452050530486074E-3</v>
      </c>
      <c r="Y75" s="93">
        <f t="shared" si="5"/>
        <v>13.490059642984528</v>
      </c>
      <c r="Z75" s="92">
        <f t="shared" si="6"/>
        <v>150.8213710891763</v>
      </c>
      <c r="AA75" s="93">
        <f t="shared" si="7"/>
        <v>1.9535422629469865</v>
      </c>
      <c r="AB75" s="93">
        <f t="shared" si="8"/>
        <v>152.77491335212329</v>
      </c>
      <c r="AC75" s="93">
        <f t="shared" si="9"/>
        <v>0.28616152514129112</v>
      </c>
      <c r="AD75" s="93">
        <f t="shared" si="10"/>
        <v>153.06107487726459</v>
      </c>
      <c r="AE75" s="93">
        <f t="shared" si="11"/>
        <v>4.191791497159994E-2</v>
      </c>
      <c r="AF75" s="92">
        <f t="shared" si="12"/>
        <v>153.10299279223619</v>
      </c>
      <c r="AG75" s="93">
        <f t="shared" si="13"/>
        <v>6.1402789723207446E-3</v>
      </c>
      <c r="AH75" s="92">
        <f t="shared" si="14"/>
        <v>153.1091330712085</v>
      </c>
      <c r="AI75" s="93">
        <f t="shared" si="22"/>
        <v>8.9944897980226977E-4</v>
      </c>
      <c r="AJ75" s="92">
        <f t="shared" si="23"/>
        <v>153.1100325201883</v>
      </c>
      <c r="AK75" s="93">
        <f t="shared" si="26"/>
        <v>274</v>
      </c>
      <c r="AL75" s="89" t="str">
        <f t="shared" si="17"/>
        <v>'pass'</v>
      </c>
    </row>
    <row r="76" spans="1:38" x14ac:dyDescent="0.2">
      <c r="A76" s="117" t="s">
        <v>1655</v>
      </c>
      <c r="B76" s="117" t="s">
        <v>1668</v>
      </c>
      <c r="C76" s="124">
        <v>99</v>
      </c>
      <c r="D76" s="119">
        <f>C76/$C$6</f>
        <v>2.3685910472043448E-3</v>
      </c>
      <c r="E76" s="120" t="s">
        <v>1669</v>
      </c>
      <c r="F76" s="121" t="s">
        <v>1665</v>
      </c>
      <c r="G76" s="122" t="s">
        <v>1670</v>
      </c>
      <c r="H76" s="121" t="s">
        <v>1477</v>
      </c>
      <c r="I76" s="118" t="s">
        <v>1667</v>
      </c>
      <c r="J76" s="121">
        <v>118</v>
      </c>
      <c r="K76" s="123">
        <v>3166880</v>
      </c>
      <c r="L76" s="123">
        <v>2069836</v>
      </c>
      <c r="M76" s="123">
        <v>3264866</v>
      </c>
      <c r="N76" s="123">
        <v>3845067</v>
      </c>
      <c r="O76" s="104">
        <v>3845067</v>
      </c>
      <c r="P76" s="105" t="s">
        <v>1587</v>
      </c>
      <c r="Q76" s="91">
        <f>IF(J76&gt;25,0.15,0)</f>
        <v>0.15</v>
      </c>
      <c r="R76" s="91"/>
      <c r="S76" s="104">
        <f t="shared" si="1"/>
        <v>288.38002499999999</v>
      </c>
      <c r="U76" s="93">
        <f t="shared" si="21"/>
        <v>208.73404988545346</v>
      </c>
      <c r="V76" s="93">
        <v>85</v>
      </c>
      <c r="W76" s="93">
        <f t="shared" si="3"/>
        <v>85</v>
      </c>
      <c r="X76" s="89">
        <f t="shared" si="4"/>
        <v>7.5163680253740759E-3</v>
      </c>
      <c r="Y76" s="93">
        <f t="shared" si="5"/>
        <v>20.503953197736386</v>
      </c>
      <c r="Z76" s="92">
        <f t="shared" si="6"/>
        <v>85</v>
      </c>
      <c r="AA76" s="93">
        <f t="shared" si="7"/>
        <v>2.9692484829076142</v>
      </c>
      <c r="AB76" s="93">
        <f t="shared" si="8"/>
        <v>85</v>
      </c>
      <c r="AC76" s="93">
        <f t="shared" si="9"/>
        <v>0.43494563210039228</v>
      </c>
      <c r="AD76" s="93">
        <f t="shared" si="10"/>
        <v>85</v>
      </c>
      <c r="AE76" s="93">
        <f t="shared" si="11"/>
        <v>6.3712317771059707E-2</v>
      </c>
      <c r="AF76" s="92">
        <f t="shared" si="12"/>
        <v>85</v>
      </c>
      <c r="AG76" s="93">
        <f t="shared" si="13"/>
        <v>9.3327973338489575E-3</v>
      </c>
      <c r="AH76" s="92">
        <f t="shared" si="14"/>
        <v>85</v>
      </c>
      <c r="AI76" s="93">
        <f t="shared" si="22"/>
        <v>1.3670999442325171E-3</v>
      </c>
      <c r="AJ76" s="92">
        <f t="shared" si="23"/>
        <v>85</v>
      </c>
      <c r="AK76" s="93">
        <f t="shared" si="26"/>
        <v>85</v>
      </c>
      <c r="AL76" s="89" t="str">
        <f t="shared" si="17"/>
        <v>'pass'</v>
      </c>
    </row>
    <row r="77" spans="1:38" x14ac:dyDescent="0.2">
      <c r="A77" s="117" t="s">
        <v>1655</v>
      </c>
      <c r="B77" s="117" t="s">
        <v>1668</v>
      </c>
      <c r="C77" s="124">
        <v>99</v>
      </c>
      <c r="D77" s="119">
        <f>C77/$C$6</f>
        <v>2.3685910472043448E-3</v>
      </c>
      <c r="E77" s="120" t="s">
        <v>1671</v>
      </c>
      <c r="F77" s="121" t="s">
        <v>1665</v>
      </c>
      <c r="G77" s="122" t="s">
        <v>1672</v>
      </c>
      <c r="H77" s="121" t="s">
        <v>1477</v>
      </c>
      <c r="I77" s="118" t="s">
        <v>1667</v>
      </c>
      <c r="J77" s="121">
        <v>118</v>
      </c>
      <c r="K77" s="123">
        <v>3570250</v>
      </c>
      <c r="L77" s="123">
        <v>3227307</v>
      </c>
      <c r="M77" s="123">
        <v>3372990</v>
      </c>
      <c r="N77" s="123">
        <v>3627580</v>
      </c>
      <c r="O77" s="104">
        <v>3627580</v>
      </c>
      <c r="P77" s="105" t="s">
        <v>1587</v>
      </c>
      <c r="Q77" s="91">
        <f>IF(J77&gt;25,0.15,0)</f>
        <v>0.15</v>
      </c>
      <c r="R77" s="91"/>
      <c r="S77" s="104">
        <f t="shared" si="1"/>
        <v>272.06849999999997</v>
      </c>
      <c r="U77" s="93">
        <f t="shared" si="21"/>
        <v>196.92750859308128</v>
      </c>
      <c r="V77" s="93">
        <v>85</v>
      </c>
      <c r="W77" s="93">
        <f t="shared" si="3"/>
        <v>85</v>
      </c>
      <c r="X77" s="89">
        <f t="shared" si="4"/>
        <v>7.0912226812917672E-3</v>
      </c>
      <c r="Y77" s="93">
        <f t="shared" si="5"/>
        <v>19.344196223640463</v>
      </c>
      <c r="Z77" s="92">
        <f t="shared" si="6"/>
        <v>85</v>
      </c>
      <c r="AA77" s="93">
        <f t="shared" si="7"/>
        <v>2.8013000583932617</v>
      </c>
      <c r="AB77" s="93">
        <f t="shared" si="8"/>
        <v>85</v>
      </c>
      <c r="AC77" s="93">
        <f t="shared" si="9"/>
        <v>0.41034397478502743</v>
      </c>
      <c r="AD77" s="93">
        <f t="shared" si="10"/>
        <v>85</v>
      </c>
      <c r="AE77" s="93">
        <f t="shared" si="11"/>
        <v>6.0108583205426787E-2</v>
      </c>
      <c r="AF77" s="92">
        <f t="shared" si="12"/>
        <v>85</v>
      </c>
      <c r="AG77" s="93">
        <f t="shared" si="13"/>
        <v>8.8049100190773794E-3</v>
      </c>
      <c r="AH77" s="92">
        <f t="shared" si="14"/>
        <v>85</v>
      </c>
      <c r="AI77" s="93">
        <f t="shared" si="22"/>
        <v>1.289773212196041E-3</v>
      </c>
      <c r="AJ77" s="92">
        <f t="shared" si="23"/>
        <v>85</v>
      </c>
      <c r="AK77" s="93">
        <f t="shared" si="26"/>
        <v>85</v>
      </c>
      <c r="AL77" s="89" t="str">
        <f t="shared" si="17"/>
        <v>'pass'</v>
      </c>
    </row>
    <row r="78" spans="1:38" x14ac:dyDescent="0.2">
      <c r="A78" s="117"/>
      <c r="B78" s="117"/>
      <c r="C78" s="124"/>
      <c r="D78" s="119"/>
      <c r="E78" s="120"/>
      <c r="F78" s="128"/>
      <c r="G78" s="129"/>
      <c r="H78" s="128"/>
      <c r="I78" s="130"/>
      <c r="J78" s="128"/>
      <c r="K78" s="131"/>
      <c r="L78" s="131"/>
      <c r="M78" s="131"/>
      <c r="N78" s="131"/>
      <c r="O78" s="132"/>
      <c r="P78" s="91"/>
      <c r="Q78" s="91"/>
      <c r="R78" s="91"/>
      <c r="S78" s="104">
        <f t="shared" si="1"/>
        <v>0</v>
      </c>
      <c r="W78" s="93">
        <f t="shared" si="3"/>
        <v>0</v>
      </c>
      <c r="X78" s="89">
        <f t="shared" si="4"/>
        <v>0</v>
      </c>
      <c r="Y78" s="93">
        <f t="shared" si="5"/>
        <v>0</v>
      </c>
      <c r="Z78" s="92">
        <f t="shared" si="6"/>
        <v>0</v>
      </c>
      <c r="AA78" s="93">
        <f t="shared" si="7"/>
        <v>0</v>
      </c>
      <c r="AB78" s="93">
        <f t="shared" si="8"/>
        <v>0</v>
      </c>
      <c r="AC78" s="93">
        <f t="shared" si="9"/>
        <v>0</v>
      </c>
      <c r="AD78" s="93">
        <f t="shared" si="10"/>
        <v>0</v>
      </c>
      <c r="AE78" s="93">
        <f t="shared" si="11"/>
        <v>0</v>
      </c>
      <c r="AF78" s="92">
        <f t="shared" si="12"/>
        <v>0</v>
      </c>
      <c r="AG78" s="93">
        <f t="shared" si="13"/>
        <v>0</v>
      </c>
      <c r="AH78" s="92">
        <f t="shared" si="14"/>
        <v>0</v>
      </c>
      <c r="AI78" s="93">
        <f t="shared" si="22"/>
        <v>0</v>
      </c>
      <c r="AJ78" s="92"/>
      <c r="AK78" s="93">
        <f t="shared" si="26"/>
        <v>0</v>
      </c>
      <c r="AL78" s="89" t="str">
        <f t="shared" si="17"/>
        <v>'pass'</v>
      </c>
    </row>
    <row r="79" spans="1:38" x14ac:dyDescent="0.2">
      <c r="A79" s="79"/>
      <c r="B79" s="79"/>
      <c r="C79" s="106"/>
      <c r="D79" s="107"/>
      <c r="E79" s="108"/>
      <c r="F79" s="91"/>
      <c r="G79" s="133"/>
      <c r="H79" s="91"/>
      <c r="I79" s="134"/>
      <c r="J79" s="91"/>
      <c r="K79" s="132"/>
      <c r="L79" s="132"/>
      <c r="M79" s="132"/>
      <c r="N79" s="132"/>
      <c r="O79" s="132"/>
      <c r="P79" s="91"/>
      <c r="Q79" s="91"/>
      <c r="R79" s="91"/>
      <c r="S79" s="104">
        <f t="shared" si="1"/>
        <v>0</v>
      </c>
      <c r="W79" s="93">
        <f t="shared" si="3"/>
        <v>0</v>
      </c>
      <c r="X79" s="89">
        <f t="shared" si="4"/>
        <v>0</v>
      </c>
      <c r="Y79" s="93">
        <f t="shared" si="5"/>
        <v>0</v>
      </c>
      <c r="Z79" s="92">
        <f t="shared" si="6"/>
        <v>0</v>
      </c>
      <c r="AA79" s="93">
        <f t="shared" si="7"/>
        <v>0</v>
      </c>
      <c r="AB79" s="93">
        <f t="shared" si="8"/>
        <v>0</v>
      </c>
      <c r="AC79" s="93">
        <f t="shared" si="9"/>
        <v>0</v>
      </c>
      <c r="AD79" s="93">
        <f t="shared" si="10"/>
        <v>0</v>
      </c>
      <c r="AE79" s="93">
        <f t="shared" si="11"/>
        <v>0</v>
      </c>
      <c r="AF79" s="92">
        <f t="shared" si="12"/>
        <v>0</v>
      </c>
      <c r="AG79" s="93">
        <f t="shared" si="13"/>
        <v>0</v>
      </c>
      <c r="AH79" s="92">
        <f t="shared" si="14"/>
        <v>0</v>
      </c>
      <c r="AI79" s="93">
        <f t="shared" si="22"/>
        <v>0</v>
      </c>
      <c r="AJ79" s="92"/>
      <c r="AK79" s="93">
        <f t="shared" si="26"/>
        <v>0</v>
      </c>
      <c r="AL79" s="89" t="str">
        <f t="shared" si="17"/>
        <v>'pass'</v>
      </c>
    </row>
    <row r="80" spans="1:38" x14ac:dyDescent="0.2">
      <c r="A80" s="79"/>
      <c r="B80" s="79"/>
      <c r="C80" s="106"/>
      <c r="D80" s="107"/>
      <c r="E80" s="108"/>
      <c r="F80" s="91"/>
      <c r="G80" s="133"/>
      <c r="H80" s="91"/>
      <c r="I80" s="134"/>
      <c r="J80" s="91"/>
      <c r="K80" s="132"/>
      <c r="L80" s="132"/>
      <c r="M80" s="132"/>
      <c r="N80" s="132"/>
      <c r="O80" s="132"/>
      <c r="P80" s="91"/>
      <c r="Q80" s="91"/>
      <c r="R80" s="91"/>
      <c r="S80" s="104">
        <f t="shared" si="1"/>
        <v>0</v>
      </c>
      <c r="W80" s="93">
        <f t="shared" si="3"/>
        <v>0</v>
      </c>
      <c r="X80" s="89">
        <f t="shared" si="4"/>
        <v>0</v>
      </c>
      <c r="Y80" s="93">
        <f t="shared" si="5"/>
        <v>0</v>
      </c>
      <c r="Z80" s="92">
        <f t="shared" si="6"/>
        <v>0</v>
      </c>
      <c r="AA80" s="93">
        <f t="shared" si="7"/>
        <v>0</v>
      </c>
      <c r="AB80" s="93">
        <f t="shared" si="8"/>
        <v>0</v>
      </c>
      <c r="AC80" s="93">
        <f t="shared" si="9"/>
        <v>0</v>
      </c>
      <c r="AD80" s="93">
        <f t="shared" si="10"/>
        <v>0</v>
      </c>
      <c r="AE80" s="93">
        <f t="shared" si="11"/>
        <v>0</v>
      </c>
      <c r="AF80" s="92">
        <f t="shared" si="12"/>
        <v>0</v>
      </c>
      <c r="AG80" s="93">
        <f t="shared" si="13"/>
        <v>0</v>
      </c>
      <c r="AH80" s="92">
        <f t="shared" si="14"/>
        <v>0</v>
      </c>
      <c r="AI80" s="93">
        <f t="shared" si="22"/>
        <v>0</v>
      </c>
      <c r="AJ80" s="92"/>
      <c r="AK80" s="93">
        <f t="shared" si="26"/>
        <v>0</v>
      </c>
      <c r="AL80" s="89" t="str">
        <f t="shared" si="17"/>
        <v>'pass'</v>
      </c>
    </row>
    <row r="81" spans="1:38" x14ac:dyDescent="0.2">
      <c r="A81" s="95"/>
      <c r="B81" s="79"/>
      <c r="C81" s="106"/>
      <c r="D81" s="107"/>
      <c r="E81" s="108"/>
      <c r="F81" s="91"/>
      <c r="G81" s="133"/>
      <c r="H81" s="91"/>
      <c r="I81" s="134"/>
      <c r="J81" s="91"/>
      <c r="K81" s="132"/>
      <c r="L81" s="132"/>
      <c r="M81" s="132"/>
      <c r="N81" s="132"/>
      <c r="O81" s="132"/>
      <c r="P81" s="91"/>
      <c r="Q81" s="91"/>
      <c r="R81" s="91"/>
      <c r="S81" s="104">
        <f t="shared" si="1"/>
        <v>0</v>
      </c>
      <c r="W81" s="93">
        <f t="shared" si="3"/>
        <v>0</v>
      </c>
      <c r="X81" s="89">
        <f t="shared" si="4"/>
        <v>0</v>
      </c>
      <c r="Y81" s="93">
        <f t="shared" si="5"/>
        <v>0</v>
      </c>
      <c r="Z81" s="92">
        <f t="shared" si="6"/>
        <v>0</v>
      </c>
      <c r="AA81" s="93">
        <f t="shared" si="7"/>
        <v>0</v>
      </c>
      <c r="AB81" s="93">
        <f t="shared" si="8"/>
        <v>0</v>
      </c>
      <c r="AC81" s="93">
        <f t="shared" si="9"/>
        <v>0</v>
      </c>
      <c r="AD81" s="93">
        <f t="shared" si="10"/>
        <v>0</v>
      </c>
      <c r="AE81" s="93">
        <f t="shared" si="11"/>
        <v>0</v>
      </c>
      <c r="AF81" s="92">
        <f t="shared" si="12"/>
        <v>0</v>
      </c>
      <c r="AG81" s="93">
        <f t="shared" si="13"/>
        <v>0</v>
      </c>
      <c r="AH81" s="92">
        <f t="shared" si="14"/>
        <v>0</v>
      </c>
      <c r="AI81" s="93">
        <f t="shared" si="22"/>
        <v>0</v>
      </c>
      <c r="AJ81" s="92"/>
      <c r="AK81" s="93">
        <f t="shared" si="26"/>
        <v>0</v>
      </c>
      <c r="AL81" s="89" t="str">
        <f t="shared" si="17"/>
        <v>'pass'</v>
      </c>
    </row>
    <row r="82" spans="1:38" x14ac:dyDescent="0.2">
      <c r="A82" s="95" t="s">
        <v>1673</v>
      </c>
      <c r="B82" s="79"/>
      <c r="C82" s="106"/>
      <c r="D82" s="107"/>
      <c r="E82" s="108"/>
      <c r="F82" s="91"/>
      <c r="G82" s="133"/>
      <c r="H82" s="91"/>
      <c r="I82" s="134"/>
      <c r="J82" s="91"/>
      <c r="K82" s="132"/>
      <c r="L82" s="132"/>
      <c r="M82" s="132"/>
      <c r="N82" s="132"/>
      <c r="O82" s="132"/>
      <c r="P82" s="91"/>
      <c r="Q82" s="91"/>
      <c r="R82" s="91"/>
      <c r="S82" s="104">
        <f t="shared" si="1"/>
        <v>0</v>
      </c>
      <c r="W82" s="93">
        <f t="shared" si="3"/>
        <v>0</v>
      </c>
      <c r="X82" s="89">
        <f t="shared" si="4"/>
        <v>0</v>
      </c>
      <c r="Y82" s="93">
        <f t="shared" si="5"/>
        <v>0</v>
      </c>
      <c r="Z82" s="92">
        <f t="shared" si="6"/>
        <v>0</v>
      </c>
      <c r="AA82" s="93">
        <f t="shared" si="7"/>
        <v>0</v>
      </c>
      <c r="AB82" s="93">
        <f t="shared" si="8"/>
        <v>0</v>
      </c>
      <c r="AC82" s="93">
        <f t="shared" si="9"/>
        <v>0</v>
      </c>
      <c r="AD82" s="93">
        <f t="shared" si="10"/>
        <v>0</v>
      </c>
      <c r="AE82" s="93">
        <f t="shared" si="11"/>
        <v>0</v>
      </c>
      <c r="AF82" s="92">
        <f t="shared" si="12"/>
        <v>0</v>
      </c>
      <c r="AG82" s="93">
        <f t="shared" si="13"/>
        <v>0</v>
      </c>
      <c r="AH82" s="92">
        <f t="shared" si="14"/>
        <v>0</v>
      </c>
      <c r="AI82" s="93">
        <f t="shared" si="22"/>
        <v>0</v>
      </c>
      <c r="AJ82" s="92"/>
      <c r="AK82" s="93">
        <f t="shared" si="26"/>
        <v>0</v>
      </c>
      <c r="AL82" s="89" t="str">
        <f t="shared" si="17"/>
        <v>'pass'</v>
      </c>
    </row>
    <row r="83" spans="1:38" x14ac:dyDescent="0.2">
      <c r="A83" s="96" t="s">
        <v>1674</v>
      </c>
      <c r="B83" s="96"/>
      <c r="C83" s="112"/>
      <c r="D83" s="98"/>
      <c r="E83" s="99"/>
      <c r="F83" s="100"/>
      <c r="G83" s="101"/>
      <c r="H83" s="100"/>
      <c r="I83" s="102"/>
      <c r="J83" s="100"/>
      <c r="K83" s="103"/>
      <c r="L83" s="103"/>
      <c r="M83" s="103"/>
      <c r="N83" s="103"/>
      <c r="O83" s="104"/>
      <c r="P83" s="105"/>
      <c r="Q83" s="91"/>
      <c r="R83" s="91"/>
      <c r="S83" s="104">
        <f t="shared" ref="S83:S146" si="28">+O83*Q83/2000</f>
        <v>0</v>
      </c>
      <c r="W83" s="93">
        <f t="shared" ref="W83:W146" si="29">IF(U83&gt;V83,V83,U83)</f>
        <v>0</v>
      </c>
      <c r="X83" s="89">
        <f t="shared" ref="X83:X146" si="30">+U83/$U$16</f>
        <v>0</v>
      </c>
      <c r="Y83" s="93">
        <f t="shared" ref="Y83:Y146" si="31">+X83*$Y$16</f>
        <v>0</v>
      </c>
      <c r="Z83" s="92">
        <f t="shared" ref="Z83:Z146" si="32">IF(W83+Y83&gt;V83,V83,W83+Y83)</f>
        <v>0</v>
      </c>
      <c r="AA83" s="93">
        <f t="shared" ref="AA83:AA146" si="33">+$AA$16*X83</f>
        <v>0</v>
      </c>
      <c r="AB83" s="93">
        <f t="shared" ref="AB83:AB146" si="34">IF(Z83+AA83&gt;V83,V83,Z83+AA83)</f>
        <v>0</v>
      </c>
      <c r="AC83" s="93">
        <f t="shared" ref="AC83:AC146" si="35">+X83*$AC$16</f>
        <v>0</v>
      </c>
      <c r="AD83" s="93">
        <f t="shared" ref="AD83:AD146" si="36">IF(AB83+AC83&gt;V83,V83,AB83+AC83)</f>
        <v>0</v>
      </c>
      <c r="AE83" s="93">
        <f t="shared" ref="AE83:AE146" si="37">+X83*$AE$16</f>
        <v>0</v>
      </c>
      <c r="AF83" s="92">
        <f t="shared" ref="AF83:AF146" si="38">IF(AD83+AE83&gt;V83,V83,AD83+AE83)</f>
        <v>0</v>
      </c>
      <c r="AG83" s="93">
        <f t="shared" ref="AG83:AG146" si="39">+X83*$AG$16</f>
        <v>0</v>
      </c>
      <c r="AH83" s="92">
        <f t="shared" ref="AH83:AH146" si="40">IF(AF83+AG83&gt;V83,V83,AF83+AG83)</f>
        <v>0</v>
      </c>
      <c r="AI83" s="93">
        <f t="shared" ref="AI83:AI89" si="41">+X83*$AI$16</f>
        <v>0</v>
      </c>
      <c r="AJ83" s="92"/>
      <c r="AK83" s="93">
        <f t="shared" si="26"/>
        <v>0</v>
      </c>
      <c r="AL83" s="89" t="str">
        <f t="shared" ref="AL83:AL146" si="42">IF(AJ83&gt;V83,"'fail'","'pass'")</f>
        <v>'pass'</v>
      </c>
    </row>
    <row r="84" spans="1:38" x14ac:dyDescent="0.2">
      <c r="A84" s="117"/>
      <c r="B84" s="117" t="s">
        <v>1675</v>
      </c>
      <c r="C84" s="124">
        <v>25</v>
      </c>
      <c r="D84" s="119">
        <f t="shared" ref="D84:D89" si="43">C84/$C$6</f>
        <v>5.9812905232432953E-4</v>
      </c>
      <c r="E84" s="121" t="s">
        <v>1676</v>
      </c>
      <c r="F84" s="121" t="s">
        <v>1677</v>
      </c>
      <c r="G84" s="122" t="s">
        <v>1460</v>
      </c>
      <c r="H84" s="121" t="s">
        <v>1461</v>
      </c>
      <c r="I84" s="118" t="s">
        <v>1678</v>
      </c>
      <c r="J84" s="128">
        <v>65</v>
      </c>
      <c r="K84" s="131">
        <v>531169</v>
      </c>
      <c r="L84" s="131">
        <v>78890</v>
      </c>
      <c r="M84" s="131">
        <v>242006</v>
      </c>
      <c r="N84" s="131">
        <v>608892</v>
      </c>
      <c r="O84" s="104">
        <v>608892</v>
      </c>
      <c r="P84" s="105" t="s">
        <v>1469</v>
      </c>
      <c r="Q84" s="91">
        <f t="shared" ref="Q84:Q89" si="44">IF(J84&gt;25,0.15,0)</f>
        <v>0.15</v>
      </c>
      <c r="R84" s="91"/>
      <c r="S84" s="104">
        <f t="shared" si="28"/>
        <v>45.666899999999998</v>
      </c>
      <c r="U84" s="93">
        <f t="shared" ref="U84:U91" si="45">+S84*$T$15</f>
        <v>33.054428727211651</v>
      </c>
      <c r="V84" s="93">
        <v>325.39999999999998</v>
      </c>
      <c r="W84" s="93">
        <f t="shared" si="29"/>
        <v>33.054428727211651</v>
      </c>
      <c r="X84" s="89">
        <f t="shared" si="30"/>
        <v>1.1902669991722045E-3</v>
      </c>
      <c r="Y84" s="93">
        <f t="shared" si="31"/>
        <v>3.2469377179841343</v>
      </c>
      <c r="Z84" s="92">
        <f t="shared" si="32"/>
        <v>36.301366445195782</v>
      </c>
      <c r="AA84" s="93">
        <f t="shared" si="33"/>
        <v>0.47020029748625519</v>
      </c>
      <c r="AB84" s="93">
        <f t="shared" si="34"/>
        <v>36.77156674268204</v>
      </c>
      <c r="AC84" s="93">
        <f t="shared" si="35"/>
        <v>6.887654124645215E-2</v>
      </c>
      <c r="AD84" s="93">
        <f t="shared" si="36"/>
        <v>36.840443283928494</v>
      </c>
      <c r="AE84" s="93">
        <f t="shared" si="37"/>
        <v>1.0089270380010564E-2</v>
      </c>
      <c r="AF84" s="92">
        <f t="shared" si="38"/>
        <v>36.850532554308501</v>
      </c>
      <c r="AG84" s="93">
        <f t="shared" si="39"/>
        <v>1.4779106928961077E-3</v>
      </c>
      <c r="AH84" s="92">
        <f t="shared" si="40"/>
        <v>36.852010465001399</v>
      </c>
      <c r="AI84" s="93">
        <f t="shared" si="41"/>
        <v>2.1648939257589678E-4</v>
      </c>
      <c r="AJ84" s="92">
        <f t="shared" ref="AJ84:AJ91" si="46">IF(AH84+AI84&gt;V84,V84,AH84+AI84)</f>
        <v>36.852226954393977</v>
      </c>
      <c r="AK84" s="93">
        <f t="shared" si="26"/>
        <v>325.39999999999998</v>
      </c>
      <c r="AL84" s="89" t="str">
        <f t="shared" si="42"/>
        <v>'pass'</v>
      </c>
    </row>
    <row r="85" spans="1:38" x14ac:dyDescent="0.2">
      <c r="A85" s="79"/>
      <c r="B85" s="117" t="s">
        <v>1679</v>
      </c>
      <c r="C85" s="124">
        <v>25</v>
      </c>
      <c r="D85" s="119">
        <f t="shared" si="43"/>
        <v>5.9812905232432953E-4</v>
      </c>
      <c r="E85" s="121" t="s">
        <v>1680</v>
      </c>
      <c r="F85" s="120" t="s">
        <v>1677</v>
      </c>
      <c r="G85" s="122">
        <v>2</v>
      </c>
      <c r="H85" s="121" t="s">
        <v>1461</v>
      </c>
      <c r="I85" s="118" t="s">
        <v>1678</v>
      </c>
      <c r="J85" s="128">
        <v>65</v>
      </c>
      <c r="K85" s="131">
        <v>707481</v>
      </c>
      <c r="L85" s="131">
        <v>246128</v>
      </c>
      <c r="M85" s="131">
        <v>617814</v>
      </c>
      <c r="N85" s="131">
        <v>803081</v>
      </c>
      <c r="O85" s="104">
        <v>803081</v>
      </c>
      <c r="P85" s="105" t="s">
        <v>1469</v>
      </c>
      <c r="Q85" s="91">
        <f t="shared" si="44"/>
        <v>0.15</v>
      </c>
      <c r="R85" s="91"/>
      <c r="S85" s="104">
        <f t="shared" si="28"/>
        <v>60.231074999999997</v>
      </c>
      <c r="U85" s="93">
        <f t="shared" si="45"/>
        <v>43.596210291279675</v>
      </c>
      <c r="V85" s="93">
        <v>414.9</v>
      </c>
      <c r="W85" s="93">
        <f t="shared" si="29"/>
        <v>43.596210291279675</v>
      </c>
      <c r="X85" s="89">
        <f t="shared" si="30"/>
        <v>1.569869224693728E-3</v>
      </c>
      <c r="Y85" s="93">
        <f t="shared" si="31"/>
        <v>4.2824572986612033</v>
      </c>
      <c r="Z85" s="92">
        <f t="shared" si="32"/>
        <v>47.878667589940875</v>
      </c>
      <c r="AA85" s="93">
        <f t="shared" si="33"/>
        <v>0.62015747473371208</v>
      </c>
      <c r="AB85" s="93">
        <f t="shared" si="34"/>
        <v>48.498825064674584</v>
      </c>
      <c r="AC85" s="93">
        <f t="shared" si="35"/>
        <v>9.0842779377528438E-2</v>
      </c>
      <c r="AD85" s="93">
        <f t="shared" si="36"/>
        <v>48.589667844052116</v>
      </c>
      <c r="AE85" s="93">
        <f t="shared" si="37"/>
        <v>1.3306959766344878E-2</v>
      </c>
      <c r="AF85" s="92">
        <f t="shared" si="38"/>
        <v>48.602974803818462</v>
      </c>
      <c r="AG85" s="93">
        <f t="shared" si="39"/>
        <v>1.9492487947972701E-3</v>
      </c>
      <c r="AH85" s="92">
        <f t="shared" si="40"/>
        <v>48.604924052613256</v>
      </c>
      <c r="AI85" s="93">
        <f t="shared" si="41"/>
        <v>2.8553260328472672E-4</v>
      </c>
      <c r="AJ85" s="92">
        <f t="shared" si="46"/>
        <v>48.605209585216542</v>
      </c>
      <c r="AK85" s="93">
        <f t="shared" si="26"/>
        <v>414.9</v>
      </c>
      <c r="AL85" s="89" t="str">
        <f t="shared" si="42"/>
        <v>'pass'</v>
      </c>
    </row>
    <row r="86" spans="1:38" x14ac:dyDescent="0.2">
      <c r="A86" s="79"/>
      <c r="B86" s="117" t="s">
        <v>1681</v>
      </c>
      <c r="C86" s="124">
        <v>504</v>
      </c>
      <c r="D86" s="119">
        <f t="shared" si="43"/>
        <v>1.2058281694858482E-2</v>
      </c>
      <c r="E86" s="121" t="s">
        <v>1682</v>
      </c>
      <c r="F86" s="120" t="s">
        <v>1677</v>
      </c>
      <c r="G86" s="122">
        <v>3</v>
      </c>
      <c r="H86" s="121" t="s">
        <v>1461</v>
      </c>
      <c r="I86" s="118" t="s">
        <v>1678</v>
      </c>
      <c r="J86" s="128">
        <v>135</v>
      </c>
      <c r="K86" s="131">
        <v>3585487</v>
      </c>
      <c r="L86" s="131">
        <v>3751249</v>
      </c>
      <c r="M86" s="131">
        <v>3744753</v>
      </c>
      <c r="N86" s="131">
        <v>3902120</v>
      </c>
      <c r="O86" s="104">
        <v>3902120</v>
      </c>
      <c r="P86" s="105" t="s">
        <v>1469</v>
      </c>
      <c r="Q86" s="91">
        <f t="shared" si="44"/>
        <v>0.15</v>
      </c>
      <c r="R86" s="91"/>
      <c r="S86" s="104">
        <f t="shared" si="28"/>
        <v>292.65899999999999</v>
      </c>
      <c r="U86" s="93">
        <f t="shared" si="45"/>
        <v>211.83124006396395</v>
      </c>
      <c r="V86" s="93">
        <v>1031</v>
      </c>
      <c r="W86" s="93">
        <f t="shared" si="29"/>
        <v>211.83124006396395</v>
      </c>
      <c r="X86" s="89">
        <f t="shared" si="30"/>
        <v>7.6278956905491344E-3</v>
      </c>
      <c r="Y86" s="93">
        <f t="shared" si="31"/>
        <v>20.808190299922238</v>
      </c>
      <c r="Z86" s="92">
        <f t="shared" si="32"/>
        <v>232.63943036388619</v>
      </c>
      <c r="AA86" s="93">
        <f t="shared" si="33"/>
        <v>3.0133061114730797</v>
      </c>
      <c r="AB86" s="93">
        <f t="shared" si="34"/>
        <v>235.65273647535926</v>
      </c>
      <c r="AC86" s="93">
        <f t="shared" si="35"/>
        <v>0.44139934360872846</v>
      </c>
      <c r="AD86" s="93">
        <f t="shared" si="36"/>
        <v>236.094135818968</v>
      </c>
      <c r="AE86" s="93">
        <f t="shared" si="37"/>
        <v>6.4657679416459446E-2</v>
      </c>
      <c r="AF86" s="92">
        <f t="shared" si="38"/>
        <v>236.15879349838445</v>
      </c>
      <c r="AG86" s="93">
        <f t="shared" si="39"/>
        <v>9.4712771279040642E-3</v>
      </c>
      <c r="AH86" s="92">
        <f t="shared" si="40"/>
        <v>236.16826477551237</v>
      </c>
      <c r="AI86" s="93">
        <f t="shared" si="41"/>
        <v>1.3873849361762981E-3</v>
      </c>
      <c r="AJ86" s="92">
        <f t="shared" si="46"/>
        <v>236.16965216044855</v>
      </c>
      <c r="AK86" s="93">
        <f t="shared" si="26"/>
        <v>1031</v>
      </c>
      <c r="AL86" s="89" t="str">
        <f t="shared" si="42"/>
        <v>'pass'</v>
      </c>
    </row>
    <row r="87" spans="1:38" x14ac:dyDescent="0.2">
      <c r="A87" s="79"/>
      <c r="B87" s="117" t="s">
        <v>1683</v>
      </c>
      <c r="C87" s="124">
        <v>912</v>
      </c>
      <c r="D87" s="119">
        <f t="shared" si="43"/>
        <v>2.1819747828791539E-2</v>
      </c>
      <c r="E87" s="121" t="s">
        <v>1684</v>
      </c>
      <c r="F87" s="120" t="s">
        <v>1677</v>
      </c>
      <c r="G87" s="122">
        <v>4</v>
      </c>
      <c r="H87" s="121" t="s">
        <v>1461</v>
      </c>
      <c r="I87" s="118" t="s">
        <v>1678</v>
      </c>
      <c r="J87" s="128">
        <v>235</v>
      </c>
      <c r="K87" s="131">
        <v>3302362</v>
      </c>
      <c r="L87" s="131">
        <v>5026576</v>
      </c>
      <c r="M87" s="131">
        <v>6924200</v>
      </c>
      <c r="N87" s="131">
        <v>8084827</v>
      </c>
      <c r="O87" s="104">
        <v>8084827</v>
      </c>
      <c r="P87" s="105" t="s">
        <v>1469</v>
      </c>
      <c r="Q87" s="91">
        <f t="shared" si="44"/>
        <v>0.15</v>
      </c>
      <c r="R87" s="91"/>
      <c r="S87" s="104">
        <f t="shared" si="28"/>
        <v>606.36202500000002</v>
      </c>
      <c r="U87" s="93">
        <f t="shared" si="45"/>
        <v>438.89448020886533</v>
      </c>
      <c r="V87" s="93">
        <v>1865.3</v>
      </c>
      <c r="W87" s="93">
        <f t="shared" si="29"/>
        <v>438.89448020886533</v>
      </c>
      <c r="X87" s="89">
        <f t="shared" si="30"/>
        <v>1.5804285114792802E-2</v>
      </c>
      <c r="Y87" s="93">
        <f t="shared" si="31"/>
        <v>43.112620513451517</v>
      </c>
      <c r="Z87" s="92">
        <f t="shared" si="32"/>
        <v>482.00710072231686</v>
      </c>
      <c r="AA87" s="93">
        <f t="shared" si="33"/>
        <v>6.2432879074202132</v>
      </c>
      <c r="AB87" s="93">
        <f t="shared" si="34"/>
        <v>488.25038862973707</v>
      </c>
      <c r="AC87" s="93">
        <f t="shared" si="35"/>
        <v>0.91453807955422317</v>
      </c>
      <c r="AD87" s="93">
        <f t="shared" si="36"/>
        <v>489.16492670929131</v>
      </c>
      <c r="AE87" s="93">
        <f t="shared" si="37"/>
        <v>0.13396465313817504</v>
      </c>
      <c r="AF87" s="92">
        <f t="shared" si="38"/>
        <v>489.29889136242946</v>
      </c>
      <c r="AG87" s="93">
        <f t="shared" si="39"/>
        <v>1.9623598722786902E-2</v>
      </c>
      <c r="AH87" s="92">
        <f t="shared" si="40"/>
        <v>489.31851496115223</v>
      </c>
      <c r="AI87" s="93">
        <f t="shared" si="41"/>
        <v>2.8745315857511846E-3</v>
      </c>
      <c r="AJ87" s="92">
        <f t="shared" si="46"/>
        <v>489.32138949273798</v>
      </c>
      <c r="AK87" s="93">
        <f t="shared" si="26"/>
        <v>1865.3</v>
      </c>
      <c r="AL87" s="89" t="str">
        <f t="shared" si="42"/>
        <v>'pass'</v>
      </c>
    </row>
    <row r="88" spans="1:38" x14ac:dyDescent="0.2">
      <c r="A88" s="79"/>
      <c r="B88" s="117" t="s">
        <v>1685</v>
      </c>
      <c r="C88" s="124">
        <v>1067</v>
      </c>
      <c r="D88" s="119">
        <f t="shared" si="43"/>
        <v>2.5528147953202383E-2</v>
      </c>
      <c r="E88" s="121" t="s">
        <v>1686</v>
      </c>
      <c r="F88" s="120" t="s">
        <v>1687</v>
      </c>
      <c r="G88" s="122">
        <v>1</v>
      </c>
      <c r="H88" s="121" t="s">
        <v>1461</v>
      </c>
      <c r="I88" s="118" t="s">
        <v>1688</v>
      </c>
      <c r="J88" s="128">
        <v>600</v>
      </c>
      <c r="K88" s="131">
        <v>5340571</v>
      </c>
      <c r="L88" s="131">
        <v>0</v>
      </c>
      <c r="M88" s="131">
        <v>4588108</v>
      </c>
      <c r="N88" s="131">
        <v>10669152</v>
      </c>
      <c r="O88" s="104">
        <v>10669152</v>
      </c>
      <c r="P88" s="105" t="s">
        <v>1469</v>
      </c>
      <c r="Q88" s="91">
        <f t="shared" si="44"/>
        <v>0.15</v>
      </c>
      <c r="R88" s="91"/>
      <c r="S88" s="104">
        <f t="shared" si="28"/>
        <v>800.18640000000005</v>
      </c>
      <c r="U88" s="93">
        <f t="shared" si="45"/>
        <v>579.18764635401305</v>
      </c>
      <c r="V88" s="93">
        <v>3227.2</v>
      </c>
      <c r="W88" s="93">
        <f t="shared" si="29"/>
        <v>579.18764635401305</v>
      </c>
      <c r="X88" s="89">
        <f t="shared" si="30"/>
        <v>2.0856144496482345E-2</v>
      </c>
      <c r="Y88" s="93">
        <f t="shared" si="31"/>
        <v>56.893623249617129</v>
      </c>
      <c r="Z88" s="92">
        <f t="shared" si="32"/>
        <v>636.08126960363018</v>
      </c>
      <c r="AA88" s="93">
        <f t="shared" si="33"/>
        <v>8.2389626474417064</v>
      </c>
      <c r="AB88" s="93">
        <f t="shared" si="34"/>
        <v>644.32023225107184</v>
      </c>
      <c r="AC88" s="93">
        <f t="shared" si="35"/>
        <v>1.2068713134556992</v>
      </c>
      <c r="AD88" s="93">
        <f t="shared" si="36"/>
        <v>645.52710356452758</v>
      </c>
      <c r="AE88" s="93">
        <f t="shared" si="37"/>
        <v>0.17678662103202292</v>
      </c>
      <c r="AF88" s="92">
        <f t="shared" si="38"/>
        <v>645.70389018555966</v>
      </c>
      <c r="AG88" s="93">
        <f t="shared" si="39"/>
        <v>2.5896306446683316E-2</v>
      </c>
      <c r="AH88" s="92">
        <f t="shared" si="40"/>
        <v>645.72978649200638</v>
      </c>
      <c r="AI88" s="93">
        <f t="shared" si="41"/>
        <v>3.7933791801828816E-3</v>
      </c>
      <c r="AJ88" s="92">
        <f t="shared" si="46"/>
        <v>645.73357987118652</v>
      </c>
      <c r="AK88" s="93">
        <f t="shared" si="26"/>
        <v>3227.2</v>
      </c>
      <c r="AL88" s="89" t="str">
        <f t="shared" si="42"/>
        <v>'pass'</v>
      </c>
    </row>
    <row r="89" spans="1:38" x14ac:dyDescent="0.2">
      <c r="A89" s="79"/>
      <c r="B89" s="117" t="s">
        <v>1689</v>
      </c>
      <c r="C89" s="124">
        <v>1067</v>
      </c>
      <c r="D89" s="119">
        <f t="shared" si="43"/>
        <v>2.5528147953202383E-2</v>
      </c>
      <c r="E89" s="121" t="s">
        <v>1690</v>
      </c>
      <c r="F89" s="120" t="s">
        <v>1687</v>
      </c>
      <c r="G89" s="122">
        <v>2</v>
      </c>
      <c r="H89" s="121" t="s">
        <v>1461</v>
      </c>
      <c r="I89" s="118" t="s">
        <v>1688</v>
      </c>
      <c r="J89" s="128">
        <v>600</v>
      </c>
      <c r="K89" s="131">
        <v>9136354</v>
      </c>
      <c r="L89" s="131">
        <v>2475782</v>
      </c>
      <c r="M89" s="131">
        <v>8806671</v>
      </c>
      <c r="N89" s="131">
        <v>10801352</v>
      </c>
      <c r="O89" s="104">
        <v>10801352</v>
      </c>
      <c r="P89" s="105" t="s">
        <v>1469</v>
      </c>
      <c r="Q89" s="91">
        <f t="shared" si="44"/>
        <v>0.15</v>
      </c>
      <c r="R89" s="91"/>
      <c r="S89" s="104">
        <f t="shared" si="28"/>
        <v>810.10140000000001</v>
      </c>
      <c r="U89" s="93">
        <f t="shared" si="45"/>
        <v>586.36428109011956</v>
      </c>
      <c r="V89" s="93">
        <v>3207</v>
      </c>
      <c r="W89" s="93">
        <f t="shared" si="29"/>
        <v>586.36428109011956</v>
      </c>
      <c r="X89" s="89">
        <f t="shared" si="30"/>
        <v>2.1114570124164372E-2</v>
      </c>
      <c r="Y89" s="93">
        <f t="shared" si="31"/>
        <v>57.598584336833746</v>
      </c>
      <c r="Z89" s="92">
        <f t="shared" si="32"/>
        <v>643.96286542695327</v>
      </c>
      <c r="AA89" s="93">
        <f t="shared" si="33"/>
        <v>8.3410505042827925</v>
      </c>
      <c r="AB89" s="93">
        <f t="shared" si="34"/>
        <v>652.30391593123602</v>
      </c>
      <c r="AC89" s="93">
        <f t="shared" si="35"/>
        <v>1.2218254904735955</v>
      </c>
      <c r="AD89" s="93">
        <f t="shared" si="36"/>
        <v>653.52574142170965</v>
      </c>
      <c r="AE89" s="93">
        <f t="shared" si="37"/>
        <v>0.17897715982090073</v>
      </c>
      <c r="AF89" s="92">
        <f t="shared" si="38"/>
        <v>653.70471858153053</v>
      </c>
      <c r="AG89" s="93">
        <f t="shared" si="39"/>
        <v>2.6217184030229931E-2</v>
      </c>
      <c r="AH89" s="92">
        <f t="shared" si="40"/>
        <v>653.73093576556073</v>
      </c>
      <c r="AI89" s="93">
        <f t="shared" si="41"/>
        <v>3.8403824216420128E-3</v>
      </c>
      <c r="AJ89" s="92">
        <f t="shared" si="46"/>
        <v>653.73477614798242</v>
      </c>
      <c r="AK89" s="93">
        <f t="shared" si="26"/>
        <v>3207</v>
      </c>
      <c r="AL89" s="89" t="str">
        <f t="shared" si="42"/>
        <v>'pass'</v>
      </c>
    </row>
    <row r="90" spans="1:38" x14ac:dyDescent="0.2">
      <c r="A90" s="79"/>
      <c r="B90" s="117" t="s">
        <v>1691</v>
      </c>
      <c r="C90" s="124"/>
      <c r="D90" s="119"/>
      <c r="E90" s="121" t="s">
        <v>1692</v>
      </c>
      <c r="F90" s="125" t="s">
        <v>1693</v>
      </c>
      <c r="G90" s="122"/>
      <c r="H90" s="121" t="s">
        <v>1477</v>
      </c>
      <c r="I90" s="118" t="s">
        <v>1694</v>
      </c>
      <c r="J90" s="128">
        <v>24</v>
      </c>
      <c r="K90" s="131">
        <v>4804</v>
      </c>
      <c r="L90" s="131">
        <v>9766</v>
      </c>
      <c r="M90" s="135">
        <v>6758</v>
      </c>
      <c r="N90" s="135">
        <v>20244</v>
      </c>
      <c r="O90" s="104">
        <v>20244</v>
      </c>
      <c r="P90" s="105"/>
      <c r="Q90" s="91">
        <v>0.4</v>
      </c>
      <c r="R90" s="91"/>
      <c r="S90" s="104">
        <f t="shared" si="28"/>
        <v>4.0488</v>
      </c>
      <c r="U90" s="93">
        <f t="shared" si="45"/>
        <v>2.9305858516942149</v>
      </c>
      <c r="V90" s="93">
        <v>228</v>
      </c>
      <c r="W90" s="93">
        <f t="shared" si="29"/>
        <v>2.9305858516942149</v>
      </c>
      <c r="X90" s="89">
        <f t="shared" si="30"/>
        <v>1.055283591890061E-4</v>
      </c>
      <c r="Y90" s="93">
        <f t="shared" si="31"/>
        <v>0.28787155319441798</v>
      </c>
      <c r="Z90" s="92">
        <f t="shared" si="32"/>
        <v>3.2184574048886327</v>
      </c>
      <c r="AA90" s="93">
        <f t="shared" si="33"/>
        <v>4.1687676730024381E-2</v>
      </c>
      <c r="AB90" s="93">
        <f t="shared" si="34"/>
        <v>3.2601450816186572</v>
      </c>
      <c r="AC90" s="93">
        <f t="shared" si="35"/>
        <v>6.1065528905757888E-3</v>
      </c>
      <c r="AD90" s="93">
        <f t="shared" si="36"/>
        <v>3.2662516345092332</v>
      </c>
      <c r="AE90" s="93">
        <f t="shared" si="37"/>
        <v>8.9450866852330195E-4</v>
      </c>
      <c r="AF90" s="92">
        <f t="shared" si="38"/>
        <v>3.2671461431777566</v>
      </c>
      <c r="AG90" s="93">
        <f t="shared" si="39"/>
        <v>1.3103067677897476E-4</v>
      </c>
      <c r="AH90" s="92">
        <f t="shared" si="40"/>
        <v>3.2672771738545356</v>
      </c>
      <c r="AI90" s="93"/>
      <c r="AJ90" s="92">
        <f t="shared" si="46"/>
        <v>3.2672771738545356</v>
      </c>
      <c r="AK90" s="93"/>
      <c r="AL90" s="89" t="str">
        <f t="shared" si="42"/>
        <v>'pass'</v>
      </c>
    </row>
    <row r="91" spans="1:38" x14ac:dyDescent="0.2">
      <c r="A91" s="79"/>
      <c r="B91" s="117" t="s">
        <v>1695</v>
      </c>
      <c r="C91" s="124"/>
      <c r="D91" s="119"/>
      <c r="E91" s="121" t="s">
        <v>1696</v>
      </c>
      <c r="F91" s="125" t="s">
        <v>1697</v>
      </c>
      <c r="G91" s="122"/>
      <c r="H91" s="121" t="s">
        <v>1477</v>
      </c>
      <c r="I91" s="118" t="s">
        <v>1698</v>
      </c>
      <c r="J91" s="128">
        <v>24</v>
      </c>
      <c r="K91" s="131">
        <v>19538</v>
      </c>
      <c r="L91" s="131">
        <v>15349</v>
      </c>
      <c r="M91" s="135">
        <v>20082</v>
      </c>
      <c r="N91" s="135">
        <v>26894</v>
      </c>
      <c r="O91" s="104">
        <v>26894</v>
      </c>
      <c r="P91" s="105"/>
      <c r="Q91" s="91">
        <v>0.4</v>
      </c>
      <c r="R91" s="91"/>
      <c r="S91" s="104">
        <f t="shared" si="28"/>
        <v>5.3788</v>
      </c>
      <c r="U91" s="93">
        <f t="shared" si="45"/>
        <v>3.8932610104457726</v>
      </c>
      <c r="V91" s="93">
        <v>228</v>
      </c>
      <c r="W91" s="93">
        <f t="shared" si="29"/>
        <v>3.8932610104457726</v>
      </c>
      <c r="X91" s="89">
        <f t="shared" si="30"/>
        <v>1.4019362240807795E-4</v>
      </c>
      <c r="Y91" s="93">
        <f t="shared" si="31"/>
        <v>0.38243516852453452</v>
      </c>
      <c r="Z91" s="92">
        <f t="shared" si="32"/>
        <v>4.275696178970307</v>
      </c>
      <c r="AA91" s="93">
        <f t="shared" si="33"/>
        <v>5.5381761409665858E-2</v>
      </c>
      <c r="AB91" s="93">
        <f t="shared" si="34"/>
        <v>4.3310779403799726</v>
      </c>
      <c r="AC91" s="93">
        <f t="shared" si="35"/>
        <v>8.1125090614080839E-3</v>
      </c>
      <c r="AD91" s="93">
        <f t="shared" si="36"/>
        <v>4.3391904494413804</v>
      </c>
      <c r="AE91" s="93">
        <f t="shared" si="37"/>
        <v>1.1883479614337919E-3</v>
      </c>
      <c r="AF91" s="92">
        <f t="shared" si="38"/>
        <v>4.3403787974028143</v>
      </c>
      <c r="AG91" s="93">
        <f t="shared" si="39"/>
        <v>1.7407325732531845E-4</v>
      </c>
      <c r="AH91" s="92">
        <f t="shared" si="40"/>
        <v>4.3405528706601393</v>
      </c>
      <c r="AI91" s="93"/>
      <c r="AJ91" s="92">
        <f t="shared" si="46"/>
        <v>4.3405528706601393</v>
      </c>
      <c r="AK91" s="93"/>
      <c r="AL91" s="89" t="str">
        <f t="shared" si="42"/>
        <v>'pass'</v>
      </c>
    </row>
    <row r="92" spans="1:38" x14ac:dyDescent="0.2">
      <c r="A92" s="79"/>
      <c r="B92" s="117"/>
      <c r="C92" s="124"/>
      <c r="D92" s="119"/>
      <c r="E92" s="121"/>
      <c r="F92" s="120"/>
      <c r="G92" s="122"/>
      <c r="H92" s="121"/>
      <c r="I92" s="118"/>
      <c r="J92" s="121"/>
      <c r="K92" s="123"/>
      <c r="L92" s="123"/>
      <c r="M92" s="123"/>
      <c r="N92" s="123"/>
      <c r="O92" s="104"/>
      <c r="P92" s="105"/>
      <c r="Q92" s="91"/>
      <c r="R92" s="91"/>
      <c r="S92" s="104">
        <f t="shared" si="28"/>
        <v>0</v>
      </c>
      <c r="W92" s="93">
        <f t="shared" si="29"/>
        <v>0</v>
      </c>
      <c r="X92" s="89">
        <f t="shared" si="30"/>
        <v>0</v>
      </c>
      <c r="Y92" s="93">
        <f t="shared" si="31"/>
        <v>0</v>
      </c>
      <c r="Z92" s="92">
        <f t="shared" si="32"/>
        <v>0</v>
      </c>
      <c r="AA92" s="93">
        <f t="shared" si="33"/>
        <v>0</v>
      </c>
      <c r="AB92" s="93">
        <f t="shared" si="34"/>
        <v>0</v>
      </c>
      <c r="AC92" s="93">
        <f t="shared" si="35"/>
        <v>0</v>
      </c>
      <c r="AD92" s="93">
        <f t="shared" si="36"/>
        <v>0</v>
      </c>
      <c r="AE92" s="93">
        <f t="shared" si="37"/>
        <v>0</v>
      </c>
      <c r="AF92" s="92">
        <f t="shared" si="38"/>
        <v>0</v>
      </c>
      <c r="AG92" s="93">
        <f t="shared" si="39"/>
        <v>0</v>
      </c>
      <c r="AH92" s="92">
        <f t="shared" si="40"/>
        <v>0</v>
      </c>
      <c r="AI92" s="93">
        <f t="shared" ref="AI92:AI123" si="47">+X92*$AI$16</f>
        <v>0</v>
      </c>
      <c r="AJ92" s="92"/>
      <c r="AK92" s="93">
        <f t="shared" ref="AK92:AK123" si="48">+V92</f>
        <v>0</v>
      </c>
      <c r="AL92" s="89" t="str">
        <f t="shared" si="42"/>
        <v>'pass'</v>
      </c>
    </row>
    <row r="93" spans="1:38" x14ac:dyDescent="0.2">
      <c r="A93" s="79" t="s">
        <v>1699</v>
      </c>
      <c r="B93" s="79"/>
      <c r="C93" s="106"/>
      <c r="D93" s="107"/>
      <c r="E93" s="105"/>
      <c r="F93" s="108"/>
      <c r="G93" s="109"/>
      <c r="H93" s="105"/>
      <c r="I93" s="110"/>
      <c r="J93" s="105"/>
      <c r="K93" s="104"/>
      <c r="L93" s="104"/>
      <c r="M93" s="104"/>
      <c r="N93" s="104"/>
      <c r="O93" s="104"/>
      <c r="P93" s="105"/>
      <c r="Q93" s="91"/>
      <c r="R93" s="91"/>
      <c r="S93" s="104">
        <f t="shared" si="28"/>
        <v>0</v>
      </c>
      <c r="W93" s="93">
        <f t="shared" si="29"/>
        <v>0</v>
      </c>
      <c r="X93" s="89">
        <f t="shared" si="30"/>
        <v>0</v>
      </c>
      <c r="Y93" s="93">
        <f t="shared" si="31"/>
        <v>0</v>
      </c>
      <c r="Z93" s="92">
        <f t="shared" si="32"/>
        <v>0</v>
      </c>
      <c r="AA93" s="93">
        <f t="shared" si="33"/>
        <v>0</v>
      </c>
      <c r="AB93" s="93">
        <f t="shared" si="34"/>
        <v>0</v>
      </c>
      <c r="AC93" s="93">
        <f t="shared" si="35"/>
        <v>0</v>
      </c>
      <c r="AD93" s="93">
        <f t="shared" si="36"/>
        <v>0</v>
      </c>
      <c r="AE93" s="93">
        <f t="shared" si="37"/>
        <v>0</v>
      </c>
      <c r="AF93" s="92">
        <f t="shared" si="38"/>
        <v>0</v>
      </c>
      <c r="AG93" s="93">
        <f t="shared" si="39"/>
        <v>0</v>
      </c>
      <c r="AH93" s="92">
        <f t="shared" si="40"/>
        <v>0</v>
      </c>
      <c r="AI93" s="93">
        <f t="shared" si="47"/>
        <v>0</v>
      </c>
      <c r="AJ93" s="92"/>
      <c r="AK93" s="93">
        <f t="shared" si="48"/>
        <v>0</v>
      </c>
      <c r="AL93" s="89" t="str">
        <f t="shared" si="42"/>
        <v>'pass'</v>
      </c>
    </row>
    <row r="94" spans="1:38" x14ac:dyDescent="0.2">
      <c r="A94" s="117"/>
      <c r="B94" s="117" t="s">
        <v>1700</v>
      </c>
      <c r="C94" s="124">
        <v>47</v>
      </c>
      <c r="D94" s="119">
        <f t="shared" ref="D94:D125" si="49">C94/$C$6</f>
        <v>1.1244826183697395E-3</v>
      </c>
      <c r="E94" s="121" t="s">
        <v>1701</v>
      </c>
      <c r="F94" s="120" t="s">
        <v>1702</v>
      </c>
      <c r="G94" s="122" t="s">
        <v>1703</v>
      </c>
      <c r="H94" s="121"/>
      <c r="I94" s="118" t="s">
        <v>1704</v>
      </c>
      <c r="J94" s="121">
        <v>35</v>
      </c>
      <c r="K94" s="123">
        <v>462191</v>
      </c>
      <c r="L94" s="123">
        <v>758945</v>
      </c>
      <c r="M94" s="123">
        <v>192846</v>
      </c>
      <c r="N94" s="123">
        <v>125124</v>
      </c>
      <c r="O94" s="104">
        <v>758945</v>
      </c>
      <c r="P94" s="105" t="s">
        <v>1522</v>
      </c>
      <c r="Q94" s="91">
        <f>IF(J94&gt;25,0.15,0)</f>
        <v>0.15</v>
      </c>
      <c r="R94" s="91"/>
      <c r="S94" s="104">
        <f t="shared" si="28"/>
        <v>56.920875000000002</v>
      </c>
      <c r="U94" s="93">
        <f t="shared" ref="U94:U125" si="50">+S94*$T$15</f>
        <v>41.200234869851549</v>
      </c>
      <c r="V94" s="93">
        <v>369</v>
      </c>
      <c r="W94" s="93">
        <f t="shared" si="29"/>
        <v>41.200234869851549</v>
      </c>
      <c r="X94" s="89">
        <f t="shared" si="30"/>
        <v>1.4835918154397644E-3</v>
      </c>
      <c r="Y94" s="93">
        <f t="shared" si="31"/>
        <v>4.0471005471831942</v>
      </c>
      <c r="Z94" s="92">
        <f t="shared" si="32"/>
        <v>45.247335417034741</v>
      </c>
      <c r="AA94" s="93">
        <f t="shared" si="33"/>
        <v>0.58607464833781031</v>
      </c>
      <c r="AB94" s="93">
        <f t="shared" si="34"/>
        <v>45.833410065372554</v>
      </c>
      <c r="AC94" s="93">
        <f t="shared" si="35"/>
        <v>8.5850210868739674E-2</v>
      </c>
      <c r="AD94" s="93">
        <f t="shared" si="36"/>
        <v>45.919260276241296</v>
      </c>
      <c r="AE94" s="93">
        <f t="shared" si="37"/>
        <v>1.2575631324696529E-2</v>
      </c>
      <c r="AF94" s="92">
        <f t="shared" si="38"/>
        <v>45.93183590756599</v>
      </c>
      <c r="AG94" s="93">
        <f t="shared" si="39"/>
        <v>1.8421213135006484E-3</v>
      </c>
      <c r="AH94" s="92">
        <f t="shared" si="40"/>
        <v>45.933678028879491</v>
      </c>
      <c r="AI94" s="93">
        <f t="shared" si="47"/>
        <v>2.6984020491074612E-4</v>
      </c>
      <c r="AJ94" s="92">
        <f t="shared" ref="AJ94:AJ125" si="51">IF(AH94+AI94&gt;V94,V94,AH94+AI94)</f>
        <v>45.933947869084399</v>
      </c>
      <c r="AK94" s="93">
        <f t="shared" si="48"/>
        <v>369</v>
      </c>
      <c r="AL94" s="89" t="str">
        <f t="shared" si="42"/>
        <v>'pass'</v>
      </c>
    </row>
    <row r="95" spans="1:38" x14ac:dyDescent="0.2">
      <c r="A95" s="79"/>
      <c r="B95" s="117" t="s">
        <v>1705</v>
      </c>
      <c r="C95" s="124">
        <v>47</v>
      </c>
      <c r="D95" s="119">
        <f t="shared" si="49"/>
        <v>1.1244826183697395E-3</v>
      </c>
      <c r="E95" s="121" t="s">
        <v>1706</v>
      </c>
      <c r="F95" s="120" t="s">
        <v>1702</v>
      </c>
      <c r="G95" s="122" t="s">
        <v>1707</v>
      </c>
      <c r="H95" s="121"/>
      <c r="I95" s="118" t="s">
        <v>1704</v>
      </c>
      <c r="J95" s="121">
        <v>35</v>
      </c>
      <c r="K95" s="123">
        <v>104154</v>
      </c>
      <c r="L95" s="123">
        <v>815190</v>
      </c>
      <c r="M95" s="123">
        <v>192846</v>
      </c>
      <c r="N95" s="123">
        <v>125124</v>
      </c>
      <c r="O95" s="104">
        <v>815190</v>
      </c>
      <c r="P95" s="105" t="s">
        <v>1522</v>
      </c>
      <c r="Q95" s="91">
        <f>IF(J95&gt;25,0.15,0)</f>
        <v>0.15</v>
      </c>
      <c r="R95" s="91"/>
      <c r="S95" s="104">
        <f t="shared" si="28"/>
        <v>61.139249999999997</v>
      </c>
      <c r="U95" s="93">
        <f t="shared" si="50"/>
        <v>44.253561804286583</v>
      </c>
      <c r="V95" s="93">
        <v>369</v>
      </c>
      <c r="W95" s="93">
        <f t="shared" si="29"/>
        <v>44.253561804286583</v>
      </c>
      <c r="X95" s="89">
        <f t="shared" si="30"/>
        <v>1.593539995689202E-3</v>
      </c>
      <c r="Y95" s="93">
        <f t="shared" si="31"/>
        <v>4.3470289613322013</v>
      </c>
      <c r="Z95" s="92">
        <f t="shared" si="32"/>
        <v>48.600590765618783</v>
      </c>
      <c r="AA95" s="93">
        <f t="shared" si="33"/>
        <v>0.62950832086448893</v>
      </c>
      <c r="AB95" s="93">
        <f t="shared" si="34"/>
        <v>49.230099086483271</v>
      </c>
      <c r="AC95" s="93">
        <f t="shared" si="35"/>
        <v>9.2212523171096572E-2</v>
      </c>
      <c r="AD95" s="93">
        <f t="shared" si="36"/>
        <v>49.322311609654371</v>
      </c>
      <c r="AE95" s="93">
        <f t="shared" si="37"/>
        <v>1.3507604503065918E-2</v>
      </c>
      <c r="AF95" s="92">
        <f t="shared" si="38"/>
        <v>49.335819214157439</v>
      </c>
      <c r="AG95" s="93">
        <f t="shared" si="39"/>
        <v>1.978639919299282E-3</v>
      </c>
      <c r="AH95" s="92">
        <f t="shared" si="40"/>
        <v>49.33779785407674</v>
      </c>
      <c r="AI95" s="93">
        <f t="shared" si="47"/>
        <v>2.8983791531822609E-4</v>
      </c>
      <c r="AJ95" s="92">
        <f t="shared" si="51"/>
        <v>49.338087691992058</v>
      </c>
      <c r="AK95" s="93">
        <f t="shared" si="48"/>
        <v>369</v>
      </c>
      <c r="AL95" s="89" t="str">
        <f t="shared" si="42"/>
        <v>'pass'</v>
      </c>
    </row>
    <row r="96" spans="1:38" x14ac:dyDescent="0.2">
      <c r="A96" s="79"/>
      <c r="B96" s="117" t="s">
        <v>1708</v>
      </c>
      <c r="C96" s="124">
        <v>0</v>
      </c>
      <c r="D96" s="119">
        <f t="shared" si="49"/>
        <v>0</v>
      </c>
      <c r="E96" s="121" t="s">
        <v>1709</v>
      </c>
      <c r="F96" s="120" t="s">
        <v>1702</v>
      </c>
      <c r="G96" s="122" t="s">
        <v>1710</v>
      </c>
      <c r="H96" s="121"/>
      <c r="I96" s="118" t="s">
        <v>1704</v>
      </c>
      <c r="J96" s="121">
        <v>17.100000000000001</v>
      </c>
      <c r="K96" s="123">
        <v>18500</v>
      </c>
      <c r="L96" s="123">
        <v>0</v>
      </c>
      <c r="M96" s="123">
        <v>0</v>
      </c>
      <c r="N96" s="123">
        <v>0</v>
      </c>
      <c r="O96" s="104">
        <v>18500</v>
      </c>
      <c r="P96" s="105" t="s">
        <v>1463</v>
      </c>
      <c r="Q96" s="91">
        <v>0.4</v>
      </c>
      <c r="R96" s="91"/>
      <c r="S96" s="104">
        <f t="shared" si="28"/>
        <v>3.7</v>
      </c>
      <c r="U96" s="93">
        <f t="shared" si="50"/>
        <v>2.6781188626923029</v>
      </c>
      <c r="V96" s="93">
        <v>162</v>
      </c>
      <c r="W96" s="93">
        <f t="shared" si="29"/>
        <v>2.6781188626923029</v>
      </c>
      <c r="X96" s="89">
        <f t="shared" si="30"/>
        <v>9.6437198428996892E-5</v>
      </c>
      <c r="Y96" s="93">
        <f t="shared" si="31"/>
        <v>0.263071711820625</v>
      </c>
      <c r="Z96" s="92">
        <f t="shared" si="32"/>
        <v>2.9411905745129281</v>
      </c>
      <c r="AA96" s="93">
        <f t="shared" si="33"/>
        <v>3.8096325800506377E-2</v>
      </c>
      <c r="AB96" s="93">
        <f t="shared" si="34"/>
        <v>2.9792869003134346</v>
      </c>
      <c r="AC96" s="93">
        <f t="shared" si="35"/>
        <v>5.5804795729921019E-3</v>
      </c>
      <c r="AD96" s="93">
        <f t="shared" si="36"/>
        <v>2.9848673798864267</v>
      </c>
      <c r="AE96" s="93">
        <f t="shared" si="37"/>
        <v>8.1744765696903224E-4</v>
      </c>
      <c r="AF96" s="92">
        <f t="shared" si="38"/>
        <v>2.9856848275433956</v>
      </c>
      <c r="AG96" s="93">
        <f t="shared" si="39"/>
        <v>1.1974251730937727E-4</v>
      </c>
      <c r="AH96" s="92">
        <f t="shared" si="40"/>
        <v>2.9858045700607048</v>
      </c>
      <c r="AI96" s="93">
        <f t="shared" si="47"/>
        <v>1.7540291820351685E-5</v>
      </c>
      <c r="AJ96" s="92">
        <f t="shared" si="51"/>
        <v>2.9858221103525251</v>
      </c>
      <c r="AK96" s="93">
        <f t="shared" si="48"/>
        <v>162</v>
      </c>
      <c r="AL96" s="89" t="str">
        <f t="shared" si="42"/>
        <v>'pass'</v>
      </c>
    </row>
    <row r="97" spans="1:38" x14ac:dyDescent="0.2">
      <c r="A97" s="79"/>
      <c r="B97" s="117" t="s">
        <v>1711</v>
      </c>
      <c r="C97" s="124">
        <v>102</v>
      </c>
      <c r="D97" s="119">
        <f t="shared" si="49"/>
        <v>2.4403665334832643E-3</v>
      </c>
      <c r="E97" s="121" t="s">
        <v>1712</v>
      </c>
      <c r="F97" s="120" t="s">
        <v>1713</v>
      </c>
      <c r="G97" s="122">
        <v>120</v>
      </c>
      <c r="H97" s="121"/>
      <c r="I97" s="118" t="s">
        <v>1714</v>
      </c>
      <c r="J97" s="121">
        <v>35</v>
      </c>
      <c r="K97" s="123">
        <v>894214</v>
      </c>
      <c r="L97" s="123">
        <v>405613</v>
      </c>
      <c r="M97" s="123">
        <v>0</v>
      </c>
      <c r="N97" s="123">
        <v>1457431</v>
      </c>
      <c r="O97" s="104">
        <v>1457431</v>
      </c>
      <c r="P97" s="105" t="s">
        <v>1469</v>
      </c>
      <c r="Q97" s="91">
        <f>IF(J97&gt;25,0.15,0)</f>
        <v>0.15</v>
      </c>
      <c r="R97" s="91"/>
      <c r="S97" s="104">
        <f t="shared" si="28"/>
        <v>109.30732499999999</v>
      </c>
      <c r="U97" s="93">
        <f t="shared" si="50"/>
        <v>79.118380787280515</v>
      </c>
      <c r="V97" s="93">
        <v>384</v>
      </c>
      <c r="W97" s="93">
        <f t="shared" si="29"/>
        <v>79.118380787280515</v>
      </c>
      <c r="X97" s="89">
        <f t="shared" si="30"/>
        <v>2.8489978893967167E-3</v>
      </c>
      <c r="Y97" s="93">
        <f t="shared" si="31"/>
        <v>7.7718013789955132</v>
      </c>
      <c r="Z97" s="92">
        <f t="shared" si="32"/>
        <v>86.890182166276034</v>
      </c>
      <c r="AA97" s="93">
        <f t="shared" si="33"/>
        <v>1.1254614771842799</v>
      </c>
      <c r="AB97" s="93">
        <f t="shared" si="34"/>
        <v>88.015643643460308</v>
      </c>
      <c r="AC97" s="93">
        <f t="shared" si="35"/>
        <v>0.16486143090294833</v>
      </c>
      <c r="AD97" s="93">
        <f t="shared" si="36"/>
        <v>88.180505074363253</v>
      </c>
      <c r="AE97" s="93">
        <f t="shared" si="37"/>
        <v>2.4149463975892571E-2</v>
      </c>
      <c r="AF97" s="92">
        <f t="shared" si="38"/>
        <v>88.204654538339142</v>
      </c>
      <c r="AG97" s="93">
        <f t="shared" si="39"/>
        <v>3.5374957448254659E-3</v>
      </c>
      <c r="AH97" s="92">
        <f t="shared" si="40"/>
        <v>88.208192034083964</v>
      </c>
      <c r="AI97" s="93">
        <f t="shared" si="47"/>
        <v>5.1818442664919545E-4</v>
      </c>
      <c r="AJ97" s="92">
        <f t="shared" si="51"/>
        <v>88.208710218510618</v>
      </c>
      <c r="AK97" s="93">
        <f t="shared" si="48"/>
        <v>384</v>
      </c>
      <c r="AL97" s="89" t="str">
        <f t="shared" si="42"/>
        <v>'pass'</v>
      </c>
    </row>
    <row r="98" spans="1:38" x14ac:dyDescent="0.2">
      <c r="A98" s="79"/>
      <c r="B98" s="117" t="s">
        <v>1715</v>
      </c>
      <c r="C98" s="124">
        <v>102</v>
      </c>
      <c r="D98" s="119">
        <f t="shared" si="49"/>
        <v>2.4403665334832643E-3</v>
      </c>
      <c r="E98" s="121" t="s">
        <v>1716</v>
      </c>
      <c r="F98" s="120" t="s">
        <v>1713</v>
      </c>
      <c r="G98" s="122">
        <v>121</v>
      </c>
      <c r="H98" s="121"/>
      <c r="I98" s="118" t="s">
        <v>1714</v>
      </c>
      <c r="J98" s="121">
        <v>35</v>
      </c>
      <c r="K98" s="123">
        <v>894214</v>
      </c>
      <c r="L98" s="123">
        <v>405613</v>
      </c>
      <c r="M98" s="123">
        <v>1290295</v>
      </c>
      <c r="N98" s="123">
        <v>1391874</v>
      </c>
      <c r="O98" s="104">
        <v>1391874</v>
      </c>
      <c r="P98" s="105" t="s">
        <v>1469</v>
      </c>
      <c r="Q98" s="91">
        <f>IF(J98&gt;25,0.15,0)</f>
        <v>0.15</v>
      </c>
      <c r="R98" s="91"/>
      <c r="S98" s="104">
        <f t="shared" si="28"/>
        <v>104.39055</v>
      </c>
      <c r="U98" s="93">
        <f t="shared" si="50"/>
        <v>75.559540822114585</v>
      </c>
      <c r="V98" s="93">
        <v>384</v>
      </c>
      <c r="W98" s="93">
        <f t="shared" si="29"/>
        <v>75.559540822114585</v>
      </c>
      <c r="X98" s="89">
        <f t="shared" si="30"/>
        <v>2.7208465363411137E-3</v>
      </c>
      <c r="Y98" s="93">
        <f t="shared" si="31"/>
        <v>7.4222164017287957</v>
      </c>
      <c r="Z98" s="92">
        <f t="shared" si="32"/>
        <v>82.981757223843374</v>
      </c>
      <c r="AA98" s="93">
        <f t="shared" si="33"/>
        <v>1.0748368657551488</v>
      </c>
      <c r="AB98" s="93">
        <f t="shared" si="34"/>
        <v>84.056594089598519</v>
      </c>
      <c r="AC98" s="93">
        <f t="shared" si="35"/>
        <v>0.1574457653752461</v>
      </c>
      <c r="AD98" s="93">
        <f t="shared" si="36"/>
        <v>84.214039854973763</v>
      </c>
      <c r="AE98" s="93">
        <f t="shared" si="37"/>
        <v>2.3063192028975298E-2</v>
      </c>
      <c r="AF98" s="92">
        <f t="shared" si="38"/>
        <v>84.237103047002734</v>
      </c>
      <c r="AG98" s="93">
        <f t="shared" si="39"/>
        <v>3.3783749298136249E-3</v>
      </c>
      <c r="AH98" s="92">
        <f t="shared" si="40"/>
        <v>84.240481421932543</v>
      </c>
      <c r="AI98" s="93">
        <f t="shared" si="47"/>
        <v>4.9487586764513877E-4</v>
      </c>
      <c r="AJ98" s="92">
        <f t="shared" si="51"/>
        <v>84.240976297800188</v>
      </c>
      <c r="AK98" s="93">
        <f t="shared" si="48"/>
        <v>384</v>
      </c>
      <c r="AL98" s="89" t="str">
        <f t="shared" si="42"/>
        <v>'pass'</v>
      </c>
    </row>
    <row r="99" spans="1:38" x14ac:dyDescent="0.2">
      <c r="A99" s="79"/>
      <c r="B99" s="117" t="s">
        <v>1717</v>
      </c>
      <c r="C99" s="124">
        <v>102</v>
      </c>
      <c r="D99" s="119">
        <f t="shared" si="49"/>
        <v>2.4403665334832643E-3</v>
      </c>
      <c r="E99" s="121" t="s">
        <v>1718</v>
      </c>
      <c r="F99" s="120" t="s">
        <v>1713</v>
      </c>
      <c r="G99" s="122">
        <v>122</v>
      </c>
      <c r="H99" s="121"/>
      <c r="I99" s="118" t="s">
        <v>1714</v>
      </c>
      <c r="J99" s="121">
        <v>35</v>
      </c>
      <c r="K99" s="123">
        <v>894214</v>
      </c>
      <c r="L99" s="123">
        <v>405613</v>
      </c>
      <c r="M99" s="123">
        <v>1293939</v>
      </c>
      <c r="N99" s="123">
        <v>206367</v>
      </c>
      <c r="O99" s="104">
        <v>1293939</v>
      </c>
      <c r="P99" s="105" t="s">
        <v>1472</v>
      </c>
      <c r="Q99" s="91">
        <f>IF(J99&gt;25,0.15,0)</f>
        <v>0.15</v>
      </c>
      <c r="R99" s="91"/>
      <c r="S99" s="104">
        <f t="shared" si="28"/>
        <v>97.045425000000009</v>
      </c>
      <c r="U99" s="93">
        <f t="shared" si="50"/>
        <v>70.243022494727356</v>
      </c>
      <c r="V99" s="93">
        <v>384</v>
      </c>
      <c r="W99" s="93">
        <f t="shared" si="29"/>
        <v>70.243022494727356</v>
      </c>
      <c r="X99" s="89">
        <f t="shared" si="30"/>
        <v>2.5294024073922532E-3</v>
      </c>
      <c r="Y99" s="93">
        <f t="shared" si="31"/>
        <v>6.8999746159756983</v>
      </c>
      <c r="Z99" s="92">
        <f t="shared" si="32"/>
        <v>77.14299711070305</v>
      </c>
      <c r="AA99" s="93">
        <f t="shared" si="33"/>
        <v>0.99920922385097488</v>
      </c>
      <c r="AB99" s="93">
        <f t="shared" si="34"/>
        <v>78.142206334554018</v>
      </c>
      <c r="AC99" s="93">
        <f t="shared" si="35"/>
        <v>0.14636757077428031</v>
      </c>
      <c r="AD99" s="93">
        <f t="shared" si="36"/>
        <v>78.288573905328292</v>
      </c>
      <c r="AE99" s="93">
        <f t="shared" si="37"/>
        <v>2.1440420347517284E-2</v>
      </c>
      <c r="AF99" s="92">
        <f t="shared" si="38"/>
        <v>78.310014325675809</v>
      </c>
      <c r="AG99" s="93">
        <f t="shared" si="39"/>
        <v>3.140665806177939E-3</v>
      </c>
      <c r="AH99" s="92">
        <f t="shared" si="40"/>
        <v>78.31315499148198</v>
      </c>
      <c r="AI99" s="93">
        <f t="shared" si="47"/>
        <v>4.6005542549460896E-4</v>
      </c>
      <c r="AJ99" s="92">
        <f t="shared" si="51"/>
        <v>78.313615046907472</v>
      </c>
      <c r="AK99" s="93">
        <f t="shared" si="48"/>
        <v>384</v>
      </c>
      <c r="AL99" s="89" t="str">
        <f t="shared" si="42"/>
        <v>'pass'</v>
      </c>
    </row>
    <row r="100" spans="1:38" x14ac:dyDescent="0.2">
      <c r="A100" s="79"/>
      <c r="B100" s="117" t="s">
        <v>1719</v>
      </c>
      <c r="C100" s="124">
        <v>1</v>
      </c>
      <c r="D100" s="119">
        <f t="shared" si="49"/>
        <v>2.3925162092973181E-5</v>
      </c>
      <c r="E100" s="121" t="s">
        <v>1720</v>
      </c>
      <c r="F100" s="120" t="s">
        <v>1713</v>
      </c>
      <c r="G100" s="122" t="s">
        <v>1710</v>
      </c>
      <c r="H100" s="128"/>
      <c r="I100" s="130" t="s">
        <v>1714</v>
      </c>
      <c r="J100" s="121">
        <v>18.600000000000001</v>
      </c>
      <c r="K100" s="123">
        <v>100</v>
      </c>
      <c r="L100" s="123">
        <v>0</v>
      </c>
      <c r="M100" s="123">
        <v>758</v>
      </c>
      <c r="N100" s="123">
        <v>0</v>
      </c>
      <c r="O100" s="104">
        <v>758</v>
      </c>
      <c r="P100" s="105" t="s">
        <v>1515</v>
      </c>
      <c r="Q100" s="91">
        <v>0.4</v>
      </c>
      <c r="R100" s="91" t="s">
        <v>1721</v>
      </c>
      <c r="S100" s="104">
        <f t="shared" si="28"/>
        <v>0.15159999999999998</v>
      </c>
      <c r="U100" s="93">
        <f t="shared" si="50"/>
        <v>0.10973049177950082</v>
      </c>
      <c r="V100" s="93">
        <v>164</v>
      </c>
      <c r="W100" s="93">
        <f t="shared" si="29"/>
        <v>0.10973049177950082</v>
      </c>
      <c r="X100" s="89">
        <f t="shared" si="30"/>
        <v>3.9513187248205203E-6</v>
      </c>
      <c r="Y100" s="93">
        <f t="shared" si="31"/>
        <v>1.0778830138380201E-2</v>
      </c>
      <c r="Z100" s="92">
        <f t="shared" si="32"/>
        <v>0.12050932191788102</v>
      </c>
      <c r="AA100" s="93">
        <f t="shared" si="33"/>
        <v>1.5609197273937204E-3</v>
      </c>
      <c r="AB100" s="93">
        <f t="shared" si="34"/>
        <v>0.12207024164527475</v>
      </c>
      <c r="AC100" s="93">
        <f t="shared" si="35"/>
        <v>2.2864883872043308E-4</v>
      </c>
      <c r="AD100" s="93">
        <f t="shared" si="36"/>
        <v>0.12229889048399518</v>
      </c>
      <c r="AE100" s="93">
        <f t="shared" si="37"/>
        <v>3.3493260755812233E-5</v>
      </c>
      <c r="AF100" s="92">
        <f t="shared" si="38"/>
        <v>0.122332383744751</v>
      </c>
      <c r="AG100" s="93">
        <f t="shared" si="39"/>
        <v>4.906206925432862E-6</v>
      </c>
      <c r="AH100" s="92">
        <f t="shared" si="40"/>
        <v>0.12233728995167643</v>
      </c>
      <c r="AI100" s="93">
        <f t="shared" si="47"/>
        <v>7.1867790269332832E-7</v>
      </c>
      <c r="AJ100" s="92">
        <f t="shared" si="51"/>
        <v>0.12233800862957912</v>
      </c>
      <c r="AK100" s="93">
        <f t="shared" si="48"/>
        <v>164</v>
      </c>
      <c r="AL100" s="89" t="str">
        <f t="shared" si="42"/>
        <v>'pass'</v>
      </c>
    </row>
    <row r="101" spans="1:38" x14ac:dyDescent="0.2">
      <c r="A101" s="79"/>
      <c r="B101" s="117" t="s">
        <v>1722</v>
      </c>
      <c r="C101" s="124">
        <v>0</v>
      </c>
      <c r="D101" s="119">
        <f t="shared" si="49"/>
        <v>0</v>
      </c>
      <c r="E101" s="121" t="s">
        <v>1723</v>
      </c>
      <c r="F101" s="120" t="s">
        <v>1713</v>
      </c>
      <c r="G101" s="109" t="s">
        <v>1724</v>
      </c>
      <c r="H101" s="105"/>
      <c r="I101" s="118" t="s">
        <v>1714</v>
      </c>
      <c r="J101" s="121">
        <v>18.600000000000001</v>
      </c>
      <c r="K101" s="123">
        <v>100</v>
      </c>
      <c r="L101" s="123">
        <v>0</v>
      </c>
      <c r="M101" s="123">
        <v>758</v>
      </c>
      <c r="N101" s="123">
        <v>0</v>
      </c>
      <c r="O101" s="104">
        <v>758</v>
      </c>
      <c r="P101" s="105" t="s">
        <v>1515</v>
      </c>
      <c r="Q101" s="91">
        <v>0.4</v>
      </c>
      <c r="R101" s="91" t="s">
        <v>1721</v>
      </c>
      <c r="S101" s="104">
        <f t="shared" si="28"/>
        <v>0.15159999999999998</v>
      </c>
      <c r="U101" s="93">
        <f t="shared" si="50"/>
        <v>0.10973049177950082</v>
      </c>
      <c r="V101" s="93">
        <v>164</v>
      </c>
      <c r="W101" s="93">
        <f t="shared" si="29"/>
        <v>0.10973049177950082</v>
      </c>
      <c r="X101" s="89">
        <f t="shared" si="30"/>
        <v>3.9513187248205203E-6</v>
      </c>
      <c r="Y101" s="93">
        <f t="shared" si="31"/>
        <v>1.0778830138380201E-2</v>
      </c>
      <c r="Z101" s="92">
        <f t="shared" si="32"/>
        <v>0.12050932191788102</v>
      </c>
      <c r="AA101" s="93">
        <f t="shared" si="33"/>
        <v>1.5609197273937204E-3</v>
      </c>
      <c r="AB101" s="93">
        <f t="shared" si="34"/>
        <v>0.12207024164527475</v>
      </c>
      <c r="AC101" s="93">
        <f t="shared" si="35"/>
        <v>2.2864883872043308E-4</v>
      </c>
      <c r="AD101" s="93">
        <f t="shared" si="36"/>
        <v>0.12229889048399518</v>
      </c>
      <c r="AE101" s="93">
        <f t="shared" si="37"/>
        <v>3.3493260755812233E-5</v>
      </c>
      <c r="AF101" s="92">
        <f t="shared" si="38"/>
        <v>0.122332383744751</v>
      </c>
      <c r="AG101" s="93">
        <f t="shared" si="39"/>
        <v>4.906206925432862E-6</v>
      </c>
      <c r="AH101" s="92">
        <f t="shared" si="40"/>
        <v>0.12233728995167643</v>
      </c>
      <c r="AI101" s="93">
        <f t="shared" si="47"/>
        <v>7.1867790269332832E-7</v>
      </c>
      <c r="AJ101" s="92">
        <f t="shared" si="51"/>
        <v>0.12233800862957912</v>
      </c>
      <c r="AK101" s="93">
        <f t="shared" si="48"/>
        <v>164</v>
      </c>
      <c r="AL101" s="89" t="str">
        <f t="shared" si="42"/>
        <v>'pass'</v>
      </c>
    </row>
    <row r="102" spans="1:38" x14ac:dyDescent="0.2">
      <c r="A102" s="79"/>
      <c r="B102" s="117" t="s">
        <v>1725</v>
      </c>
      <c r="C102" s="124">
        <v>486</v>
      </c>
      <c r="D102" s="119">
        <f t="shared" si="49"/>
        <v>1.1627628777184965E-2</v>
      </c>
      <c r="E102" s="121" t="s">
        <v>1726</v>
      </c>
      <c r="F102" s="120" t="s">
        <v>1727</v>
      </c>
      <c r="G102" s="122">
        <v>20</v>
      </c>
      <c r="H102" s="121"/>
      <c r="I102" s="118" t="s">
        <v>1728</v>
      </c>
      <c r="J102" s="121">
        <v>376</v>
      </c>
      <c r="K102" s="123">
        <v>5518875</v>
      </c>
      <c r="L102" s="123">
        <v>3033300</v>
      </c>
      <c r="M102" s="123">
        <v>9397646</v>
      </c>
      <c r="N102" s="123">
        <v>8121850</v>
      </c>
      <c r="O102" s="104">
        <v>9397646</v>
      </c>
      <c r="P102" s="105"/>
      <c r="Q102" s="91">
        <f>IF(J102&gt;25,0.15,0)</f>
        <v>0.15</v>
      </c>
      <c r="R102" s="91"/>
      <c r="S102" s="104">
        <f t="shared" si="28"/>
        <v>704.82344999999998</v>
      </c>
      <c r="U102" s="93">
        <f t="shared" si="50"/>
        <v>510.16242603050409</v>
      </c>
      <c r="V102" s="93">
        <v>1706</v>
      </c>
      <c r="W102" s="93">
        <f t="shared" si="29"/>
        <v>510.16242603050409</v>
      </c>
      <c r="X102" s="89">
        <f t="shared" si="30"/>
        <v>1.8370594298664909E-2</v>
      </c>
      <c r="Y102" s="93">
        <f t="shared" si="31"/>
        <v>50.113273384545593</v>
      </c>
      <c r="Z102" s="92">
        <f t="shared" si="32"/>
        <v>560.27569941504964</v>
      </c>
      <c r="AA102" s="93">
        <f t="shared" si="33"/>
        <v>7.2570766981180848</v>
      </c>
      <c r="AB102" s="93">
        <f t="shared" si="34"/>
        <v>567.53277611316776</v>
      </c>
      <c r="AC102" s="93">
        <f t="shared" si="35"/>
        <v>1.0630413149434648</v>
      </c>
      <c r="AD102" s="93">
        <f t="shared" si="36"/>
        <v>568.59581742811122</v>
      </c>
      <c r="AE102" s="93">
        <f t="shared" si="37"/>
        <v>0.15571791291333237</v>
      </c>
      <c r="AF102" s="92">
        <f t="shared" si="38"/>
        <v>568.75153534102458</v>
      </c>
      <c r="AG102" s="93">
        <f t="shared" si="39"/>
        <v>2.2810090313967565E-2</v>
      </c>
      <c r="AH102" s="92">
        <f t="shared" si="40"/>
        <v>568.77434543133859</v>
      </c>
      <c r="AI102" s="93">
        <f t="shared" si="47"/>
        <v>3.3412997283316362E-3</v>
      </c>
      <c r="AJ102" s="92">
        <f t="shared" si="51"/>
        <v>568.77768673106686</v>
      </c>
      <c r="AK102" s="93">
        <f t="shared" si="48"/>
        <v>1706</v>
      </c>
      <c r="AL102" s="89" t="str">
        <f t="shared" si="42"/>
        <v>'pass'</v>
      </c>
    </row>
    <row r="103" spans="1:38" x14ac:dyDescent="0.2">
      <c r="A103" s="79"/>
      <c r="B103" s="117" t="s">
        <v>1729</v>
      </c>
      <c r="C103" s="124">
        <v>289</v>
      </c>
      <c r="D103" s="119">
        <f t="shared" si="49"/>
        <v>6.9143718448692491E-3</v>
      </c>
      <c r="E103" s="121" t="s">
        <v>1730</v>
      </c>
      <c r="F103" s="120" t="s">
        <v>1727</v>
      </c>
      <c r="G103" s="122">
        <v>30</v>
      </c>
      <c r="H103" s="121"/>
      <c r="I103" s="118" t="s">
        <v>1728</v>
      </c>
      <c r="J103" s="121">
        <v>536</v>
      </c>
      <c r="K103" s="123">
        <v>5518875</v>
      </c>
      <c r="L103" s="123">
        <v>3033300</v>
      </c>
      <c r="M103" s="123">
        <v>4905905</v>
      </c>
      <c r="N103" s="123">
        <v>7190344</v>
      </c>
      <c r="O103" s="104">
        <v>7190344</v>
      </c>
      <c r="P103" s="105"/>
      <c r="Q103" s="91">
        <f>IF(J103&gt;25,0.15,0)</f>
        <v>0.15</v>
      </c>
      <c r="R103" s="91"/>
      <c r="S103" s="104">
        <f t="shared" si="28"/>
        <v>539.27579999999989</v>
      </c>
      <c r="U103" s="93">
        <f t="shared" si="50"/>
        <v>390.33640329013014</v>
      </c>
      <c r="V103" s="93">
        <v>2525</v>
      </c>
      <c r="W103" s="93">
        <f t="shared" si="29"/>
        <v>390.33640329013014</v>
      </c>
      <c r="X103" s="89">
        <f t="shared" si="30"/>
        <v>1.4055742522312439E-2</v>
      </c>
      <c r="Y103" s="93">
        <f t="shared" si="31"/>
        <v>38.342758878226206</v>
      </c>
      <c r="Z103" s="92">
        <f t="shared" si="32"/>
        <v>428.67916216835636</v>
      </c>
      <c r="AA103" s="93">
        <f t="shared" si="33"/>
        <v>5.5525477224672191</v>
      </c>
      <c r="AB103" s="93">
        <f t="shared" si="34"/>
        <v>434.23170989082359</v>
      </c>
      <c r="AC103" s="93">
        <f t="shared" si="35"/>
        <v>0.81335610435377648</v>
      </c>
      <c r="AD103" s="93">
        <f t="shared" si="36"/>
        <v>435.04506599517737</v>
      </c>
      <c r="AE103" s="93">
        <f t="shared" si="37"/>
        <v>0.11914317274867575</v>
      </c>
      <c r="AF103" s="92">
        <f t="shared" si="38"/>
        <v>435.16420916792606</v>
      </c>
      <c r="AG103" s="93">
        <f t="shared" si="39"/>
        <v>1.7452497788115744E-2</v>
      </c>
      <c r="AH103" s="92">
        <f t="shared" si="40"/>
        <v>435.18166166571416</v>
      </c>
      <c r="AI103" s="93">
        <f t="shared" si="47"/>
        <v>2.5565013253117858E-3</v>
      </c>
      <c r="AJ103" s="92">
        <f t="shared" si="51"/>
        <v>435.18421816703949</v>
      </c>
      <c r="AK103" s="93">
        <f t="shared" si="48"/>
        <v>2525</v>
      </c>
      <c r="AL103" s="89" t="str">
        <f t="shared" si="42"/>
        <v>'pass'</v>
      </c>
    </row>
    <row r="104" spans="1:38" x14ac:dyDescent="0.2">
      <c r="A104" s="79"/>
      <c r="B104" s="117" t="s">
        <v>1731</v>
      </c>
      <c r="C104" s="124">
        <v>6</v>
      </c>
      <c r="D104" s="119">
        <f t="shared" si="49"/>
        <v>1.4355097255783908E-4</v>
      </c>
      <c r="E104" s="121" t="s">
        <v>1732</v>
      </c>
      <c r="F104" s="120" t="s">
        <v>1727</v>
      </c>
      <c r="G104" s="122" t="s">
        <v>1710</v>
      </c>
      <c r="H104" s="121"/>
      <c r="I104" s="118" t="s">
        <v>1733</v>
      </c>
      <c r="J104" s="121">
        <v>16.3</v>
      </c>
      <c r="K104" s="123">
        <v>24900</v>
      </c>
      <c r="L104" s="123">
        <v>0</v>
      </c>
      <c r="M104" s="123">
        <v>18476</v>
      </c>
      <c r="N104" s="123">
        <v>0</v>
      </c>
      <c r="O104" s="104">
        <v>24900</v>
      </c>
      <c r="P104" s="105"/>
      <c r="Q104" s="91">
        <v>0.4</v>
      </c>
      <c r="R104" s="91"/>
      <c r="S104" s="104">
        <f t="shared" si="28"/>
        <v>4.9800000000000004</v>
      </c>
      <c r="U104" s="93">
        <f t="shared" si="50"/>
        <v>3.6046032260020726</v>
      </c>
      <c r="V104" s="93">
        <v>173</v>
      </c>
      <c r="W104" s="93">
        <f t="shared" si="29"/>
        <v>3.6046032260020726</v>
      </c>
      <c r="X104" s="89">
        <f t="shared" si="30"/>
        <v>1.297992562638931E-4</v>
      </c>
      <c r="Y104" s="93">
        <f t="shared" si="31"/>
        <v>0.35408030401803042</v>
      </c>
      <c r="Z104" s="92">
        <f t="shared" si="32"/>
        <v>3.9586835300201031</v>
      </c>
      <c r="AA104" s="93">
        <f t="shared" si="33"/>
        <v>5.1275595266627498E-2</v>
      </c>
      <c r="AB104" s="93">
        <f t="shared" si="34"/>
        <v>4.0099591252867306</v>
      </c>
      <c r="AC104" s="93">
        <f t="shared" si="35"/>
        <v>7.5110238577028822E-3</v>
      </c>
      <c r="AD104" s="93">
        <f t="shared" si="36"/>
        <v>4.0174701491444331</v>
      </c>
      <c r="AE104" s="93">
        <f t="shared" si="37"/>
        <v>1.1002403599204812E-3</v>
      </c>
      <c r="AF104" s="92">
        <f t="shared" si="38"/>
        <v>4.0185703895043536</v>
      </c>
      <c r="AG104" s="93">
        <f t="shared" si="39"/>
        <v>1.6116695572991857E-4</v>
      </c>
      <c r="AH104" s="92">
        <f t="shared" si="40"/>
        <v>4.0187315564600832</v>
      </c>
      <c r="AI104" s="93">
        <f t="shared" si="47"/>
        <v>2.3608284666311185E-5</v>
      </c>
      <c r="AJ104" s="92">
        <f t="shared" si="51"/>
        <v>4.0187551647447499</v>
      </c>
      <c r="AK104" s="93">
        <f t="shared" si="48"/>
        <v>173</v>
      </c>
      <c r="AL104" s="89" t="str">
        <f t="shared" si="42"/>
        <v>'pass'</v>
      </c>
    </row>
    <row r="105" spans="1:38" x14ac:dyDescent="0.2">
      <c r="A105" s="79"/>
      <c r="B105" s="117" t="s">
        <v>1734</v>
      </c>
      <c r="C105" s="124">
        <v>645</v>
      </c>
      <c r="D105" s="119">
        <f t="shared" si="49"/>
        <v>1.5431729549967702E-2</v>
      </c>
      <c r="E105" s="121" t="s">
        <v>1735</v>
      </c>
      <c r="F105" s="120" t="s">
        <v>1736</v>
      </c>
      <c r="G105" s="122">
        <v>30</v>
      </c>
      <c r="H105" s="121"/>
      <c r="I105" s="118" t="s">
        <v>1737</v>
      </c>
      <c r="J105" s="121">
        <v>387</v>
      </c>
      <c r="K105" s="123">
        <v>8666242</v>
      </c>
      <c r="L105" s="123">
        <v>0</v>
      </c>
      <c r="M105" s="123">
        <v>5111084</v>
      </c>
      <c r="N105" s="123">
        <v>9968849</v>
      </c>
      <c r="O105" s="104">
        <v>9968849</v>
      </c>
      <c r="P105" s="105"/>
      <c r="Q105" s="91">
        <f>IF(J105&gt;25,0.15,0)</f>
        <v>0.15</v>
      </c>
      <c r="R105" s="91"/>
      <c r="S105" s="104">
        <f t="shared" si="28"/>
        <v>747.6636749999999</v>
      </c>
      <c r="U105" s="93">
        <f t="shared" si="50"/>
        <v>541.17086242360733</v>
      </c>
      <c r="V105" s="93">
        <v>1829</v>
      </c>
      <c r="W105" s="93">
        <f t="shared" si="29"/>
        <v>541.17086242360733</v>
      </c>
      <c r="X105" s="89">
        <f t="shared" si="30"/>
        <v>1.9487186536250818E-2</v>
      </c>
      <c r="Y105" s="93">
        <f t="shared" si="31"/>
        <v>53.159233202256594</v>
      </c>
      <c r="Z105" s="92">
        <f t="shared" si="32"/>
        <v>594.33009562586392</v>
      </c>
      <c r="AA105" s="93">
        <f t="shared" si="33"/>
        <v>7.6981726897307858</v>
      </c>
      <c r="AB105" s="93">
        <f t="shared" si="34"/>
        <v>602.02826831559469</v>
      </c>
      <c r="AC105" s="93">
        <f t="shared" si="35"/>
        <v>1.1276545583258661</v>
      </c>
      <c r="AD105" s="93">
        <f t="shared" si="36"/>
        <v>603.15592287392053</v>
      </c>
      <c r="AE105" s="93">
        <f t="shared" si="37"/>
        <v>0.16518268089989346</v>
      </c>
      <c r="AF105" s="92">
        <f t="shared" si="38"/>
        <v>603.32110555482041</v>
      </c>
      <c r="AG105" s="93">
        <f t="shared" si="39"/>
        <v>2.419652176899462E-2</v>
      </c>
      <c r="AH105" s="92">
        <f t="shared" si="40"/>
        <v>603.34530207658941</v>
      </c>
      <c r="AI105" s="93">
        <f t="shared" si="47"/>
        <v>3.5443889305342103E-3</v>
      </c>
      <c r="AJ105" s="92">
        <f t="shared" si="51"/>
        <v>603.34884646551996</v>
      </c>
      <c r="AK105" s="93">
        <f t="shared" si="48"/>
        <v>1829</v>
      </c>
      <c r="AL105" s="89" t="str">
        <f t="shared" si="42"/>
        <v>'pass'</v>
      </c>
    </row>
    <row r="106" spans="1:38" x14ac:dyDescent="0.2">
      <c r="A106" s="79"/>
      <c r="B106" s="117" t="s">
        <v>1738</v>
      </c>
      <c r="C106" s="124">
        <v>537</v>
      </c>
      <c r="D106" s="119">
        <f t="shared" si="49"/>
        <v>1.2847812043926597E-2</v>
      </c>
      <c r="E106" s="121" t="s">
        <v>1739</v>
      </c>
      <c r="F106" s="120" t="s">
        <v>1736</v>
      </c>
      <c r="G106" s="122">
        <v>40</v>
      </c>
      <c r="H106" s="121"/>
      <c r="I106" s="118" t="s">
        <v>1737</v>
      </c>
      <c r="J106" s="121">
        <v>387</v>
      </c>
      <c r="K106" s="123">
        <v>8436672</v>
      </c>
      <c r="L106" s="123">
        <v>8445659</v>
      </c>
      <c r="M106" s="123">
        <v>7383456</v>
      </c>
      <c r="N106" s="123">
        <v>6634940</v>
      </c>
      <c r="O106" s="104">
        <v>8445659</v>
      </c>
      <c r="P106" s="105"/>
      <c r="Q106" s="91">
        <f>IF(J106&gt;25,0.15,0)</f>
        <v>0.15</v>
      </c>
      <c r="R106" s="91"/>
      <c r="S106" s="104">
        <f t="shared" si="28"/>
        <v>633.42442499999993</v>
      </c>
      <c r="U106" s="93">
        <f t="shared" si="50"/>
        <v>458.48267586014208</v>
      </c>
      <c r="V106" s="93">
        <v>1836</v>
      </c>
      <c r="W106" s="93">
        <f t="shared" si="29"/>
        <v>458.48267586014208</v>
      </c>
      <c r="X106" s="89">
        <f t="shared" si="30"/>
        <v>1.6509642422567094E-2</v>
      </c>
      <c r="Y106" s="93">
        <f t="shared" si="31"/>
        <v>45.036769673985155</v>
      </c>
      <c r="Z106" s="92">
        <f t="shared" si="32"/>
        <v>503.51944553412721</v>
      </c>
      <c r="AA106" s="93">
        <f t="shared" si="33"/>
        <v>6.5219306121076785</v>
      </c>
      <c r="AB106" s="93">
        <f t="shared" si="34"/>
        <v>510.04137614623488</v>
      </c>
      <c r="AC106" s="93">
        <f t="shared" si="35"/>
        <v>0.95535461209372075</v>
      </c>
      <c r="AD106" s="93">
        <f t="shared" si="36"/>
        <v>510.99673075832862</v>
      </c>
      <c r="AE106" s="93">
        <f t="shared" si="37"/>
        <v>0.13994359786032604</v>
      </c>
      <c r="AF106" s="92">
        <f t="shared" si="38"/>
        <v>511.13667435618896</v>
      </c>
      <c r="AG106" s="93">
        <f t="shared" si="39"/>
        <v>2.0499414912093197E-2</v>
      </c>
      <c r="AH106" s="92">
        <f t="shared" si="40"/>
        <v>511.15717377110104</v>
      </c>
      <c r="AI106" s="93">
        <f t="shared" si="47"/>
        <v>3.0028241244968831E-3</v>
      </c>
      <c r="AJ106" s="92">
        <f t="shared" si="51"/>
        <v>511.16017659522555</v>
      </c>
      <c r="AK106" s="93">
        <f t="shared" si="48"/>
        <v>1836</v>
      </c>
      <c r="AL106" s="89" t="str">
        <f t="shared" si="42"/>
        <v>'pass'</v>
      </c>
    </row>
    <row r="107" spans="1:38" x14ac:dyDescent="0.2">
      <c r="A107" s="79"/>
      <c r="B107" s="117" t="s">
        <v>1740</v>
      </c>
      <c r="C107" s="124">
        <v>581</v>
      </c>
      <c r="D107" s="119">
        <f t="shared" si="49"/>
        <v>1.3900519176017418E-2</v>
      </c>
      <c r="E107" s="121" t="s">
        <v>1741</v>
      </c>
      <c r="F107" s="120" t="s">
        <v>1736</v>
      </c>
      <c r="G107" s="122">
        <v>50</v>
      </c>
      <c r="H107" s="121"/>
      <c r="I107" s="118" t="s">
        <v>1737</v>
      </c>
      <c r="J107" s="121">
        <v>387</v>
      </c>
      <c r="K107" s="123">
        <v>8643024</v>
      </c>
      <c r="L107" s="123">
        <v>7992356</v>
      </c>
      <c r="M107" s="123">
        <v>8115269</v>
      </c>
      <c r="N107" s="123">
        <v>10113760</v>
      </c>
      <c r="O107" s="104">
        <v>10113760</v>
      </c>
      <c r="P107" s="105"/>
      <c r="Q107" s="91">
        <f>IF(J107&gt;25,0.15,0)</f>
        <v>0.15</v>
      </c>
      <c r="R107" s="91"/>
      <c r="S107" s="104">
        <f t="shared" si="28"/>
        <v>758.53200000000004</v>
      </c>
      <c r="U107" s="93">
        <f t="shared" si="50"/>
        <v>549.03752896100491</v>
      </c>
      <c r="V107" s="93">
        <v>1879</v>
      </c>
      <c r="W107" s="93">
        <f t="shared" si="29"/>
        <v>549.03752896100491</v>
      </c>
      <c r="X107" s="89">
        <f t="shared" si="30"/>
        <v>1.9770459729390236E-2</v>
      </c>
      <c r="Y107" s="93">
        <f t="shared" si="31"/>
        <v>53.931976138033065</v>
      </c>
      <c r="Z107" s="92">
        <f t="shared" si="32"/>
        <v>602.96950509903797</v>
      </c>
      <c r="AA107" s="93">
        <f t="shared" si="33"/>
        <v>7.8100762708404607</v>
      </c>
      <c r="AB107" s="93">
        <f t="shared" si="34"/>
        <v>610.77958136987843</v>
      </c>
      <c r="AC107" s="93">
        <f t="shared" si="35"/>
        <v>1.1440465760704988</v>
      </c>
      <c r="AD107" s="93">
        <f t="shared" si="36"/>
        <v>611.92362794594897</v>
      </c>
      <c r="AE107" s="93">
        <f t="shared" si="37"/>
        <v>0.16758383949622541</v>
      </c>
      <c r="AF107" s="92">
        <f t="shared" si="38"/>
        <v>612.09121178544524</v>
      </c>
      <c r="AG107" s="93">
        <f t="shared" si="39"/>
        <v>2.4548251659382854E-2</v>
      </c>
      <c r="AH107" s="92">
        <f t="shared" si="40"/>
        <v>612.11576003710468</v>
      </c>
      <c r="AI107" s="93">
        <f t="shared" si="47"/>
        <v>3.5959115229932444E-3</v>
      </c>
      <c r="AJ107" s="92">
        <f t="shared" si="51"/>
        <v>612.11935594862769</v>
      </c>
      <c r="AK107" s="93">
        <f t="shared" si="48"/>
        <v>1879</v>
      </c>
      <c r="AL107" s="89" t="str">
        <f t="shared" si="42"/>
        <v>'pass'</v>
      </c>
    </row>
    <row r="108" spans="1:38" x14ac:dyDescent="0.2">
      <c r="A108" s="79"/>
      <c r="B108" s="117" t="s">
        <v>1742</v>
      </c>
      <c r="C108" s="124">
        <v>5</v>
      </c>
      <c r="D108" s="119">
        <f t="shared" si="49"/>
        <v>1.1962581046486589E-4</v>
      </c>
      <c r="E108" s="121" t="s">
        <v>1743</v>
      </c>
      <c r="F108" s="120" t="s">
        <v>1736</v>
      </c>
      <c r="G108" s="122" t="s">
        <v>1710</v>
      </c>
      <c r="H108" s="121"/>
      <c r="I108" s="118" t="s">
        <v>1737</v>
      </c>
      <c r="J108" s="121">
        <v>16</v>
      </c>
      <c r="K108" s="123">
        <v>23486</v>
      </c>
      <c r="L108" s="123">
        <v>23469</v>
      </c>
      <c r="M108" s="123">
        <v>28231</v>
      </c>
      <c r="N108" s="123">
        <v>0</v>
      </c>
      <c r="O108" s="104">
        <v>28231</v>
      </c>
      <c r="P108" s="105"/>
      <c r="Q108" s="91">
        <v>0.4</v>
      </c>
      <c r="R108" s="91"/>
      <c r="S108" s="104">
        <f t="shared" si="28"/>
        <v>5.6462000000000003</v>
      </c>
      <c r="U108" s="93">
        <f t="shared" si="50"/>
        <v>4.0868093844684541</v>
      </c>
      <c r="V108" s="93">
        <v>178</v>
      </c>
      <c r="W108" s="93">
        <f t="shared" si="29"/>
        <v>4.0868093844684541</v>
      </c>
      <c r="X108" s="89">
        <f t="shared" si="30"/>
        <v>1.4716316480264924E-4</v>
      </c>
      <c r="Y108" s="93">
        <f t="shared" si="31"/>
        <v>0.40144743223827373</v>
      </c>
      <c r="Z108" s="92">
        <f t="shared" si="32"/>
        <v>4.4882568167067278</v>
      </c>
      <c r="AA108" s="93">
        <f t="shared" si="33"/>
        <v>5.8134993171572724E-2</v>
      </c>
      <c r="AB108" s="93">
        <f t="shared" si="34"/>
        <v>4.5463918098783003</v>
      </c>
      <c r="AC108" s="93">
        <f t="shared" si="35"/>
        <v>8.5158118283859465E-3</v>
      </c>
      <c r="AD108" s="93">
        <f t="shared" si="36"/>
        <v>4.5549076217066862</v>
      </c>
      <c r="AE108" s="93">
        <f t="shared" si="37"/>
        <v>1.2474251245347431E-3</v>
      </c>
      <c r="AF108" s="92">
        <f t="shared" si="38"/>
        <v>4.5561550468312211</v>
      </c>
      <c r="AG108" s="93">
        <f t="shared" si="39"/>
        <v>1.8272708141410968E-4</v>
      </c>
      <c r="AH108" s="92">
        <f t="shared" si="40"/>
        <v>4.5563377739126354</v>
      </c>
      <c r="AI108" s="93">
        <f t="shared" si="47"/>
        <v>2.676648531785667E-5</v>
      </c>
      <c r="AJ108" s="92">
        <f t="shared" si="51"/>
        <v>4.5563645403979534</v>
      </c>
      <c r="AK108" s="93">
        <f t="shared" si="48"/>
        <v>178</v>
      </c>
      <c r="AL108" s="89" t="str">
        <f t="shared" si="42"/>
        <v>'pass'</v>
      </c>
    </row>
    <row r="109" spans="1:38" x14ac:dyDescent="0.2">
      <c r="A109" s="79"/>
      <c r="B109" s="117" t="s">
        <v>1744</v>
      </c>
      <c r="C109" s="124">
        <v>42</v>
      </c>
      <c r="D109" s="119">
        <f t="shared" si="49"/>
        <v>1.0048568079048736E-3</v>
      </c>
      <c r="E109" s="121" t="s">
        <v>1745</v>
      </c>
      <c r="F109" s="120" t="s">
        <v>1736</v>
      </c>
      <c r="G109" s="122" t="s">
        <v>1746</v>
      </c>
      <c r="H109" s="121"/>
      <c r="I109" s="118" t="s">
        <v>1747</v>
      </c>
      <c r="J109" s="121">
        <v>44.1</v>
      </c>
      <c r="K109" s="123">
        <v>162013</v>
      </c>
      <c r="L109" s="123">
        <v>123800</v>
      </c>
      <c r="M109" s="123">
        <v>44156</v>
      </c>
      <c r="N109" s="123">
        <v>95760</v>
      </c>
      <c r="O109" s="104">
        <v>162013</v>
      </c>
      <c r="P109" s="105"/>
      <c r="Q109" s="91">
        <f t="shared" ref="Q109:Q120" si="52">IF(J109&gt;25,0.15,0)</f>
        <v>0.15</v>
      </c>
      <c r="R109" s="91"/>
      <c r="S109" s="104">
        <f t="shared" si="28"/>
        <v>12.150975000000001</v>
      </c>
      <c r="U109" s="93">
        <f t="shared" si="50"/>
        <v>8.7950690128655697</v>
      </c>
      <c r="V109" s="93">
        <v>375</v>
      </c>
      <c r="W109" s="93">
        <f t="shared" si="29"/>
        <v>8.7950690128655697</v>
      </c>
      <c r="X109" s="89">
        <f t="shared" si="30"/>
        <v>3.1670432085967044E-4</v>
      </c>
      <c r="Y109" s="93">
        <f t="shared" si="31"/>
        <v>0.86393994419989717</v>
      </c>
      <c r="Z109" s="92">
        <f t="shared" si="32"/>
        <v>9.6590089570654669</v>
      </c>
      <c r="AA109" s="93">
        <f t="shared" si="33"/>
        <v>0.12511013578211028</v>
      </c>
      <c r="AB109" s="93">
        <f t="shared" si="34"/>
        <v>9.7841190928475772</v>
      </c>
      <c r="AC109" s="93">
        <f t="shared" si="35"/>
        <v>1.8326558859307489E-2</v>
      </c>
      <c r="AD109" s="93">
        <f t="shared" si="36"/>
        <v>9.8024456517068845</v>
      </c>
      <c r="AE109" s="93">
        <f t="shared" si="37"/>
        <v>2.6845367685511589E-3</v>
      </c>
      <c r="AF109" s="92">
        <f t="shared" si="38"/>
        <v>9.8051301884754363</v>
      </c>
      <c r="AG109" s="93">
        <f t="shared" si="39"/>
        <v>3.9324009034143528E-4</v>
      </c>
      <c r="AH109" s="92">
        <f t="shared" si="40"/>
        <v>9.8055234285657775</v>
      </c>
      <c r="AI109" s="93">
        <f t="shared" si="47"/>
        <v>5.760314794643185E-5</v>
      </c>
      <c r="AJ109" s="92">
        <f t="shared" si="51"/>
        <v>9.8055810317137233</v>
      </c>
      <c r="AK109" s="93">
        <f t="shared" si="48"/>
        <v>375</v>
      </c>
      <c r="AL109" s="89" t="str">
        <f t="shared" si="42"/>
        <v>'pass'</v>
      </c>
    </row>
    <row r="110" spans="1:38" x14ac:dyDescent="0.2">
      <c r="A110" s="79"/>
      <c r="B110" s="117" t="s">
        <v>1748</v>
      </c>
      <c r="C110" s="124">
        <v>42</v>
      </c>
      <c r="D110" s="119">
        <f t="shared" si="49"/>
        <v>1.0048568079048736E-3</v>
      </c>
      <c r="E110" s="121" t="s">
        <v>1749</v>
      </c>
      <c r="F110" s="120" t="s">
        <v>1736</v>
      </c>
      <c r="G110" s="122" t="s">
        <v>1750</v>
      </c>
      <c r="H110" s="121"/>
      <c r="I110" s="118" t="s">
        <v>1747</v>
      </c>
      <c r="J110" s="121">
        <v>44.1</v>
      </c>
      <c r="K110" s="123">
        <v>162013</v>
      </c>
      <c r="L110" s="123">
        <v>123800</v>
      </c>
      <c r="M110" s="123">
        <v>1596</v>
      </c>
      <c r="N110" s="123">
        <v>37772</v>
      </c>
      <c r="O110" s="104">
        <v>16213</v>
      </c>
      <c r="P110" s="105"/>
      <c r="Q110" s="91">
        <f t="shared" si="52"/>
        <v>0.15</v>
      </c>
      <c r="R110" s="91"/>
      <c r="S110" s="104">
        <f t="shared" si="28"/>
        <v>1.2159749999999998</v>
      </c>
      <c r="U110" s="93">
        <f t="shared" si="50"/>
        <v>0.88014204974656007</v>
      </c>
      <c r="V110" s="93">
        <v>375</v>
      </c>
      <c r="W110" s="93">
        <f t="shared" si="29"/>
        <v>0.88014204974656007</v>
      </c>
      <c r="X110" s="89">
        <f t="shared" si="30"/>
        <v>3.1693303340459315E-5</v>
      </c>
      <c r="Y110" s="93">
        <f t="shared" si="31"/>
        <v>8.645638507596877E-2</v>
      </c>
      <c r="Z110" s="92">
        <f t="shared" si="32"/>
        <v>0.96659843482252883</v>
      </c>
      <c r="AA110" s="93">
        <f t="shared" si="33"/>
        <v>1.2520048585208306E-2</v>
      </c>
      <c r="AB110" s="93">
        <f t="shared" si="34"/>
        <v>0.97911848340773711</v>
      </c>
      <c r="AC110" s="93">
        <f t="shared" si="35"/>
        <v>1.8339793645321808E-3</v>
      </c>
      <c r="AD110" s="93">
        <f t="shared" si="36"/>
        <v>0.98095246277226933</v>
      </c>
      <c r="AE110" s="93">
        <f t="shared" si="37"/>
        <v>2.6864754450889696E-4</v>
      </c>
      <c r="AF110" s="92">
        <f t="shared" si="38"/>
        <v>0.98122111031677828</v>
      </c>
      <c r="AG110" s="93">
        <f t="shared" si="39"/>
        <v>3.9352407428451347E-5</v>
      </c>
      <c r="AH110" s="92">
        <f t="shared" si="40"/>
        <v>0.98126046272420675</v>
      </c>
      <c r="AI110" s="93">
        <f t="shared" si="47"/>
        <v>5.7644746881762524E-6</v>
      </c>
      <c r="AJ110" s="92">
        <f t="shared" si="51"/>
        <v>0.98126622719889489</v>
      </c>
      <c r="AK110" s="93">
        <f t="shared" si="48"/>
        <v>375</v>
      </c>
      <c r="AL110" s="89" t="str">
        <f t="shared" si="42"/>
        <v>'pass'</v>
      </c>
    </row>
    <row r="111" spans="1:38" x14ac:dyDescent="0.2">
      <c r="A111" s="79"/>
      <c r="B111" s="117" t="s">
        <v>1751</v>
      </c>
      <c r="C111" s="124">
        <v>42</v>
      </c>
      <c r="D111" s="119">
        <f t="shared" si="49"/>
        <v>1.0048568079048736E-3</v>
      </c>
      <c r="E111" s="121" t="s">
        <v>1752</v>
      </c>
      <c r="F111" s="120" t="s">
        <v>1736</v>
      </c>
      <c r="G111" s="122" t="s">
        <v>1753</v>
      </c>
      <c r="H111" s="121"/>
      <c r="I111" s="118" t="s">
        <v>1747</v>
      </c>
      <c r="J111" s="121">
        <v>44.1</v>
      </c>
      <c r="K111" s="123">
        <v>162013</v>
      </c>
      <c r="L111" s="123">
        <v>123800</v>
      </c>
      <c r="M111" s="123">
        <v>27132</v>
      </c>
      <c r="N111" s="123">
        <v>78204</v>
      </c>
      <c r="O111" s="104">
        <v>162013</v>
      </c>
      <c r="P111" s="105"/>
      <c r="Q111" s="91">
        <f t="shared" si="52"/>
        <v>0.15</v>
      </c>
      <c r="R111" s="91"/>
      <c r="S111" s="104">
        <f t="shared" si="28"/>
        <v>12.150975000000001</v>
      </c>
      <c r="U111" s="93">
        <f t="shared" si="50"/>
        <v>8.7950690128655697</v>
      </c>
      <c r="V111" s="93">
        <v>375</v>
      </c>
      <c r="W111" s="93">
        <f t="shared" si="29"/>
        <v>8.7950690128655697</v>
      </c>
      <c r="X111" s="89">
        <f t="shared" si="30"/>
        <v>3.1670432085967044E-4</v>
      </c>
      <c r="Y111" s="93">
        <f t="shared" si="31"/>
        <v>0.86393994419989717</v>
      </c>
      <c r="Z111" s="92">
        <f t="shared" si="32"/>
        <v>9.6590089570654669</v>
      </c>
      <c r="AA111" s="93">
        <f t="shared" si="33"/>
        <v>0.12511013578211028</v>
      </c>
      <c r="AB111" s="93">
        <f t="shared" si="34"/>
        <v>9.7841190928475772</v>
      </c>
      <c r="AC111" s="93">
        <f t="shared" si="35"/>
        <v>1.8326558859307489E-2</v>
      </c>
      <c r="AD111" s="93">
        <f t="shared" si="36"/>
        <v>9.8024456517068845</v>
      </c>
      <c r="AE111" s="93">
        <f t="shared" si="37"/>
        <v>2.6845367685511589E-3</v>
      </c>
      <c r="AF111" s="92">
        <f t="shared" si="38"/>
        <v>9.8051301884754363</v>
      </c>
      <c r="AG111" s="93">
        <f t="shared" si="39"/>
        <v>3.9324009034143528E-4</v>
      </c>
      <c r="AH111" s="92">
        <f t="shared" si="40"/>
        <v>9.8055234285657775</v>
      </c>
      <c r="AI111" s="93">
        <f t="shared" si="47"/>
        <v>5.760314794643185E-5</v>
      </c>
      <c r="AJ111" s="92">
        <f t="shared" si="51"/>
        <v>9.8055810317137233</v>
      </c>
      <c r="AK111" s="93">
        <f t="shared" si="48"/>
        <v>375</v>
      </c>
      <c r="AL111" s="89" t="str">
        <f t="shared" si="42"/>
        <v>'pass'</v>
      </c>
    </row>
    <row r="112" spans="1:38" x14ac:dyDescent="0.2">
      <c r="A112" s="79"/>
      <c r="B112" s="117" t="s">
        <v>1754</v>
      </c>
      <c r="C112" s="124">
        <v>42</v>
      </c>
      <c r="D112" s="119">
        <f t="shared" si="49"/>
        <v>1.0048568079048736E-3</v>
      </c>
      <c r="E112" s="121" t="s">
        <v>1755</v>
      </c>
      <c r="F112" s="120" t="s">
        <v>1736</v>
      </c>
      <c r="G112" s="122" t="s">
        <v>1756</v>
      </c>
      <c r="H112" s="121"/>
      <c r="I112" s="118" t="s">
        <v>1747</v>
      </c>
      <c r="J112" s="121">
        <v>44.1</v>
      </c>
      <c r="K112" s="123">
        <v>162013</v>
      </c>
      <c r="L112" s="123">
        <v>123800</v>
      </c>
      <c r="M112" s="123">
        <v>31920</v>
      </c>
      <c r="N112" s="123">
        <v>102676</v>
      </c>
      <c r="O112" s="104">
        <v>162013</v>
      </c>
      <c r="P112" s="105"/>
      <c r="Q112" s="91">
        <f t="shared" si="52"/>
        <v>0.15</v>
      </c>
      <c r="R112" s="91"/>
      <c r="S112" s="104">
        <f t="shared" si="28"/>
        <v>12.150975000000001</v>
      </c>
      <c r="U112" s="93">
        <f t="shared" si="50"/>
        <v>8.7950690128655697</v>
      </c>
      <c r="V112" s="93">
        <v>375</v>
      </c>
      <c r="W112" s="93">
        <f t="shared" si="29"/>
        <v>8.7950690128655697</v>
      </c>
      <c r="X112" s="89">
        <f t="shared" si="30"/>
        <v>3.1670432085967044E-4</v>
      </c>
      <c r="Y112" s="93">
        <f t="shared" si="31"/>
        <v>0.86393994419989717</v>
      </c>
      <c r="Z112" s="92">
        <f t="shared" si="32"/>
        <v>9.6590089570654669</v>
      </c>
      <c r="AA112" s="93">
        <f t="shared" si="33"/>
        <v>0.12511013578211028</v>
      </c>
      <c r="AB112" s="93">
        <f t="shared" si="34"/>
        <v>9.7841190928475772</v>
      </c>
      <c r="AC112" s="93">
        <f t="shared" si="35"/>
        <v>1.8326558859307489E-2</v>
      </c>
      <c r="AD112" s="93">
        <f t="shared" si="36"/>
        <v>9.8024456517068845</v>
      </c>
      <c r="AE112" s="93">
        <f t="shared" si="37"/>
        <v>2.6845367685511589E-3</v>
      </c>
      <c r="AF112" s="92">
        <f t="shared" si="38"/>
        <v>9.8051301884754363</v>
      </c>
      <c r="AG112" s="93">
        <f t="shared" si="39"/>
        <v>3.9324009034143528E-4</v>
      </c>
      <c r="AH112" s="92">
        <f t="shared" si="40"/>
        <v>9.8055234285657775</v>
      </c>
      <c r="AI112" s="93">
        <f t="shared" si="47"/>
        <v>5.760314794643185E-5</v>
      </c>
      <c r="AJ112" s="92">
        <f t="shared" si="51"/>
        <v>9.8055810317137233</v>
      </c>
      <c r="AK112" s="93">
        <f t="shared" si="48"/>
        <v>375</v>
      </c>
      <c r="AL112" s="89" t="str">
        <f t="shared" si="42"/>
        <v>'pass'</v>
      </c>
    </row>
    <row r="113" spans="1:38" x14ac:dyDescent="0.2">
      <c r="A113" s="79"/>
      <c r="B113" s="117" t="s">
        <v>1757</v>
      </c>
      <c r="C113" s="124">
        <v>42</v>
      </c>
      <c r="D113" s="119">
        <f t="shared" si="49"/>
        <v>1.0048568079048736E-3</v>
      </c>
      <c r="E113" s="121" t="s">
        <v>1758</v>
      </c>
      <c r="F113" s="120" t="s">
        <v>1736</v>
      </c>
      <c r="G113" s="122" t="s">
        <v>1759</v>
      </c>
      <c r="H113" s="121"/>
      <c r="I113" s="118" t="s">
        <v>1747</v>
      </c>
      <c r="J113" s="121">
        <v>44.1</v>
      </c>
      <c r="K113" s="123">
        <v>162013</v>
      </c>
      <c r="L113" s="123">
        <v>123800</v>
      </c>
      <c r="M113" s="123">
        <v>86716</v>
      </c>
      <c r="N113" s="123">
        <v>108528</v>
      </c>
      <c r="O113" s="104">
        <v>162013</v>
      </c>
      <c r="P113" s="105"/>
      <c r="Q113" s="91">
        <f t="shared" si="52"/>
        <v>0.15</v>
      </c>
      <c r="R113" s="91"/>
      <c r="S113" s="104">
        <f t="shared" si="28"/>
        <v>12.150975000000001</v>
      </c>
      <c r="U113" s="93">
        <f t="shared" si="50"/>
        <v>8.7950690128655697</v>
      </c>
      <c r="V113" s="93">
        <v>375</v>
      </c>
      <c r="W113" s="93">
        <f t="shared" si="29"/>
        <v>8.7950690128655697</v>
      </c>
      <c r="X113" s="89">
        <f t="shared" si="30"/>
        <v>3.1670432085967044E-4</v>
      </c>
      <c r="Y113" s="93">
        <f t="shared" si="31"/>
        <v>0.86393994419989717</v>
      </c>
      <c r="Z113" s="92">
        <f t="shared" si="32"/>
        <v>9.6590089570654669</v>
      </c>
      <c r="AA113" s="93">
        <f t="shared" si="33"/>
        <v>0.12511013578211028</v>
      </c>
      <c r="AB113" s="93">
        <f t="shared" si="34"/>
        <v>9.7841190928475772</v>
      </c>
      <c r="AC113" s="93">
        <f t="shared" si="35"/>
        <v>1.8326558859307489E-2</v>
      </c>
      <c r="AD113" s="93">
        <f t="shared" si="36"/>
        <v>9.8024456517068845</v>
      </c>
      <c r="AE113" s="93">
        <f t="shared" si="37"/>
        <v>2.6845367685511589E-3</v>
      </c>
      <c r="AF113" s="92">
        <f t="shared" si="38"/>
        <v>9.8051301884754363</v>
      </c>
      <c r="AG113" s="93">
        <f t="shared" si="39"/>
        <v>3.9324009034143528E-4</v>
      </c>
      <c r="AH113" s="92">
        <f t="shared" si="40"/>
        <v>9.8055234285657775</v>
      </c>
      <c r="AI113" s="93">
        <f t="shared" si="47"/>
        <v>5.760314794643185E-5</v>
      </c>
      <c r="AJ113" s="92">
        <f t="shared" si="51"/>
        <v>9.8055810317137233</v>
      </c>
      <c r="AK113" s="93">
        <f t="shared" si="48"/>
        <v>375</v>
      </c>
      <c r="AL113" s="89" t="str">
        <f t="shared" si="42"/>
        <v>'pass'</v>
      </c>
    </row>
    <row r="114" spans="1:38" x14ac:dyDescent="0.2">
      <c r="A114" s="79"/>
      <c r="B114" s="117" t="s">
        <v>1760</v>
      </c>
      <c r="C114" s="124">
        <v>41</v>
      </c>
      <c r="D114" s="119">
        <f t="shared" si="49"/>
        <v>9.8093164581190048E-4</v>
      </c>
      <c r="E114" s="121" t="s">
        <v>1761</v>
      </c>
      <c r="F114" s="120" t="s">
        <v>1736</v>
      </c>
      <c r="G114" s="122" t="s">
        <v>1762</v>
      </c>
      <c r="H114" s="121"/>
      <c r="I114" s="118" t="s">
        <v>1747</v>
      </c>
      <c r="J114" s="121">
        <v>44.1</v>
      </c>
      <c r="K114" s="123">
        <v>162013</v>
      </c>
      <c r="L114" s="123">
        <v>123800</v>
      </c>
      <c r="M114" s="123">
        <v>111720</v>
      </c>
      <c r="N114" s="123">
        <v>128744</v>
      </c>
      <c r="O114" s="104">
        <v>162013</v>
      </c>
      <c r="P114" s="105"/>
      <c r="Q114" s="91">
        <f t="shared" si="52"/>
        <v>0.15</v>
      </c>
      <c r="R114" s="91"/>
      <c r="S114" s="104">
        <f t="shared" si="28"/>
        <v>12.150975000000001</v>
      </c>
      <c r="U114" s="93">
        <f t="shared" si="50"/>
        <v>8.7950690128655697</v>
      </c>
      <c r="V114" s="93">
        <v>375</v>
      </c>
      <c r="W114" s="93">
        <f t="shared" si="29"/>
        <v>8.7950690128655697</v>
      </c>
      <c r="X114" s="89">
        <f t="shared" si="30"/>
        <v>3.1670432085967044E-4</v>
      </c>
      <c r="Y114" s="93">
        <f t="shared" si="31"/>
        <v>0.86393994419989717</v>
      </c>
      <c r="Z114" s="92">
        <f t="shared" si="32"/>
        <v>9.6590089570654669</v>
      </c>
      <c r="AA114" s="93">
        <f t="shared" si="33"/>
        <v>0.12511013578211028</v>
      </c>
      <c r="AB114" s="93">
        <f t="shared" si="34"/>
        <v>9.7841190928475772</v>
      </c>
      <c r="AC114" s="93">
        <f t="shared" si="35"/>
        <v>1.8326558859307489E-2</v>
      </c>
      <c r="AD114" s="93">
        <f t="shared" si="36"/>
        <v>9.8024456517068845</v>
      </c>
      <c r="AE114" s="93">
        <f t="shared" si="37"/>
        <v>2.6845367685511589E-3</v>
      </c>
      <c r="AF114" s="92">
        <f t="shared" si="38"/>
        <v>9.8051301884754363</v>
      </c>
      <c r="AG114" s="93">
        <f t="shared" si="39"/>
        <v>3.9324009034143528E-4</v>
      </c>
      <c r="AH114" s="92">
        <f t="shared" si="40"/>
        <v>9.8055234285657775</v>
      </c>
      <c r="AI114" s="93">
        <f t="shared" si="47"/>
        <v>5.760314794643185E-5</v>
      </c>
      <c r="AJ114" s="92">
        <f t="shared" si="51"/>
        <v>9.8055810317137233</v>
      </c>
      <c r="AK114" s="93">
        <f t="shared" si="48"/>
        <v>375</v>
      </c>
      <c r="AL114" s="89" t="str">
        <f t="shared" si="42"/>
        <v>'pass'</v>
      </c>
    </row>
    <row r="115" spans="1:38" x14ac:dyDescent="0.2">
      <c r="A115" s="79"/>
      <c r="B115" s="117" t="s">
        <v>1763</v>
      </c>
      <c r="C115" s="124">
        <v>42</v>
      </c>
      <c r="D115" s="119">
        <f t="shared" si="49"/>
        <v>1.0048568079048736E-3</v>
      </c>
      <c r="E115" s="121" t="s">
        <v>1764</v>
      </c>
      <c r="F115" s="120" t="s">
        <v>1736</v>
      </c>
      <c r="G115" s="122" t="s">
        <v>1765</v>
      </c>
      <c r="H115" s="121"/>
      <c r="I115" s="118" t="s">
        <v>1747</v>
      </c>
      <c r="J115" s="121">
        <v>44.1</v>
      </c>
      <c r="K115" s="123">
        <v>162013</v>
      </c>
      <c r="L115" s="123">
        <v>123800</v>
      </c>
      <c r="M115" s="123">
        <v>105868</v>
      </c>
      <c r="N115" s="123">
        <v>84588</v>
      </c>
      <c r="O115" s="104">
        <v>162013</v>
      </c>
      <c r="P115" s="105"/>
      <c r="Q115" s="91">
        <f t="shared" si="52"/>
        <v>0.15</v>
      </c>
      <c r="R115" s="91"/>
      <c r="S115" s="104">
        <f t="shared" si="28"/>
        <v>12.150975000000001</v>
      </c>
      <c r="U115" s="93">
        <f t="shared" si="50"/>
        <v>8.7950690128655697</v>
      </c>
      <c r="V115" s="93">
        <v>375</v>
      </c>
      <c r="W115" s="93">
        <f t="shared" si="29"/>
        <v>8.7950690128655697</v>
      </c>
      <c r="X115" s="89">
        <f t="shared" si="30"/>
        <v>3.1670432085967044E-4</v>
      </c>
      <c r="Y115" s="93">
        <f t="shared" si="31"/>
        <v>0.86393994419989717</v>
      </c>
      <c r="Z115" s="92">
        <f t="shared" si="32"/>
        <v>9.6590089570654669</v>
      </c>
      <c r="AA115" s="93">
        <f t="shared" si="33"/>
        <v>0.12511013578211028</v>
      </c>
      <c r="AB115" s="93">
        <f t="shared" si="34"/>
        <v>9.7841190928475772</v>
      </c>
      <c r="AC115" s="93">
        <f t="shared" si="35"/>
        <v>1.8326558859307489E-2</v>
      </c>
      <c r="AD115" s="93">
        <f t="shared" si="36"/>
        <v>9.8024456517068845</v>
      </c>
      <c r="AE115" s="93">
        <f t="shared" si="37"/>
        <v>2.6845367685511589E-3</v>
      </c>
      <c r="AF115" s="92">
        <f t="shared" si="38"/>
        <v>9.8051301884754363</v>
      </c>
      <c r="AG115" s="93">
        <f t="shared" si="39"/>
        <v>3.9324009034143528E-4</v>
      </c>
      <c r="AH115" s="92">
        <f t="shared" si="40"/>
        <v>9.8055234285657775</v>
      </c>
      <c r="AI115" s="93">
        <f t="shared" si="47"/>
        <v>5.760314794643185E-5</v>
      </c>
      <c r="AJ115" s="92">
        <f t="shared" si="51"/>
        <v>9.8055810317137233</v>
      </c>
      <c r="AK115" s="93">
        <f t="shared" si="48"/>
        <v>375</v>
      </c>
      <c r="AL115" s="89" t="str">
        <f t="shared" si="42"/>
        <v>'pass'</v>
      </c>
    </row>
    <row r="116" spans="1:38" x14ac:dyDescent="0.2">
      <c r="A116" s="79"/>
      <c r="B116" s="117" t="s">
        <v>1766</v>
      </c>
      <c r="C116" s="124">
        <v>42</v>
      </c>
      <c r="D116" s="119">
        <f t="shared" si="49"/>
        <v>1.0048568079048736E-3</v>
      </c>
      <c r="E116" s="121" t="s">
        <v>1767</v>
      </c>
      <c r="F116" s="120" t="s">
        <v>1736</v>
      </c>
      <c r="G116" s="122" t="s">
        <v>1768</v>
      </c>
      <c r="H116" s="121"/>
      <c r="I116" s="118" t="s">
        <v>1747</v>
      </c>
      <c r="J116" s="121">
        <v>44.1</v>
      </c>
      <c r="K116" s="123">
        <v>162013</v>
      </c>
      <c r="L116" s="123">
        <v>123800</v>
      </c>
      <c r="M116" s="123">
        <v>111188</v>
      </c>
      <c r="N116" s="123">
        <v>126616</v>
      </c>
      <c r="O116" s="104">
        <v>162013</v>
      </c>
      <c r="P116" s="105"/>
      <c r="Q116" s="91">
        <f t="shared" si="52"/>
        <v>0.15</v>
      </c>
      <c r="R116" s="91"/>
      <c r="S116" s="104">
        <f t="shared" si="28"/>
        <v>12.150975000000001</v>
      </c>
      <c r="U116" s="93">
        <f t="shared" si="50"/>
        <v>8.7950690128655697</v>
      </c>
      <c r="V116" s="93">
        <v>375</v>
      </c>
      <c r="W116" s="93">
        <f t="shared" si="29"/>
        <v>8.7950690128655697</v>
      </c>
      <c r="X116" s="89">
        <f t="shared" si="30"/>
        <v>3.1670432085967044E-4</v>
      </c>
      <c r="Y116" s="93">
        <f t="shared" si="31"/>
        <v>0.86393994419989717</v>
      </c>
      <c r="Z116" s="92">
        <f t="shared" si="32"/>
        <v>9.6590089570654669</v>
      </c>
      <c r="AA116" s="93">
        <f t="shared" si="33"/>
        <v>0.12511013578211028</v>
      </c>
      <c r="AB116" s="93">
        <f t="shared" si="34"/>
        <v>9.7841190928475772</v>
      </c>
      <c r="AC116" s="93">
        <f t="shared" si="35"/>
        <v>1.8326558859307489E-2</v>
      </c>
      <c r="AD116" s="93">
        <f t="shared" si="36"/>
        <v>9.8024456517068845</v>
      </c>
      <c r="AE116" s="93">
        <f t="shared" si="37"/>
        <v>2.6845367685511589E-3</v>
      </c>
      <c r="AF116" s="92">
        <f t="shared" si="38"/>
        <v>9.8051301884754363</v>
      </c>
      <c r="AG116" s="93">
        <f t="shared" si="39"/>
        <v>3.9324009034143528E-4</v>
      </c>
      <c r="AH116" s="92">
        <f t="shared" si="40"/>
        <v>9.8055234285657775</v>
      </c>
      <c r="AI116" s="93">
        <f t="shared" si="47"/>
        <v>5.760314794643185E-5</v>
      </c>
      <c r="AJ116" s="92">
        <f t="shared" si="51"/>
        <v>9.8055810317137233</v>
      </c>
      <c r="AK116" s="93">
        <f t="shared" si="48"/>
        <v>375</v>
      </c>
      <c r="AL116" s="89" t="str">
        <f t="shared" si="42"/>
        <v>'pass'</v>
      </c>
    </row>
    <row r="117" spans="1:38" x14ac:dyDescent="0.2">
      <c r="A117" s="79"/>
      <c r="B117" s="117" t="s">
        <v>1769</v>
      </c>
      <c r="C117" s="124">
        <v>42</v>
      </c>
      <c r="D117" s="119">
        <f t="shared" si="49"/>
        <v>1.0048568079048736E-3</v>
      </c>
      <c r="E117" s="121" t="s">
        <v>1770</v>
      </c>
      <c r="F117" s="120" t="s">
        <v>1736</v>
      </c>
      <c r="G117" s="122" t="s">
        <v>1771</v>
      </c>
      <c r="H117" s="121"/>
      <c r="I117" s="118" t="s">
        <v>1747</v>
      </c>
      <c r="J117" s="121">
        <v>44.1</v>
      </c>
      <c r="K117" s="123">
        <v>162013</v>
      </c>
      <c r="L117" s="123">
        <v>123800</v>
      </c>
      <c r="M117" s="123">
        <v>113316</v>
      </c>
      <c r="N117" s="123">
        <v>134064</v>
      </c>
      <c r="O117" s="104">
        <v>162013</v>
      </c>
      <c r="P117" s="105"/>
      <c r="Q117" s="91">
        <f t="shared" si="52"/>
        <v>0.15</v>
      </c>
      <c r="R117" s="91"/>
      <c r="S117" s="104">
        <f t="shared" si="28"/>
        <v>12.150975000000001</v>
      </c>
      <c r="U117" s="93">
        <f t="shared" si="50"/>
        <v>8.7950690128655697</v>
      </c>
      <c r="V117" s="93">
        <v>375</v>
      </c>
      <c r="W117" s="93">
        <f t="shared" si="29"/>
        <v>8.7950690128655697</v>
      </c>
      <c r="X117" s="89">
        <f t="shared" si="30"/>
        <v>3.1670432085967044E-4</v>
      </c>
      <c r="Y117" s="93">
        <f t="shared" si="31"/>
        <v>0.86393994419989717</v>
      </c>
      <c r="Z117" s="92">
        <f t="shared" si="32"/>
        <v>9.6590089570654669</v>
      </c>
      <c r="AA117" s="93">
        <f t="shared" si="33"/>
        <v>0.12511013578211028</v>
      </c>
      <c r="AB117" s="93">
        <f t="shared" si="34"/>
        <v>9.7841190928475772</v>
      </c>
      <c r="AC117" s="93">
        <f t="shared" si="35"/>
        <v>1.8326558859307489E-2</v>
      </c>
      <c r="AD117" s="93">
        <f t="shared" si="36"/>
        <v>9.8024456517068845</v>
      </c>
      <c r="AE117" s="93">
        <f t="shared" si="37"/>
        <v>2.6845367685511589E-3</v>
      </c>
      <c r="AF117" s="92">
        <f t="shared" si="38"/>
        <v>9.8051301884754363</v>
      </c>
      <c r="AG117" s="93">
        <f t="shared" si="39"/>
        <v>3.9324009034143528E-4</v>
      </c>
      <c r="AH117" s="92">
        <f t="shared" si="40"/>
        <v>9.8055234285657775</v>
      </c>
      <c r="AI117" s="93">
        <f t="shared" si="47"/>
        <v>5.760314794643185E-5</v>
      </c>
      <c r="AJ117" s="92">
        <f t="shared" si="51"/>
        <v>9.8055810317137233</v>
      </c>
      <c r="AK117" s="93">
        <f t="shared" si="48"/>
        <v>375</v>
      </c>
      <c r="AL117" s="89" t="str">
        <f t="shared" si="42"/>
        <v>'pass'</v>
      </c>
    </row>
    <row r="118" spans="1:38" x14ac:dyDescent="0.2">
      <c r="A118" s="79"/>
      <c r="B118" s="117" t="s">
        <v>1772</v>
      </c>
      <c r="C118" s="124">
        <v>41</v>
      </c>
      <c r="D118" s="119">
        <f t="shared" si="49"/>
        <v>9.8093164581190048E-4</v>
      </c>
      <c r="E118" s="121" t="s">
        <v>1773</v>
      </c>
      <c r="F118" s="120" t="s">
        <v>1736</v>
      </c>
      <c r="G118" s="122" t="s">
        <v>1774</v>
      </c>
      <c r="H118" s="121"/>
      <c r="I118" s="118" t="s">
        <v>1747</v>
      </c>
      <c r="J118" s="121">
        <v>44.1</v>
      </c>
      <c r="K118" s="123">
        <v>162013</v>
      </c>
      <c r="L118" s="123">
        <v>123800</v>
      </c>
      <c r="M118" s="123">
        <v>82992</v>
      </c>
      <c r="N118" s="123">
        <v>130340</v>
      </c>
      <c r="O118" s="104">
        <v>162013</v>
      </c>
      <c r="P118" s="105"/>
      <c r="Q118" s="91">
        <f t="shared" si="52"/>
        <v>0.15</v>
      </c>
      <c r="R118" s="91"/>
      <c r="S118" s="104">
        <f t="shared" si="28"/>
        <v>12.150975000000001</v>
      </c>
      <c r="U118" s="93">
        <f t="shared" si="50"/>
        <v>8.7950690128655697</v>
      </c>
      <c r="V118" s="93">
        <v>375</v>
      </c>
      <c r="W118" s="93">
        <f t="shared" si="29"/>
        <v>8.7950690128655697</v>
      </c>
      <c r="X118" s="89">
        <f t="shared" si="30"/>
        <v>3.1670432085967044E-4</v>
      </c>
      <c r="Y118" s="93">
        <f t="shared" si="31"/>
        <v>0.86393994419989717</v>
      </c>
      <c r="Z118" s="92">
        <f t="shared" si="32"/>
        <v>9.6590089570654669</v>
      </c>
      <c r="AA118" s="93">
        <f t="shared" si="33"/>
        <v>0.12511013578211028</v>
      </c>
      <c r="AB118" s="93">
        <f t="shared" si="34"/>
        <v>9.7841190928475772</v>
      </c>
      <c r="AC118" s="93">
        <f t="shared" si="35"/>
        <v>1.8326558859307489E-2</v>
      </c>
      <c r="AD118" s="93">
        <f t="shared" si="36"/>
        <v>9.8024456517068845</v>
      </c>
      <c r="AE118" s="93">
        <f t="shared" si="37"/>
        <v>2.6845367685511589E-3</v>
      </c>
      <c r="AF118" s="92">
        <f t="shared" si="38"/>
        <v>9.8051301884754363</v>
      </c>
      <c r="AG118" s="93">
        <f t="shared" si="39"/>
        <v>3.9324009034143528E-4</v>
      </c>
      <c r="AH118" s="92">
        <f t="shared" si="40"/>
        <v>9.8055234285657775</v>
      </c>
      <c r="AI118" s="93">
        <f t="shared" si="47"/>
        <v>5.760314794643185E-5</v>
      </c>
      <c r="AJ118" s="92">
        <f t="shared" si="51"/>
        <v>9.8055810317137233</v>
      </c>
      <c r="AK118" s="93">
        <f t="shared" si="48"/>
        <v>375</v>
      </c>
      <c r="AL118" s="89" t="str">
        <f t="shared" si="42"/>
        <v>'pass'</v>
      </c>
    </row>
    <row r="119" spans="1:38" x14ac:dyDescent="0.2">
      <c r="A119" s="79"/>
      <c r="B119" s="117" t="s">
        <v>1775</v>
      </c>
      <c r="C119" s="124">
        <v>42</v>
      </c>
      <c r="D119" s="119">
        <f t="shared" si="49"/>
        <v>1.0048568079048736E-3</v>
      </c>
      <c r="E119" s="121" t="s">
        <v>1776</v>
      </c>
      <c r="F119" s="120" t="s">
        <v>1736</v>
      </c>
      <c r="G119" s="122" t="s">
        <v>1777</v>
      </c>
      <c r="H119" s="121"/>
      <c r="I119" s="118" t="s">
        <v>1747</v>
      </c>
      <c r="J119" s="121">
        <v>44.1</v>
      </c>
      <c r="K119" s="123">
        <v>162013</v>
      </c>
      <c r="L119" s="123">
        <v>123800</v>
      </c>
      <c r="M119" s="123">
        <v>110124</v>
      </c>
      <c r="N119" s="123">
        <v>118636</v>
      </c>
      <c r="O119" s="104">
        <v>162013</v>
      </c>
      <c r="P119" s="105"/>
      <c r="Q119" s="91">
        <f t="shared" si="52"/>
        <v>0.15</v>
      </c>
      <c r="R119" s="91"/>
      <c r="S119" s="104">
        <f t="shared" si="28"/>
        <v>12.150975000000001</v>
      </c>
      <c r="U119" s="93">
        <f t="shared" si="50"/>
        <v>8.7950690128655697</v>
      </c>
      <c r="V119" s="93">
        <v>375</v>
      </c>
      <c r="W119" s="93">
        <f t="shared" si="29"/>
        <v>8.7950690128655697</v>
      </c>
      <c r="X119" s="89">
        <f t="shared" si="30"/>
        <v>3.1670432085967044E-4</v>
      </c>
      <c r="Y119" s="93">
        <f t="shared" si="31"/>
        <v>0.86393994419989717</v>
      </c>
      <c r="Z119" s="92">
        <f t="shared" si="32"/>
        <v>9.6590089570654669</v>
      </c>
      <c r="AA119" s="93">
        <f t="shared" si="33"/>
        <v>0.12511013578211028</v>
      </c>
      <c r="AB119" s="93">
        <f t="shared" si="34"/>
        <v>9.7841190928475772</v>
      </c>
      <c r="AC119" s="93">
        <f t="shared" si="35"/>
        <v>1.8326558859307489E-2</v>
      </c>
      <c r="AD119" s="93">
        <f t="shared" si="36"/>
        <v>9.8024456517068845</v>
      </c>
      <c r="AE119" s="93">
        <f t="shared" si="37"/>
        <v>2.6845367685511589E-3</v>
      </c>
      <c r="AF119" s="92">
        <f t="shared" si="38"/>
        <v>9.8051301884754363</v>
      </c>
      <c r="AG119" s="93">
        <f t="shared" si="39"/>
        <v>3.9324009034143528E-4</v>
      </c>
      <c r="AH119" s="92">
        <f t="shared" si="40"/>
        <v>9.8055234285657775</v>
      </c>
      <c r="AI119" s="93">
        <f t="shared" si="47"/>
        <v>5.760314794643185E-5</v>
      </c>
      <c r="AJ119" s="92">
        <f t="shared" si="51"/>
        <v>9.8055810317137233</v>
      </c>
      <c r="AK119" s="93">
        <f t="shared" si="48"/>
        <v>375</v>
      </c>
      <c r="AL119" s="89" t="str">
        <f t="shared" si="42"/>
        <v>'pass'</v>
      </c>
    </row>
    <row r="120" spans="1:38" x14ac:dyDescent="0.2">
      <c r="A120" s="79"/>
      <c r="B120" s="117" t="s">
        <v>1778</v>
      </c>
      <c r="C120" s="124">
        <v>42</v>
      </c>
      <c r="D120" s="119">
        <f t="shared" si="49"/>
        <v>1.0048568079048736E-3</v>
      </c>
      <c r="E120" s="121" t="s">
        <v>1779</v>
      </c>
      <c r="F120" s="120" t="s">
        <v>1736</v>
      </c>
      <c r="G120" s="122" t="s">
        <v>1780</v>
      </c>
      <c r="H120" s="121"/>
      <c r="I120" s="118" t="s">
        <v>1747</v>
      </c>
      <c r="J120" s="121">
        <v>44.1</v>
      </c>
      <c r="K120" s="123">
        <v>162013</v>
      </c>
      <c r="L120" s="123">
        <v>123800</v>
      </c>
      <c r="M120" s="123">
        <v>110124</v>
      </c>
      <c r="N120" s="123">
        <v>112252</v>
      </c>
      <c r="O120" s="104">
        <v>162013</v>
      </c>
      <c r="P120" s="105"/>
      <c r="Q120" s="91">
        <f t="shared" si="52"/>
        <v>0.15</v>
      </c>
      <c r="R120" s="91"/>
      <c r="S120" s="104">
        <f t="shared" si="28"/>
        <v>12.150975000000001</v>
      </c>
      <c r="U120" s="93">
        <f t="shared" si="50"/>
        <v>8.7950690128655697</v>
      </c>
      <c r="V120" s="93">
        <v>375</v>
      </c>
      <c r="W120" s="93">
        <f t="shared" si="29"/>
        <v>8.7950690128655697</v>
      </c>
      <c r="X120" s="89">
        <f t="shared" si="30"/>
        <v>3.1670432085967044E-4</v>
      </c>
      <c r="Y120" s="93">
        <f t="shared" si="31"/>
        <v>0.86393994419989717</v>
      </c>
      <c r="Z120" s="92">
        <f t="shared" si="32"/>
        <v>9.6590089570654669</v>
      </c>
      <c r="AA120" s="93">
        <f t="shared" si="33"/>
        <v>0.12511013578211028</v>
      </c>
      <c r="AB120" s="93">
        <f t="shared" si="34"/>
        <v>9.7841190928475772</v>
      </c>
      <c r="AC120" s="93">
        <f t="shared" si="35"/>
        <v>1.8326558859307489E-2</v>
      </c>
      <c r="AD120" s="93">
        <f t="shared" si="36"/>
        <v>9.8024456517068845</v>
      </c>
      <c r="AE120" s="93">
        <f t="shared" si="37"/>
        <v>2.6845367685511589E-3</v>
      </c>
      <c r="AF120" s="92">
        <f t="shared" si="38"/>
        <v>9.8051301884754363</v>
      </c>
      <c r="AG120" s="93">
        <f t="shared" si="39"/>
        <v>3.9324009034143528E-4</v>
      </c>
      <c r="AH120" s="92">
        <f t="shared" si="40"/>
        <v>9.8055234285657775</v>
      </c>
      <c r="AI120" s="93">
        <f t="shared" si="47"/>
        <v>5.760314794643185E-5</v>
      </c>
      <c r="AJ120" s="92">
        <f t="shared" si="51"/>
        <v>9.8055810317137233</v>
      </c>
      <c r="AK120" s="93">
        <f t="shared" si="48"/>
        <v>375</v>
      </c>
      <c r="AL120" s="89" t="str">
        <f t="shared" si="42"/>
        <v>'pass'</v>
      </c>
    </row>
    <row r="121" spans="1:38" x14ac:dyDescent="0.2">
      <c r="A121" s="79"/>
      <c r="B121" s="117" t="s">
        <v>1781</v>
      </c>
      <c r="C121" s="124">
        <v>4</v>
      </c>
      <c r="D121" s="119">
        <f t="shared" si="49"/>
        <v>9.5700648371892724E-5</v>
      </c>
      <c r="E121" s="121" t="s">
        <v>1782</v>
      </c>
      <c r="F121" s="120" t="s">
        <v>1736</v>
      </c>
      <c r="G121" s="122" t="s">
        <v>1783</v>
      </c>
      <c r="H121" s="121"/>
      <c r="I121" s="118" t="s">
        <v>1747</v>
      </c>
      <c r="J121" s="121">
        <v>19.8</v>
      </c>
      <c r="K121" s="123">
        <v>12669</v>
      </c>
      <c r="L121" s="123">
        <v>15561</v>
      </c>
      <c r="M121" s="123">
        <v>20880</v>
      </c>
      <c r="N121" s="123">
        <v>30720</v>
      </c>
      <c r="O121" s="104">
        <v>30720</v>
      </c>
      <c r="P121" s="105"/>
      <c r="Q121" s="91">
        <v>0.4</v>
      </c>
      <c r="R121" s="91"/>
      <c r="S121" s="104">
        <f t="shared" si="28"/>
        <v>6.1440000000000001</v>
      </c>
      <c r="U121" s="93">
        <f t="shared" si="50"/>
        <v>4.4471249438868945</v>
      </c>
      <c r="V121" s="93">
        <v>176</v>
      </c>
      <c r="W121" s="93">
        <f t="shared" si="29"/>
        <v>4.4471249438868945</v>
      </c>
      <c r="X121" s="89">
        <f t="shared" si="30"/>
        <v>1.6013787760750186E-4</v>
      </c>
      <c r="Y121" s="93">
        <f t="shared" si="31"/>
        <v>0.43684124254754597</v>
      </c>
      <c r="Z121" s="92">
        <f t="shared" si="32"/>
        <v>4.8839661864344404</v>
      </c>
      <c r="AA121" s="93">
        <f t="shared" si="33"/>
        <v>6.3260493437381396E-2</v>
      </c>
      <c r="AB121" s="93">
        <f t="shared" si="34"/>
        <v>4.9472266798718216</v>
      </c>
      <c r="AC121" s="93">
        <f t="shared" si="35"/>
        <v>9.2666125666117493E-3</v>
      </c>
      <c r="AD121" s="93">
        <f t="shared" si="36"/>
        <v>4.9564932924384335</v>
      </c>
      <c r="AE121" s="93">
        <f t="shared" si="37"/>
        <v>1.357404974166955E-3</v>
      </c>
      <c r="AF121" s="92">
        <f t="shared" si="38"/>
        <v>4.9578506974126002</v>
      </c>
      <c r="AG121" s="93">
        <f t="shared" si="39"/>
        <v>1.9883730441859834E-4</v>
      </c>
      <c r="AH121" s="92">
        <f t="shared" si="40"/>
        <v>4.958049534717019</v>
      </c>
      <c r="AI121" s="93">
        <f t="shared" si="47"/>
        <v>2.9126365660605607E-5</v>
      </c>
      <c r="AJ121" s="92">
        <f t="shared" si="51"/>
        <v>4.9580786610826797</v>
      </c>
      <c r="AK121" s="93">
        <f t="shared" si="48"/>
        <v>176</v>
      </c>
      <c r="AL121" s="89" t="str">
        <f t="shared" si="42"/>
        <v>'pass'</v>
      </c>
    </row>
    <row r="122" spans="1:38" x14ac:dyDescent="0.2">
      <c r="A122" s="79"/>
      <c r="B122" s="117" t="s">
        <v>1784</v>
      </c>
      <c r="C122" s="124">
        <v>3</v>
      </c>
      <c r="D122" s="119">
        <f t="shared" si="49"/>
        <v>7.1775486278919539E-5</v>
      </c>
      <c r="E122" s="121" t="s">
        <v>1785</v>
      </c>
      <c r="F122" s="120" t="s">
        <v>1736</v>
      </c>
      <c r="G122" s="122" t="s">
        <v>1786</v>
      </c>
      <c r="H122" s="121"/>
      <c r="I122" s="118" t="s">
        <v>1747</v>
      </c>
      <c r="J122" s="121">
        <v>19.8</v>
      </c>
      <c r="K122" s="123">
        <v>12669</v>
      </c>
      <c r="L122" s="123">
        <v>15561</v>
      </c>
      <c r="M122" s="123">
        <v>20640</v>
      </c>
      <c r="N122" s="123">
        <v>35760</v>
      </c>
      <c r="O122" s="104">
        <v>35760</v>
      </c>
      <c r="P122" s="105"/>
      <c r="Q122" s="91">
        <v>0.4</v>
      </c>
      <c r="R122" s="91"/>
      <c r="S122" s="104">
        <f t="shared" si="28"/>
        <v>7.1520000000000001</v>
      </c>
      <c r="U122" s="93">
        <f t="shared" si="50"/>
        <v>5.1767313799933383</v>
      </c>
      <c r="V122" s="93">
        <v>176</v>
      </c>
      <c r="W122" s="93">
        <f t="shared" si="29"/>
        <v>5.1767313799933383</v>
      </c>
      <c r="X122" s="89">
        <f t="shared" si="30"/>
        <v>1.8641049815248264E-4</v>
      </c>
      <c r="Y122" s="93">
        <f t="shared" si="31"/>
        <v>0.50851050890300276</v>
      </c>
      <c r="Z122" s="92">
        <f t="shared" si="32"/>
        <v>5.685241888896341</v>
      </c>
      <c r="AA122" s="93">
        <f t="shared" si="33"/>
        <v>7.3639168141951789E-2</v>
      </c>
      <c r="AB122" s="93">
        <f t="shared" si="34"/>
        <v>5.7588810570382929</v>
      </c>
      <c r="AC122" s="93">
        <f t="shared" si="35"/>
        <v>1.0786916190821489E-2</v>
      </c>
      <c r="AD122" s="93">
        <f t="shared" si="36"/>
        <v>5.7696679732291143</v>
      </c>
      <c r="AE122" s="93">
        <f t="shared" si="37"/>
        <v>1.5801042277412212E-3</v>
      </c>
      <c r="AF122" s="92">
        <f t="shared" si="38"/>
        <v>5.7712480774568551</v>
      </c>
      <c r="AG122" s="93">
        <f t="shared" si="39"/>
        <v>2.3145904967477465E-4</v>
      </c>
      <c r="AH122" s="92">
        <f t="shared" si="40"/>
        <v>5.7714795365065301</v>
      </c>
      <c r="AI122" s="93">
        <f t="shared" si="47"/>
        <v>3.3904910026798715E-5</v>
      </c>
      <c r="AJ122" s="92">
        <f t="shared" si="51"/>
        <v>5.7715134414165572</v>
      </c>
      <c r="AK122" s="93">
        <f t="shared" si="48"/>
        <v>176</v>
      </c>
      <c r="AL122" s="89" t="str">
        <f t="shared" si="42"/>
        <v>'pass'</v>
      </c>
    </row>
    <row r="123" spans="1:38" x14ac:dyDescent="0.2">
      <c r="A123" s="79"/>
      <c r="B123" s="117" t="s">
        <v>1787</v>
      </c>
      <c r="C123" s="124">
        <v>4</v>
      </c>
      <c r="D123" s="119">
        <f t="shared" si="49"/>
        <v>9.5700648371892724E-5</v>
      </c>
      <c r="E123" s="121" t="s">
        <v>1788</v>
      </c>
      <c r="F123" s="120" t="s">
        <v>1736</v>
      </c>
      <c r="G123" s="122" t="s">
        <v>1789</v>
      </c>
      <c r="H123" s="121"/>
      <c r="I123" s="118" t="s">
        <v>1747</v>
      </c>
      <c r="J123" s="121">
        <v>19.8</v>
      </c>
      <c r="K123" s="123">
        <v>12669</v>
      </c>
      <c r="L123" s="123">
        <v>15561</v>
      </c>
      <c r="M123" s="123">
        <v>20160</v>
      </c>
      <c r="N123" s="123">
        <v>37680</v>
      </c>
      <c r="O123" s="104">
        <v>37680</v>
      </c>
      <c r="P123" s="105"/>
      <c r="Q123" s="91">
        <v>0.4</v>
      </c>
      <c r="R123" s="91"/>
      <c r="S123" s="104">
        <f t="shared" si="28"/>
        <v>7.5359999999999996</v>
      </c>
      <c r="U123" s="93">
        <f t="shared" si="50"/>
        <v>5.4546766889862681</v>
      </c>
      <c r="V123" s="93">
        <v>176</v>
      </c>
      <c r="W123" s="93">
        <f t="shared" si="29"/>
        <v>5.4546766889862681</v>
      </c>
      <c r="X123" s="89">
        <f t="shared" si="30"/>
        <v>1.9641911550295147E-4</v>
      </c>
      <c r="Y123" s="93">
        <f t="shared" si="31"/>
        <v>0.53581308656222426</v>
      </c>
      <c r="Z123" s="92">
        <f t="shared" si="32"/>
        <v>5.9904897755484923</v>
      </c>
      <c r="AA123" s="93">
        <f t="shared" si="33"/>
        <v>7.7592948981788104E-2</v>
      </c>
      <c r="AB123" s="93">
        <f t="shared" si="34"/>
        <v>6.0680827245302806</v>
      </c>
      <c r="AC123" s="93">
        <f t="shared" si="35"/>
        <v>1.1366079476234721E-2</v>
      </c>
      <c r="AD123" s="93">
        <f t="shared" si="36"/>
        <v>6.0794488040065158</v>
      </c>
      <c r="AE123" s="93">
        <f t="shared" si="37"/>
        <v>1.6649420386266557E-3</v>
      </c>
      <c r="AF123" s="92">
        <f t="shared" si="38"/>
        <v>6.0811137460451423</v>
      </c>
      <c r="AG123" s="93">
        <f t="shared" si="39"/>
        <v>2.4388638120093699E-4</v>
      </c>
      <c r="AH123" s="92">
        <f t="shared" si="40"/>
        <v>6.081357632426343</v>
      </c>
      <c r="AI123" s="93">
        <f t="shared" si="47"/>
        <v>3.5725307880586559E-5</v>
      </c>
      <c r="AJ123" s="92">
        <f t="shared" si="51"/>
        <v>6.0813933577342238</v>
      </c>
      <c r="AK123" s="93">
        <f t="shared" si="48"/>
        <v>176</v>
      </c>
      <c r="AL123" s="89" t="str">
        <f t="shared" si="42"/>
        <v>'pass'</v>
      </c>
    </row>
    <row r="124" spans="1:38" x14ac:dyDescent="0.2">
      <c r="A124" s="79"/>
      <c r="B124" s="117" t="s">
        <v>1790</v>
      </c>
      <c r="C124" s="124">
        <v>4</v>
      </c>
      <c r="D124" s="119">
        <f t="shared" si="49"/>
        <v>9.5700648371892724E-5</v>
      </c>
      <c r="E124" s="121" t="s">
        <v>1791</v>
      </c>
      <c r="F124" s="120" t="s">
        <v>1736</v>
      </c>
      <c r="G124" s="122" t="s">
        <v>1792</v>
      </c>
      <c r="H124" s="121"/>
      <c r="I124" s="118" t="s">
        <v>1747</v>
      </c>
      <c r="J124" s="121">
        <v>19.8</v>
      </c>
      <c r="K124" s="123">
        <v>12669</v>
      </c>
      <c r="L124" s="123">
        <v>15561</v>
      </c>
      <c r="M124" s="123">
        <v>20400</v>
      </c>
      <c r="N124" s="123">
        <v>34320</v>
      </c>
      <c r="O124" s="104">
        <v>34320</v>
      </c>
      <c r="P124" s="105"/>
      <c r="Q124" s="91">
        <v>0.4</v>
      </c>
      <c r="R124" s="91"/>
      <c r="S124" s="104">
        <f t="shared" si="28"/>
        <v>6.8639999999999999</v>
      </c>
      <c r="U124" s="93">
        <f t="shared" si="50"/>
        <v>4.9682723982486392</v>
      </c>
      <c r="V124" s="93">
        <v>176</v>
      </c>
      <c r="W124" s="93">
        <f t="shared" si="29"/>
        <v>4.9682723982486392</v>
      </c>
      <c r="X124" s="89">
        <f t="shared" si="30"/>
        <v>1.7890403513963097E-4</v>
      </c>
      <c r="Y124" s="93">
        <f t="shared" si="31"/>
        <v>0.48803357565858646</v>
      </c>
      <c r="Z124" s="92">
        <f t="shared" si="32"/>
        <v>5.4563059739072255</v>
      </c>
      <c r="AA124" s="93">
        <f t="shared" si="33"/>
        <v>7.0673832512074528E-2</v>
      </c>
      <c r="AB124" s="93">
        <f t="shared" si="34"/>
        <v>5.5269798064193001</v>
      </c>
      <c r="AC124" s="93">
        <f t="shared" si="35"/>
        <v>1.0352543726761563E-2</v>
      </c>
      <c r="AD124" s="93">
        <f t="shared" si="36"/>
        <v>5.5373323501460616</v>
      </c>
      <c r="AE124" s="93">
        <f t="shared" si="37"/>
        <v>1.5164758695771451E-3</v>
      </c>
      <c r="AF124" s="92">
        <f t="shared" si="38"/>
        <v>5.5388488260156388</v>
      </c>
      <c r="AG124" s="93">
        <f t="shared" si="39"/>
        <v>2.2213855103015283E-4</v>
      </c>
      <c r="AH124" s="92">
        <f t="shared" si="40"/>
        <v>5.5390709645666689</v>
      </c>
      <c r="AI124" s="93">
        <f t="shared" ref="AI124:AI155" si="53">+X124*$AI$16</f>
        <v>3.2539611636457825E-5</v>
      </c>
      <c r="AJ124" s="92">
        <f t="shared" si="51"/>
        <v>5.5391035041783052</v>
      </c>
      <c r="AK124" s="93">
        <f t="shared" ref="AK124:AK155" si="54">+V124</f>
        <v>176</v>
      </c>
      <c r="AL124" s="89" t="str">
        <f t="shared" si="42"/>
        <v>'pass'</v>
      </c>
    </row>
    <row r="125" spans="1:38" x14ac:dyDescent="0.2">
      <c r="A125" s="79"/>
      <c r="B125" s="117" t="s">
        <v>1793</v>
      </c>
      <c r="C125" s="124">
        <v>5</v>
      </c>
      <c r="D125" s="119">
        <f t="shared" si="49"/>
        <v>1.1962581046486589E-4</v>
      </c>
      <c r="E125" s="121" t="s">
        <v>1794</v>
      </c>
      <c r="F125" s="120" t="s">
        <v>1736</v>
      </c>
      <c r="G125" s="122" t="s">
        <v>1795</v>
      </c>
      <c r="H125" s="121"/>
      <c r="I125" s="118" t="s">
        <v>1747</v>
      </c>
      <c r="J125" s="121">
        <v>25</v>
      </c>
      <c r="K125" s="123">
        <v>0</v>
      </c>
      <c r="L125" s="123">
        <v>0</v>
      </c>
      <c r="M125" s="123">
        <v>15995</v>
      </c>
      <c r="N125" s="123">
        <v>64735</v>
      </c>
      <c r="O125" s="104">
        <v>64735</v>
      </c>
      <c r="P125" s="105"/>
      <c r="Q125" s="91">
        <v>0.4</v>
      </c>
      <c r="R125" s="91"/>
      <c r="S125" s="104">
        <f t="shared" si="28"/>
        <v>12.946999999999999</v>
      </c>
      <c r="U125" s="93">
        <f t="shared" si="50"/>
        <v>9.3712445716965522</v>
      </c>
      <c r="V125" s="93">
        <v>253</v>
      </c>
      <c r="W125" s="93">
        <f t="shared" si="29"/>
        <v>9.3712445716965522</v>
      </c>
      <c r="X125" s="89">
        <f t="shared" si="30"/>
        <v>3.3745200217843855E-4</v>
      </c>
      <c r="Y125" s="93">
        <f t="shared" si="31"/>
        <v>0.92053768998422481</v>
      </c>
      <c r="Z125" s="92">
        <f t="shared" si="32"/>
        <v>10.291782261680776</v>
      </c>
      <c r="AA125" s="93">
        <f t="shared" si="33"/>
        <v>0.13330625138896107</v>
      </c>
      <c r="AB125" s="93">
        <f t="shared" si="34"/>
        <v>10.425088513069737</v>
      </c>
      <c r="AC125" s="93">
        <f t="shared" si="35"/>
        <v>1.9527153792305064E-2</v>
      </c>
      <c r="AD125" s="93">
        <f t="shared" si="36"/>
        <v>10.444615666862042</v>
      </c>
      <c r="AE125" s="93">
        <f t="shared" si="37"/>
        <v>2.8604040039940698E-3</v>
      </c>
      <c r="AF125" s="92">
        <f t="shared" si="38"/>
        <v>10.447476070866037</v>
      </c>
      <c r="AG125" s="93">
        <f t="shared" si="39"/>
        <v>4.1900172205527224E-4</v>
      </c>
      <c r="AH125" s="92">
        <f t="shared" si="40"/>
        <v>10.447895072588091</v>
      </c>
      <c r="AI125" s="93">
        <f t="shared" si="53"/>
        <v>6.1376799512998168E-5</v>
      </c>
      <c r="AJ125" s="92">
        <f t="shared" si="51"/>
        <v>10.447956449387604</v>
      </c>
      <c r="AK125" s="93">
        <f t="shared" si="54"/>
        <v>253</v>
      </c>
      <c r="AL125" s="89" t="str">
        <f t="shared" si="42"/>
        <v>'pass'</v>
      </c>
    </row>
    <row r="126" spans="1:38" x14ac:dyDescent="0.2">
      <c r="A126" s="79"/>
      <c r="B126" s="117" t="s">
        <v>1796</v>
      </c>
      <c r="C126" s="124">
        <v>4</v>
      </c>
      <c r="D126" s="119">
        <f t="shared" ref="D126:D157" si="55">C126/$C$6</f>
        <v>9.5700648371892724E-5</v>
      </c>
      <c r="E126" s="121" t="s">
        <v>1797</v>
      </c>
      <c r="F126" s="120" t="s">
        <v>1736</v>
      </c>
      <c r="G126" s="122" t="s">
        <v>1798</v>
      </c>
      <c r="H126" s="121"/>
      <c r="I126" s="118" t="s">
        <v>1747</v>
      </c>
      <c r="J126" s="121">
        <v>25</v>
      </c>
      <c r="K126" s="123">
        <v>9206.1</v>
      </c>
      <c r="L126" s="123">
        <v>13512</v>
      </c>
      <c r="M126" s="123">
        <v>31228</v>
      </c>
      <c r="N126" s="123">
        <v>58647</v>
      </c>
      <c r="O126" s="104">
        <v>58647</v>
      </c>
      <c r="P126" s="105"/>
      <c r="Q126" s="91">
        <v>0.4</v>
      </c>
      <c r="R126" s="91"/>
      <c r="S126" s="104">
        <f t="shared" si="28"/>
        <v>11.729400000000002</v>
      </c>
      <c r="U126" s="93">
        <f t="shared" ref="U126:U157" si="56">+S126*$T$15</f>
        <v>8.4899263210981353</v>
      </c>
      <c r="V126" s="93">
        <v>253</v>
      </c>
      <c r="W126" s="93">
        <f t="shared" si="29"/>
        <v>8.4899263210981353</v>
      </c>
      <c r="X126" s="89">
        <f t="shared" si="30"/>
        <v>3.0571634466299355E-4</v>
      </c>
      <c r="Y126" s="93">
        <f t="shared" si="31"/>
        <v>0.83396576665644295</v>
      </c>
      <c r="Z126" s="92">
        <f t="shared" si="32"/>
        <v>9.3238920877545777</v>
      </c>
      <c r="AA126" s="93">
        <f t="shared" si="33"/>
        <v>0.12076947130931338</v>
      </c>
      <c r="AB126" s="93">
        <f t="shared" si="34"/>
        <v>9.4446615590638903</v>
      </c>
      <c r="AC126" s="93">
        <f t="shared" si="35"/>
        <v>1.7690723541473934E-2</v>
      </c>
      <c r="AD126" s="93">
        <f t="shared" si="36"/>
        <v>9.4623522826053641</v>
      </c>
      <c r="AE126" s="93">
        <f t="shared" si="37"/>
        <v>2.5913974453115043E-3</v>
      </c>
      <c r="AF126" s="92">
        <f t="shared" si="38"/>
        <v>9.4649436800506752</v>
      </c>
      <c r="AG126" s="93">
        <f t="shared" si="39"/>
        <v>3.7959672500773235E-4</v>
      </c>
      <c r="AH126" s="92">
        <f t="shared" si="40"/>
        <v>9.465323276775683</v>
      </c>
      <c r="AI126" s="93">
        <f t="shared" si="53"/>
        <v>5.5604621318279207E-5</v>
      </c>
      <c r="AJ126" s="92">
        <f t="shared" ref="AJ126:AJ157" si="57">IF(AH126+AI126&gt;V126,V126,AH126+AI126)</f>
        <v>9.465378881397001</v>
      </c>
      <c r="AK126" s="93">
        <f t="shared" si="54"/>
        <v>253</v>
      </c>
      <c r="AL126" s="89" t="str">
        <f t="shared" si="42"/>
        <v>'pass'</v>
      </c>
    </row>
    <row r="127" spans="1:38" x14ac:dyDescent="0.2">
      <c r="A127" s="79"/>
      <c r="B127" s="117" t="s">
        <v>1799</v>
      </c>
      <c r="C127" s="124">
        <v>5</v>
      </c>
      <c r="D127" s="119">
        <f t="shared" si="55"/>
        <v>1.1962581046486589E-4</v>
      </c>
      <c r="E127" s="121" t="s">
        <v>1800</v>
      </c>
      <c r="F127" s="120" t="s">
        <v>1736</v>
      </c>
      <c r="G127" s="122" t="s">
        <v>1801</v>
      </c>
      <c r="H127" s="121"/>
      <c r="I127" s="118" t="s">
        <v>1747</v>
      </c>
      <c r="J127" s="121">
        <v>25</v>
      </c>
      <c r="K127" s="123">
        <v>9206.1</v>
      </c>
      <c r="L127" s="123">
        <v>13512</v>
      </c>
      <c r="M127" s="123">
        <v>31607</v>
      </c>
      <c r="N127" s="123">
        <v>55220</v>
      </c>
      <c r="O127" s="104">
        <v>55220</v>
      </c>
      <c r="P127" s="105"/>
      <c r="Q127" s="91">
        <v>0.4</v>
      </c>
      <c r="R127" s="91"/>
      <c r="S127" s="104">
        <f t="shared" si="28"/>
        <v>11.044</v>
      </c>
      <c r="U127" s="93">
        <f t="shared" si="56"/>
        <v>7.9938228971821061</v>
      </c>
      <c r="V127" s="93">
        <v>253</v>
      </c>
      <c r="W127" s="93">
        <f t="shared" si="29"/>
        <v>7.9938228971821061</v>
      </c>
      <c r="X127" s="89">
        <f t="shared" si="30"/>
        <v>2.8785200525671396E-4</v>
      </c>
      <c r="Y127" s="93">
        <f t="shared" si="31"/>
        <v>0.78523350955323856</v>
      </c>
      <c r="Z127" s="92">
        <f t="shared" si="32"/>
        <v>8.7790564067353447</v>
      </c>
      <c r="AA127" s="93">
        <f t="shared" si="33"/>
        <v>0.11371238436237634</v>
      </c>
      <c r="AB127" s="93">
        <f t="shared" si="34"/>
        <v>8.8927687910977209</v>
      </c>
      <c r="AC127" s="93">
        <f t="shared" si="35"/>
        <v>1.665697740652021E-2</v>
      </c>
      <c r="AD127" s="93">
        <f t="shared" si="36"/>
        <v>8.9094257685042404</v>
      </c>
      <c r="AE127" s="93">
        <f t="shared" si="37"/>
        <v>2.4399707901529709E-3</v>
      </c>
      <c r="AF127" s="92">
        <f t="shared" si="38"/>
        <v>8.9118657392943934</v>
      </c>
      <c r="AG127" s="93">
        <f t="shared" si="39"/>
        <v>3.5741523274723309E-4</v>
      </c>
      <c r="AH127" s="92">
        <f t="shared" si="40"/>
        <v>8.9122231545271404</v>
      </c>
      <c r="AI127" s="93">
        <f t="shared" si="53"/>
        <v>5.2355400774044325E-5</v>
      </c>
      <c r="AJ127" s="92">
        <f t="shared" si="57"/>
        <v>8.9122755099279143</v>
      </c>
      <c r="AK127" s="93">
        <f t="shared" si="54"/>
        <v>253</v>
      </c>
      <c r="AL127" s="89" t="str">
        <f t="shared" si="42"/>
        <v>'pass'</v>
      </c>
    </row>
    <row r="128" spans="1:38" x14ac:dyDescent="0.2">
      <c r="A128" s="79"/>
      <c r="B128" s="117" t="s">
        <v>1802</v>
      </c>
      <c r="C128" s="124">
        <v>4</v>
      </c>
      <c r="D128" s="119">
        <f t="shared" si="55"/>
        <v>9.5700648371892724E-5</v>
      </c>
      <c r="E128" s="121" t="s">
        <v>1803</v>
      </c>
      <c r="F128" s="120" t="s">
        <v>1736</v>
      </c>
      <c r="G128" s="122" t="s">
        <v>1804</v>
      </c>
      <c r="H128" s="121"/>
      <c r="I128" s="118" t="s">
        <v>1747</v>
      </c>
      <c r="J128" s="121">
        <v>25</v>
      </c>
      <c r="K128" s="123">
        <v>9206.1</v>
      </c>
      <c r="L128" s="123">
        <v>13512</v>
      </c>
      <c r="M128" s="123">
        <v>28179</v>
      </c>
      <c r="N128" s="123">
        <v>49888</v>
      </c>
      <c r="O128" s="104">
        <v>49888</v>
      </c>
      <c r="P128" s="105"/>
      <c r="Q128" s="91">
        <v>0.4</v>
      </c>
      <c r="R128" s="91"/>
      <c r="S128" s="104">
        <f t="shared" si="28"/>
        <v>9.9776000000000007</v>
      </c>
      <c r="U128" s="93">
        <f t="shared" si="56"/>
        <v>7.2219456119996552</v>
      </c>
      <c r="V128" s="93">
        <v>253</v>
      </c>
      <c r="W128" s="93">
        <f t="shared" si="29"/>
        <v>7.2219456119996552</v>
      </c>
      <c r="X128" s="89">
        <f t="shared" si="30"/>
        <v>2.6005724082301605E-4</v>
      </c>
      <c r="Y128" s="93">
        <f t="shared" si="31"/>
        <v>0.70941197617877516</v>
      </c>
      <c r="Z128" s="92">
        <f t="shared" si="32"/>
        <v>7.9313575881784306</v>
      </c>
      <c r="AA128" s="93">
        <f t="shared" si="33"/>
        <v>0.10273240548841417</v>
      </c>
      <c r="AB128" s="93">
        <f t="shared" si="34"/>
        <v>8.0340899936668446</v>
      </c>
      <c r="AC128" s="93">
        <f t="shared" si="35"/>
        <v>1.5048592699320539E-2</v>
      </c>
      <c r="AD128" s="93">
        <f t="shared" si="36"/>
        <v>8.0491385863661655</v>
      </c>
      <c r="AE128" s="93">
        <f t="shared" si="37"/>
        <v>2.2043691195065447E-3</v>
      </c>
      <c r="AF128" s="92">
        <f t="shared" si="38"/>
        <v>8.0513429554856728</v>
      </c>
      <c r="AG128" s="93">
        <f t="shared" si="39"/>
        <v>3.2290349748811964E-4</v>
      </c>
      <c r="AH128" s="92">
        <f t="shared" si="40"/>
        <v>8.0516658589831618</v>
      </c>
      <c r="AI128" s="93">
        <f t="shared" si="53"/>
        <v>4.7300004234254316E-5</v>
      </c>
      <c r="AJ128" s="92">
        <f t="shared" si="57"/>
        <v>8.0517131589873969</v>
      </c>
      <c r="AK128" s="93">
        <f t="shared" si="54"/>
        <v>253</v>
      </c>
      <c r="AL128" s="89" t="str">
        <f t="shared" si="42"/>
        <v>'pass'</v>
      </c>
    </row>
    <row r="129" spans="1:38" x14ac:dyDescent="0.2">
      <c r="A129" s="79"/>
      <c r="B129" s="117" t="s">
        <v>1805</v>
      </c>
      <c r="C129" s="124">
        <v>518</v>
      </c>
      <c r="D129" s="119">
        <f t="shared" si="55"/>
        <v>1.2393233964160108E-2</v>
      </c>
      <c r="E129" s="121" t="s">
        <v>1806</v>
      </c>
      <c r="F129" s="120" t="s">
        <v>1807</v>
      </c>
      <c r="G129" s="122">
        <v>60</v>
      </c>
      <c r="H129" s="121"/>
      <c r="I129" s="118" t="s">
        <v>1808</v>
      </c>
      <c r="J129" s="121">
        <v>156</v>
      </c>
      <c r="K129" s="123">
        <v>4233723</v>
      </c>
      <c r="L129" s="123">
        <v>6446990</v>
      </c>
      <c r="M129" s="123">
        <v>3218302</v>
      </c>
      <c r="N129" s="123">
        <v>2616452</v>
      </c>
      <c r="O129" s="104">
        <v>6446990</v>
      </c>
      <c r="P129" s="105"/>
      <c r="Q129" s="91">
        <f>IF(J129&gt;25,0.15,0)</f>
        <v>0.15</v>
      </c>
      <c r="R129" s="91"/>
      <c r="S129" s="104">
        <f t="shared" si="28"/>
        <v>483.52424999999999</v>
      </c>
      <c r="U129" s="93">
        <f t="shared" si="56"/>
        <v>349.98254445787802</v>
      </c>
      <c r="V129" s="93">
        <v>886</v>
      </c>
      <c r="W129" s="93">
        <f t="shared" si="29"/>
        <v>349.98254445787802</v>
      </c>
      <c r="X129" s="89">
        <f t="shared" si="30"/>
        <v>1.2602628119589702E-2</v>
      </c>
      <c r="Y129" s="93">
        <f t="shared" si="31"/>
        <v>34.378797879536172</v>
      </c>
      <c r="Z129" s="92">
        <f t="shared" si="32"/>
        <v>384.36134233741421</v>
      </c>
      <c r="AA129" s="93">
        <f t="shared" si="33"/>
        <v>4.978512800120404</v>
      </c>
      <c r="AB129" s="93">
        <f t="shared" si="34"/>
        <v>389.33985513753464</v>
      </c>
      <c r="AC129" s="93">
        <f t="shared" si="35"/>
        <v>0.72926951355981784</v>
      </c>
      <c r="AD129" s="93">
        <f t="shared" si="36"/>
        <v>390.06912465109446</v>
      </c>
      <c r="AE129" s="93">
        <f t="shared" si="37"/>
        <v>0.10682588250005637</v>
      </c>
      <c r="AF129" s="92">
        <f t="shared" si="38"/>
        <v>390.17595053359452</v>
      </c>
      <c r="AG129" s="93">
        <f t="shared" si="39"/>
        <v>1.5648219155440176E-2</v>
      </c>
      <c r="AH129" s="92">
        <f t="shared" si="40"/>
        <v>390.19159875274994</v>
      </c>
      <c r="AI129" s="93">
        <f t="shared" si="53"/>
        <v>2.2922044451936983E-3</v>
      </c>
      <c r="AJ129" s="92">
        <f t="shared" si="57"/>
        <v>390.19389095719515</v>
      </c>
      <c r="AK129" s="93">
        <f t="shared" si="54"/>
        <v>886</v>
      </c>
      <c r="AL129" s="89" t="str">
        <f t="shared" si="42"/>
        <v>'pass'</v>
      </c>
    </row>
    <row r="130" spans="1:38" x14ac:dyDescent="0.2">
      <c r="A130" s="79"/>
      <c r="B130" s="117" t="s">
        <v>1809</v>
      </c>
      <c r="C130" s="124">
        <v>265</v>
      </c>
      <c r="D130" s="119">
        <f t="shared" si="55"/>
        <v>6.3401679546378929E-3</v>
      </c>
      <c r="E130" s="121" t="s">
        <v>1810</v>
      </c>
      <c r="F130" s="120" t="s">
        <v>1807</v>
      </c>
      <c r="G130" s="122">
        <v>70</v>
      </c>
      <c r="H130" s="121"/>
      <c r="I130" s="118" t="s">
        <v>1808</v>
      </c>
      <c r="J130" s="121">
        <v>200</v>
      </c>
      <c r="K130" s="123">
        <v>1003813</v>
      </c>
      <c r="L130" s="123">
        <v>170381</v>
      </c>
      <c r="M130" s="123">
        <v>2139149</v>
      </c>
      <c r="N130" s="123">
        <v>1653650</v>
      </c>
      <c r="O130" s="104">
        <v>2139149</v>
      </c>
      <c r="P130" s="105"/>
      <c r="Q130" s="91">
        <f>IF(J130&gt;25,0.15,0)</f>
        <v>0.15</v>
      </c>
      <c r="R130" s="91"/>
      <c r="S130" s="104">
        <f t="shared" si="28"/>
        <v>160.43617499999999</v>
      </c>
      <c r="U130" s="93">
        <f t="shared" si="56"/>
        <v>116.12625581775764</v>
      </c>
      <c r="V130" s="93">
        <v>910</v>
      </c>
      <c r="W130" s="93">
        <f t="shared" si="29"/>
        <v>116.12625581775764</v>
      </c>
      <c r="X130" s="89">
        <f t="shared" si="30"/>
        <v>4.1816257415308832E-3</v>
      </c>
      <c r="Y130" s="93">
        <f t="shared" si="31"/>
        <v>11.407086268973881</v>
      </c>
      <c r="Z130" s="92">
        <f t="shared" si="32"/>
        <v>127.53334208673152</v>
      </c>
      <c r="AA130" s="93">
        <f t="shared" si="33"/>
        <v>1.6518996737802851</v>
      </c>
      <c r="AB130" s="93">
        <f t="shared" si="34"/>
        <v>129.18524176051181</v>
      </c>
      <c r="AC130" s="93">
        <f t="shared" si="35"/>
        <v>0.24197589117742863</v>
      </c>
      <c r="AD130" s="93">
        <f t="shared" si="36"/>
        <v>129.42721765168923</v>
      </c>
      <c r="AE130" s="93">
        <f t="shared" si="37"/>
        <v>3.5445452796438813E-2</v>
      </c>
      <c r="AF130" s="92">
        <f t="shared" si="38"/>
        <v>129.46266310448567</v>
      </c>
      <c r="AG130" s="93">
        <f t="shared" si="39"/>
        <v>5.1921706654021018E-3</v>
      </c>
      <c r="AH130" s="92">
        <f t="shared" si="40"/>
        <v>129.46785527515107</v>
      </c>
      <c r="AI130" s="93">
        <f t="shared" si="53"/>
        <v>7.6056684541648948E-4</v>
      </c>
      <c r="AJ130" s="92">
        <f t="shared" si="57"/>
        <v>129.4686158419965</v>
      </c>
      <c r="AK130" s="93">
        <f t="shared" si="54"/>
        <v>910</v>
      </c>
      <c r="AL130" s="89" t="str">
        <f t="shared" si="42"/>
        <v>'pass'</v>
      </c>
    </row>
    <row r="131" spans="1:38" x14ac:dyDescent="0.2">
      <c r="A131" s="79"/>
      <c r="B131" s="117" t="s">
        <v>1811</v>
      </c>
      <c r="C131" s="124">
        <v>15</v>
      </c>
      <c r="D131" s="119">
        <f t="shared" si="55"/>
        <v>3.5887743139459768E-4</v>
      </c>
      <c r="E131" s="121" t="s">
        <v>1812</v>
      </c>
      <c r="F131" s="120" t="s">
        <v>1813</v>
      </c>
      <c r="G131" s="122" t="s">
        <v>1814</v>
      </c>
      <c r="H131" s="121"/>
      <c r="I131" s="118" t="s">
        <v>1815</v>
      </c>
      <c r="J131" s="121">
        <v>21.5</v>
      </c>
      <c r="K131" s="123">
        <v>48950</v>
      </c>
      <c r="L131" s="123">
        <v>28637</v>
      </c>
      <c r="M131" s="123">
        <v>50894</v>
      </c>
      <c r="N131" s="123">
        <v>45084</v>
      </c>
      <c r="O131" s="104">
        <v>50894</v>
      </c>
      <c r="P131" s="105"/>
      <c r="Q131" s="91">
        <v>0.4</v>
      </c>
      <c r="R131" s="91"/>
      <c r="S131" s="104">
        <f t="shared" si="28"/>
        <v>10.178800000000001</v>
      </c>
      <c r="U131" s="93">
        <f t="shared" si="56"/>
        <v>7.3675773728574097</v>
      </c>
      <c r="V131" s="93">
        <v>220</v>
      </c>
      <c r="W131" s="93">
        <f t="shared" si="29"/>
        <v>7.3675773728574097</v>
      </c>
      <c r="X131" s="89">
        <f t="shared" si="30"/>
        <v>2.6530133928893881E-4</v>
      </c>
      <c r="Y131" s="93">
        <f t="shared" si="31"/>
        <v>0.72371738926480489</v>
      </c>
      <c r="Z131" s="92">
        <f t="shared" si="32"/>
        <v>8.0912947621222138</v>
      </c>
      <c r="AA131" s="93">
        <f t="shared" si="33"/>
        <v>0.10480402190762009</v>
      </c>
      <c r="AB131" s="93">
        <f t="shared" si="34"/>
        <v>8.1960987840298341</v>
      </c>
      <c r="AC131" s="93">
        <f t="shared" si="35"/>
        <v>1.5352050129073515E-2</v>
      </c>
      <c r="AD131" s="93">
        <f t="shared" si="36"/>
        <v>8.2114508341589083</v>
      </c>
      <c r="AE131" s="93">
        <f t="shared" si="37"/>
        <v>2.2488205975017259E-3</v>
      </c>
      <c r="AF131" s="92">
        <f t="shared" si="38"/>
        <v>8.2136996547564092</v>
      </c>
      <c r="AG131" s="93">
        <f t="shared" si="39"/>
        <v>3.2941490140234848E-4</v>
      </c>
      <c r="AH131" s="92">
        <f t="shared" si="40"/>
        <v>8.214029069657812</v>
      </c>
      <c r="AI131" s="93">
        <f t="shared" si="53"/>
        <v>4.8253816859728574E-5</v>
      </c>
      <c r="AJ131" s="92">
        <f t="shared" si="57"/>
        <v>8.2140773234746725</v>
      </c>
      <c r="AK131" s="93">
        <f t="shared" si="54"/>
        <v>220</v>
      </c>
      <c r="AL131" s="89" t="str">
        <f t="shared" si="42"/>
        <v>'pass'</v>
      </c>
    </row>
    <row r="132" spans="1:38" x14ac:dyDescent="0.2">
      <c r="A132" s="79"/>
      <c r="B132" s="117" t="s">
        <v>1811</v>
      </c>
      <c r="C132" s="124">
        <v>15</v>
      </c>
      <c r="D132" s="119">
        <f t="shared" si="55"/>
        <v>3.5887743139459768E-4</v>
      </c>
      <c r="E132" s="121" t="s">
        <v>1816</v>
      </c>
      <c r="F132" s="120" t="s">
        <v>1813</v>
      </c>
      <c r="G132" s="122" t="s">
        <v>1817</v>
      </c>
      <c r="H132" s="121"/>
      <c r="I132" s="118" t="s">
        <v>1815</v>
      </c>
      <c r="J132" s="121">
        <v>21.5</v>
      </c>
      <c r="K132" s="123">
        <v>48950</v>
      </c>
      <c r="L132" s="123">
        <v>28637</v>
      </c>
      <c r="M132" s="123">
        <v>47478</v>
      </c>
      <c r="N132" s="123">
        <v>56357</v>
      </c>
      <c r="O132" s="104">
        <v>56357</v>
      </c>
      <c r="P132" s="105"/>
      <c r="Q132" s="91">
        <v>0.4</v>
      </c>
      <c r="R132" s="91"/>
      <c r="S132" s="104">
        <f t="shared" si="28"/>
        <v>11.271400000000002</v>
      </c>
      <c r="U132" s="93">
        <f t="shared" si="56"/>
        <v>8.1584186348513583</v>
      </c>
      <c r="V132" s="93">
        <v>220</v>
      </c>
      <c r="W132" s="93">
        <f t="shared" si="29"/>
        <v>8.1584186348513583</v>
      </c>
      <c r="X132" s="89">
        <f t="shared" si="30"/>
        <v>2.9377898334394476E-4</v>
      </c>
      <c r="Y132" s="93">
        <f t="shared" si="31"/>
        <v>0.80140175476080888</v>
      </c>
      <c r="Z132" s="92">
        <f t="shared" si="32"/>
        <v>8.9598203896121671</v>
      </c>
      <c r="AA132" s="93">
        <f t="shared" si="33"/>
        <v>0.11605376395346692</v>
      </c>
      <c r="AB132" s="93">
        <f t="shared" si="34"/>
        <v>9.0758741535656338</v>
      </c>
      <c r="AC132" s="93">
        <f t="shared" si="35"/>
        <v>1.699995066460086E-2</v>
      </c>
      <c r="AD132" s="93">
        <f t="shared" si="36"/>
        <v>9.0928741042302352</v>
      </c>
      <c r="AE132" s="93">
        <f t="shared" si="37"/>
        <v>2.490210681286689E-3</v>
      </c>
      <c r="AF132" s="92">
        <f t="shared" si="38"/>
        <v>9.0953643149115226</v>
      </c>
      <c r="AG132" s="93">
        <f t="shared" si="39"/>
        <v>3.6477454313538243E-4</v>
      </c>
      <c r="AH132" s="92">
        <f t="shared" si="40"/>
        <v>9.0957290894546574</v>
      </c>
      <c r="AI132" s="93">
        <f t="shared" si="53"/>
        <v>5.3433417628084318E-5</v>
      </c>
      <c r="AJ132" s="92">
        <f t="shared" si="57"/>
        <v>9.0957825228722857</v>
      </c>
      <c r="AK132" s="93">
        <f t="shared" si="54"/>
        <v>220</v>
      </c>
      <c r="AL132" s="89" t="str">
        <f t="shared" si="42"/>
        <v>'pass'</v>
      </c>
    </row>
    <row r="133" spans="1:38" x14ac:dyDescent="0.2">
      <c r="A133" s="79"/>
      <c r="B133" s="117" t="s">
        <v>1811</v>
      </c>
      <c r="C133" s="124">
        <v>15</v>
      </c>
      <c r="D133" s="119">
        <f t="shared" si="55"/>
        <v>3.5887743139459768E-4</v>
      </c>
      <c r="E133" s="121" t="s">
        <v>1818</v>
      </c>
      <c r="F133" s="120" t="s">
        <v>1813</v>
      </c>
      <c r="G133" s="122" t="s">
        <v>1819</v>
      </c>
      <c r="H133" s="121"/>
      <c r="I133" s="118" t="s">
        <v>1815</v>
      </c>
      <c r="J133" s="121">
        <v>21.5</v>
      </c>
      <c r="K133" s="123">
        <v>48950</v>
      </c>
      <c r="L133" s="123">
        <v>28637</v>
      </c>
      <c r="M133" s="123">
        <v>36890</v>
      </c>
      <c r="N133" s="123">
        <v>54651</v>
      </c>
      <c r="O133" s="104">
        <v>54651</v>
      </c>
      <c r="P133" s="105"/>
      <c r="Q133" s="91">
        <v>0.4</v>
      </c>
      <c r="R133" s="91"/>
      <c r="S133" s="104">
        <f t="shared" si="28"/>
        <v>10.930200000000001</v>
      </c>
      <c r="U133" s="93">
        <f t="shared" si="56"/>
        <v>7.9114526467565973</v>
      </c>
      <c r="V133" s="93">
        <v>220</v>
      </c>
      <c r="W133" s="93">
        <f t="shared" si="29"/>
        <v>7.9114526467565973</v>
      </c>
      <c r="X133" s="89">
        <f t="shared" si="30"/>
        <v>2.8488590980233023E-4</v>
      </c>
      <c r="Y133" s="93">
        <f t="shared" si="31"/>
        <v>0.77714227690318805</v>
      </c>
      <c r="Z133" s="92">
        <f t="shared" si="32"/>
        <v>8.6885949236597853</v>
      </c>
      <c r="AA133" s="93">
        <f t="shared" si="33"/>
        <v>0.11254066493640401</v>
      </c>
      <c r="AB133" s="93">
        <f t="shared" si="34"/>
        <v>8.8011355885961891</v>
      </c>
      <c r="AC133" s="93">
        <f t="shared" si="35"/>
        <v>1.6485339953707642E-2</v>
      </c>
      <c r="AD133" s="93">
        <f t="shared" si="36"/>
        <v>8.8176209285498963</v>
      </c>
      <c r="AE133" s="93">
        <f t="shared" si="37"/>
        <v>2.4148287514061937E-3</v>
      </c>
      <c r="AF133" s="92">
        <f t="shared" si="38"/>
        <v>8.8200357573013033</v>
      </c>
      <c r="AG133" s="93">
        <f t="shared" si="39"/>
        <v>3.5373234126890685E-4</v>
      </c>
      <c r="AH133" s="92">
        <f t="shared" si="40"/>
        <v>8.8203894896425723</v>
      </c>
      <c r="AI133" s="93">
        <f t="shared" si="53"/>
        <v>5.1815918285083239E-5</v>
      </c>
      <c r="AJ133" s="92">
        <f t="shared" si="57"/>
        <v>8.8204413055608573</v>
      </c>
      <c r="AK133" s="93">
        <f t="shared" si="54"/>
        <v>220</v>
      </c>
      <c r="AL133" s="89" t="str">
        <f t="shared" si="42"/>
        <v>'pass'</v>
      </c>
    </row>
    <row r="134" spans="1:38" x14ac:dyDescent="0.2">
      <c r="A134" s="79"/>
      <c r="B134" s="117" t="s">
        <v>1811</v>
      </c>
      <c r="C134" s="124">
        <v>15</v>
      </c>
      <c r="D134" s="119">
        <f t="shared" si="55"/>
        <v>3.5887743139459768E-4</v>
      </c>
      <c r="E134" s="121" t="s">
        <v>1820</v>
      </c>
      <c r="F134" s="120" t="s">
        <v>1813</v>
      </c>
      <c r="G134" s="122" t="s">
        <v>1821</v>
      </c>
      <c r="H134" s="121"/>
      <c r="I134" s="118" t="s">
        <v>1815</v>
      </c>
      <c r="J134" s="121">
        <v>21.5</v>
      </c>
      <c r="K134" s="123">
        <v>48950</v>
      </c>
      <c r="L134" s="123">
        <v>28637</v>
      </c>
      <c r="M134" s="123">
        <v>50210</v>
      </c>
      <c r="N134" s="123">
        <v>18102</v>
      </c>
      <c r="O134" s="104">
        <v>50210</v>
      </c>
      <c r="P134" s="105"/>
      <c r="Q134" s="91">
        <v>0.4</v>
      </c>
      <c r="R134" s="91"/>
      <c r="S134" s="104">
        <f t="shared" si="28"/>
        <v>10.042</v>
      </c>
      <c r="U134" s="93">
        <f t="shared" si="56"/>
        <v>7.2685593565286766</v>
      </c>
      <c r="V134" s="93">
        <v>220</v>
      </c>
      <c r="W134" s="93">
        <f t="shared" si="29"/>
        <v>7.2685593565286766</v>
      </c>
      <c r="X134" s="89">
        <f t="shared" si="30"/>
        <v>2.6173576935783425E-4</v>
      </c>
      <c r="Y134" s="93">
        <f t="shared" si="31"/>
        <v>0.7139908459737071</v>
      </c>
      <c r="Z134" s="92">
        <f t="shared" si="32"/>
        <v>7.9825502025023836</v>
      </c>
      <c r="AA134" s="93">
        <f t="shared" si="33"/>
        <v>0.10339548748342839</v>
      </c>
      <c r="AB134" s="93">
        <f t="shared" si="34"/>
        <v>8.0859456899858113</v>
      </c>
      <c r="AC134" s="93">
        <f t="shared" si="35"/>
        <v>1.5145723208645049E-2</v>
      </c>
      <c r="AD134" s="93">
        <f t="shared" si="36"/>
        <v>8.1010914131944567</v>
      </c>
      <c r="AE134" s="93">
        <f t="shared" si="37"/>
        <v>2.2185971273737896E-3</v>
      </c>
      <c r="AF134" s="92">
        <f t="shared" si="38"/>
        <v>8.103310010321831</v>
      </c>
      <c r="AG134" s="93">
        <f t="shared" si="39"/>
        <v>3.2498766454615308E-4</v>
      </c>
      <c r="AH134" s="92">
        <f t="shared" si="40"/>
        <v>8.1036349979863775</v>
      </c>
      <c r="AI134" s="93">
        <f t="shared" si="53"/>
        <v>4.760530012431665E-5</v>
      </c>
      <c r="AJ134" s="92">
        <f t="shared" si="57"/>
        <v>8.1036826032865026</v>
      </c>
      <c r="AK134" s="93">
        <f t="shared" si="54"/>
        <v>220</v>
      </c>
      <c r="AL134" s="89" t="str">
        <f t="shared" si="42"/>
        <v>'pass'</v>
      </c>
    </row>
    <row r="135" spans="1:38" x14ac:dyDescent="0.2">
      <c r="A135" s="79"/>
      <c r="B135" s="117" t="s">
        <v>1811</v>
      </c>
      <c r="C135" s="124">
        <v>15</v>
      </c>
      <c r="D135" s="119">
        <f t="shared" si="55"/>
        <v>3.5887743139459768E-4</v>
      </c>
      <c r="E135" s="121" t="s">
        <v>1822</v>
      </c>
      <c r="F135" s="120" t="s">
        <v>1813</v>
      </c>
      <c r="G135" s="122" t="s">
        <v>1823</v>
      </c>
      <c r="H135" s="121"/>
      <c r="I135" s="118" t="s">
        <v>1815</v>
      </c>
      <c r="J135" s="121">
        <v>21.5</v>
      </c>
      <c r="K135" s="123">
        <v>48950</v>
      </c>
      <c r="L135" s="123">
        <v>28637</v>
      </c>
      <c r="M135" s="123">
        <v>342</v>
      </c>
      <c r="N135" s="123">
        <v>48159</v>
      </c>
      <c r="O135" s="104">
        <v>48950</v>
      </c>
      <c r="P135" s="105"/>
      <c r="Q135" s="91">
        <v>0.4</v>
      </c>
      <c r="R135" s="91"/>
      <c r="S135" s="104">
        <f t="shared" si="28"/>
        <v>9.7899999999999991</v>
      </c>
      <c r="U135" s="93">
        <f t="shared" si="56"/>
        <v>7.0861577475020656</v>
      </c>
      <c r="V135" s="93">
        <v>220</v>
      </c>
      <c r="W135" s="93">
        <f t="shared" si="29"/>
        <v>7.0861577475020656</v>
      </c>
      <c r="X135" s="89">
        <f t="shared" si="30"/>
        <v>2.5516761422158905E-4</v>
      </c>
      <c r="Y135" s="93">
        <f t="shared" si="31"/>
        <v>0.6960735293848429</v>
      </c>
      <c r="Z135" s="92">
        <f t="shared" si="32"/>
        <v>7.7822312768869084</v>
      </c>
      <c r="AA135" s="93">
        <f t="shared" si="33"/>
        <v>0.10080081880728578</v>
      </c>
      <c r="AB135" s="93">
        <f t="shared" si="34"/>
        <v>7.8830320956941939</v>
      </c>
      <c r="AC135" s="93">
        <f t="shared" si="35"/>
        <v>1.4765647302592614E-2</v>
      </c>
      <c r="AD135" s="93">
        <f t="shared" si="36"/>
        <v>7.8977977429967865</v>
      </c>
      <c r="AE135" s="93">
        <f t="shared" si="37"/>
        <v>2.1629223139802227E-3</v>
      </c>
      <c r="AF135" s="92">
        <f t="shared" si="38"/>
        <v>7.8999606653107666</v>
      </c>
      <c r="AG135" s="93">
        <f t="shared" si="39"/>
        <v>3.1683222823210901E-4</v>
      </c>
      <c r="AH135" s="92">
        <f t="shared" si="40"/>
        <v>7.9002774975389984</v>
      </c>
      <c r="AI135" s="93">
        <f t="shared" si="53"/>
        <v>4.6410664032768372E-5</v>
      </c>
      <c r="AJ135" s="92">
        <f t="shared" si="57"/>
        <v>7.9003239082030312</v>
      </c>
      <c r="AK135" s="93">
        <f t="shared" si="54"/>
        <v>220</v>
      </c>
      <c r="AL135" s="89" t="str">
        <f t="shared" si="42"/>
        <v>'pass'</v>
      </c>
    </row>
    <row r="136" spans="1:38" x14ac:dyDescent="0.2">
      <c r="A136" s="79"/>
      <c r="B136" s="117" t="s">
        <v>1811</v>
      </c>
      <c r="C136" s="124">
        <v>15</v>
      </c>
      <c r="D136" s="119">
        <f t="shared" si="55"/>
        <v>3.5887743139459768E-4</v>
      </c>
      <c r="E136" s="121" t="s">
        <v>1824</v>
      </c>
      <c r="F136" s="120" t="s">
        <v>1813</v>
      </c>
      <c r="G136" s="122" t="s">
        <v>1825</v>
      </c>
      <c r="H136" s="121"/>
      <c r="I136" s="118" t="s">
        <v>1815</v>
      </c>
      <c r="J136" s="121">
        <v>21.5</v>
      </c>
      <c r="K136" s="123">
        <v>48950</v>
      </c>
      <c r="L136" s="123">
        <v>28637</v>
      </c>
      <c r="M136" s="123">
        <v>342</v>
      </c>
      <c r="N136" s="123">
        <v>46455</v>
      </c>
      <c r="O136" s="104">
        <v>48950</v>
      </c>
      <c r="P136" s="105"/>
      <c r="Q136" s="91">
        <v>0.4</v>
      </c>
      <c r="R136" s="91"/>
      <c r="S136" s="104">
        <f t="shared" si="28"/>
        <v>9.7899999999999991</v>
      </c>
      <c r="U136" s="93">
        <f t="shared" si="56"/>
        <v>7.0861577475020656</v>
      </c>
      <c r="V136" s="93">
        <v>220</v>
      </c>
      <c r="W136" s="93">
        <f t="shared" si="29"/>
        <v>7.0861577475020656</v>
      </c>
      <c r="X136" s="89">
        <f t="shared" si="30"/>
        <v>2.5516761422158905E-4</v>
      </c>
      <c r="Y136" s="93">
        <f t="shared" si="31"/>
        <v>0.6960735293848429</v>
      </c>
      <c r="Z136" s="92">
        <f t="shared" si="32"/>
        <v>7.7822312768869084</v>
      </c>
      <c r="AA136" s="93">
        <f t="shared" si="33"/>
        <v>0.10080081880728578</v>
      </c>
      <c r="AB136" s="93">
        <f t="shared" si="34"/>
        <v>7.8830320956941939</v>
      </c>
      <c r="AC136" s="93">
        <f t="shared" si="35"/>
        <v>1.4765647302592614E-2</v>
      </c>
      <c r="AD136" s="93">
        <f t="shared" si="36"/>
        <v>7.8977977429967865</v>
      </c>
      <c r="AE136" s="93">
        <f t="shared" si="37"/>
        <v>2.1629223139802227E-3</v>
      </c>
      <c r="AF136" s="92">
        <f t="shared" si="38"/>
        <v>7.8999606653107666</v>
      </c>
      <c r="AG136" s="93">
        <f t="shared" si="39"/>
        <v>3.1683222823210901E-4</v>
      </c>
      <c r="AH136" s="92">
        <f t="shared" si="40"/>
        <v>7.9002774975389984</v>
      </c>
      <c r="AI136" s="93">
        <f t="shared" si="53"/>
        <v>4.6410664032768372E-5</v>
      </c>
      <c r="AJ136" s="92">
        <f t="shared" si="57"/>
        <v>7.9003239082030312</v>
      </c>
      <c r="AK136" s="93">
        <f t="shared" si="54"/>
        <v>220</v>
      </c>
      <c r="AL136" s="89" t="str">
        <f t="shared" si="42"/>
        <v>'pass'</v>
      </c>
    </row>
    <row r="137" spans="1:38" x14ac:dyDescent="0.2">
      <c r="A137" s="79"/>
      <c r="B137" s="117" t="s">
        <v>1811</v>
      </c>
      <c r="C137" s="124">
        <v>15</v>
      </c>
      <c r="D137" s="119">
        <f t="shared" si="55"/>
        <v>3.5887743139459768E-4</v>
      </c>
      <c r="E137" s="121" t="s">
        <v>1826</v>
      </c>
      <c r="F137" s="120" t="s">
        <v>1813</v>
      </c>
      <c r="G137" s="122" t="s">
        <v>1827</v>
      </c>
      <c r="H137" s="121"/>
      <c r="I137" s="118" t="s">
        <v>1815</v>
      </c>
      <c r="J137" s="121">
        <v>21.5</v>
      </c>
      <c r="K137" s="123">
        <v>48950</v>
      </c>
      <c r="L137" s="123">
        <v>28637</v>
      </c>
      <c r="M137" s="123">
        <v>0</v>
      </c>
      <c r="N137" s="123">
        <v>0</v>
      </c>
      <c r="O137" s="104">
        <v>48950</v>
      </c>
      <c r="P137" s="105"/>
      <c r="Q137" s="91">
        <v>0.4</v>
      </c>
      <c r="R137" s="91"/>
      <c r="S137" s="104">
        <f t="shared" si="28"/>
        <v>9.7899999999999991</v>
      </c>
      <c r="U137" s="93">
        <f t="shared" si="56"/>
        <v>7.0861577475020656</v>
      </c>
      <c r="V137" s="93">
        <v>220</v>
      </c>
      <c r="W137" s="93">
        <f t="shared" si="29"/>
        <v>7.0861577475020656</v>
      </c>
      <c r="X137" s="89">
        <f t="shared" si="30"/>
        <v>2.5516761422158905E-4</v>
      </c>
      <c r="Y137" s="93">
        <f t="shared" si="31"/>
        <v>0.6960735293848429</v>
      </c>
      <c r="Z137" s="92">
        <f t="shared" si="32"/>
        <v>7.7822312768869084</v>
      </c>
      <c r="AA137" s="93">
        <f t="shared" si="33"/>
        <v>0.10080081880728578</v>
      </c>
      <c r="AB137" s="93">
        <f t="shared" si="34"/>
        <v>7.8830320956941939</v>
      </c>
      <c r="AC137" s="93">
        <f t="shared" si="35"/>
        <v>1.4765647302592614E-2</v>
      </c>
      <c r="AD137" s="93">
        <f t="shared" si="36"/>
        <v>7.8977977429967865</v>
      </c>
      <c r="AE137" s="93">
        <f t="shared" si="37"/>
        <v>2.1629223139802227E-3</v>
      </c>
      <c r="AF137" s="92">
        <f t="shared" si="38"/>
        <v>7.8999606653107666</v>
      </c>
      <c r="AG137" s="93">
        <f t="shared" si="39"/>
        <v>3.1683222823210901E-4</v>
      </c>
      <c r="AH137" s="92">
        <f t="shared" si="40"/>
        <v>7.9002774975389984</v>
      </c>
      <c r="AI137" s="93">
        <f t="shared" si="53"/>
        <v>4.6410664032768372E-5</v>
      </c>
      <c r="AJ137" s="92">
        <f t="shared" si="57"/>
        <v>7.9003239082030312</v>
      </c>
      <c r="AK137" s="93">
        <f t="shared" si="54"/>
        <v>220</v>
      </c>
      <c r="AL137" s="89" t="str">
        <f t="shared" si="42"/>
        <v>'pass'</v>
      </c>
    </row>
    <row r="138" spans="1:38" x14ac:dyDescent="0.2">
      <c r="A138" s="79"/>
      <c r="B138" s="117" t="s">
        <v>1811</v>
      </c>
      <c r="C138" s="124">
        <v>15</v>
      </c>
      <c r="D138" s="119">
        <f t="shared" si="55"/>
        <v>3.5887743139459768E-4</v>
      </c>
      <c r="E138" s="121" t="s">
        <v>1828</v>
      </c>
      <c r="F138" s="120" t="s">
        <v>1813</v>
      </c>
      <c r="G138" s="122" t="s">
        <v>1829</v>
      </c>
      <c r="H138" s="121"/>
      <c r="I138" s="118" t="s">
        <v>1815</v>
      </c>
      <c r="J138" s="121">
        <v>21.5</v>
      </c>
      <c r="K138" s="123">
        <v>48950</v>
      </c>
      <c r="L138" s="123">
        <v>28637</v>
      </c>
      <c r="M138" s="123">
        <v>342</v>
      </c>
      <c r="N138" s="123">
        <v>0</v>
      </c>
      <c r="O138" s="104">
        <v>48950</v>
      </c>
      <c r="P138" s="105"/>
      <c r="Q138" s="91">
        <v>0.4</v>
      </c>
      <c r="R138" s="91"/>
      <c r="S138" s="104">
        <f t="shared" si="28"/>
        <v>9.7899999999999991</v>
      </c>
      <c r="U138" s="93">
        <f t="shared" si="56"/>
        <v>7.0861577475020656</v>
      </c>
      <c r="V138" s="93">
        <v>220</v>
      </c>
      <c r="W138" s="93">
        <f t="shared" si="29"/>
        <v>7.0861577475020656</v>
      </c>
      <c r="X138" s="89">
        <f t="shared" si="30"/>
        <v>2.5516761422158905E-4</v>
      </c>
      <c r="Y138" s="93">
        <f t="shared" si="31"/>
        <v>0.6960735293848429</v>
      </c>
      <c r="Z138" s="92">
        <f t="shared" si="32"/>
        <v>7.7822312768869084</v>
      </c>
      <c r="AA138" s="93">
        <f t="shared" si="33"/>
        <v>0.10080081880728578</v>
      </c>
      <c r="AB138" s="93">
        <f t="shared" si="34"/>
        <v>7.8830320956941939</v>
      </c>
      <c r="AC138" s="93">
        <f t="shared" si="35"/>
        <v>1.4765647302592614E-2</v>
      </c>
      <c r="AD138" s="93">
        <f t="shared" si="36"/>
        <v>7.8977977429967865</v>
      </c>
      <c r="AE138" s="93">
        <f t="shared" si="37"/>
        <v>2.1629223139802227E-3</v>
      </c>
      <c r="AF138" s="92">
        <f t="shared" si="38"/>
        <v>7.8999606653107666</v>
      </c>
      <c r="AG138" s="93">
        <f t="shared" si="39"/>
        <v>3.1683222823210901E-4</v>
      </c>
      <c r="AH138" s="92">
        <f t="shared" si="40"/>
        <v>7.9002774975389984</v>
      </c>
      <c r="AI138" s="93">
        <f t="shared" si="53"/>
        <v>4.6410664032768372E-5</v>
      </c>
      <c r="AJ138" s="92">
        <f t="shared" si="57"/>
        <v>7.9003239082030312</v>
      </c>
      <c r="AK138" s="93">
        <f t="shared" si="54"/>
        <v>220</v>
      </c>
      <c r="AL138" s="89" t="str">
        <f t="shared" si="42"/>
        <v>'pass'</v>
      </c>
    </row>
    <row r="139" spans="1:38" x14ac:dyDescent="0.2">
      <c r="A139" s="79"/>
      <c r="B139" s="117" t="s">
        <v>1830</v>
      </c>
      <c r="C139" s="124">
        <v>15</v>
      </c>
      <c r="D139" s="119">
        <f t="shared" si="55"/>
        <v>3.5887743139459768E-4</v>
      </c>
      <c r="E139" s="121" t="s">
        <v>1831</v>
      </c>
      <c r="F139" s="120" t="s">
        <v>1813</v>
      </c>
      <c r="G139" s="122" t="s">
        <v>1746</v>
      </c>
      <c r="H139" s="121"/>
      <c r="I139" s="118" t="s">
        <v>1815</v>
      </c>
      <c r="J139" s="121">
        <v>21.5</v>
      </c>
      <c r="K139" s="123">
        <v>48950</v>
      </c>
      <c r="L139" s="123">
        <v>28637</v>
      </c>
      <c r="M139" s="123">
        <v>135090</v>
      </c>
      <c r="N139" s="123">
        <v>86417</v>
      </c>
      <c r="O139" s="104">
        <v>135090</v>
      </c>
      <c r="P139" s="105"/>
      <c r="Q139" s="91">
        <v>0.4</v>
      </c>
      <c r="R139" s="91"/>
      <c r="S139" s="104">
        <f t="shared" si="28"/>
        <v>27.018000000000001</v>
      </c>
      <c r="U139" s="93">
        <f t="shared" si="56"/>
        <v>19.556058224924499</v>
      </c>
      <c r="V139" s="93">
        <v>220</v>
      </c>
      <c r="W139" s="93">
        <f t="shared" si="29"/>
        <v>19.556058224924499</v>
      </c>
      <c r="X139" s="89">
        <f t="shared" si="30"/>
        <v>7.0420006139314544E-4</v>
      </c>
      <c r="Y139" s="93">
        <f t="shared" si="31"/>
        <v>1.9209922999917965</v>
      </c>
      <c r="Z139" s="92">
        <f t="shared" si="32"/>
        <v>21.477050524916294</v>
      </c>
      <c r="AA139" s="93">
        <f t="shared" si="33"/>
        <v>0.27818554877785984</v>
      </c>
      <c r="AB139" s="93">
        <f t="shared" si="34"/>
        <v>21.755236073694153</v>
      </c>
      <c r="AC139" s="93">
        <f t="shared" si="35"/>
        <v>4.0749566784621785E-2</v>
      </c>
      <c r="AD139" s="93">
        <f t="shared" si="36"/>
        <v>21.795985640478776</v>
      </c>
      <c r="AE139" s="93">
        <f t="shared" si="37"/>
        <v>5.9691353502673824E-3</v>
      </c>
      <c r="AF139" s="92">
        <f t="shared" si="38"/>
        <v>21.801954775829042</v>
      </c>
      <c r="AG139" s="93">
        <f t="shared" si="39"/>
        <v>8.7437927909858246E-4</v>
      </c>
      <c r="AH139" s="92">
        <f t="shared" si="40"/>
        <v>21.802829155108142</v>
      </c>
      <c r="AI139" s="93">
        <f t="shared" si="53"/>
        <v>1.2808205524385456E-4</v>
      </c>
      <c r="AJ139" s="92">
        <f t="shared" si="57"/>
        <v>21.802957237163387</v>
      </c>
      <c r="AK139" s="93">
        <f t="shared" si="54"/>
        <v>220</v>
      </c>
      <c r="AL139" s="89" t="str">
        <f t="shared" si="42"/>
        <v>'pass'</v>
      </c>
    </row>
    <row r="140" spans="1:38" x14ac:dyDescent="0.2">
      <c r="A140" s="79"/>
      <c r="B140" s="117" t="s">
        <v>1830</v>
      </c>
      <c r="C140" s="124">
        <v>15</v>
      </c>
      <c r="D140" s="119">
        <f t="shared" si="55"/>
        <v>3.5887743139459768E-4</v>
      </c>
      <c r="E140" s="121" t="s">
        <v>1832</v>
      </c>
      <c r="F140" s="120" t="s">
        <v>1813</v>
      </c>
      <c r="G140" s="122" t="s">
        <v>1750</v>
      </c>
      <c r="H140" s="121"/>
      <c r="I140" s="118" t="s">
        <v>1815</v>
      </c>
      <c r="J140" s="121">
        <v>21.5</v>
      </c>
      <c r="K140" s="123">
        <v>48950</v>
      </c>
      <c r="L140" s="123">
        <v>28637</v>
      </c>
      <c r="M140" s="123">
        <v>76852</v>
      </c>
      <c r="N140" s="123">
        <v>55333</v>
      </c>
      <c r="O140" s="104">
        <v>76852</v>
      </c>
      <c r="P140" s="105"/>
      <c r="Q140" s="91">
        <v>0.4</v>
      </c>
      <c r="R140" s="91"/>
      <c r="S140" s="104">
        <f t="shared" si="28"/>
        <v>15.370400000000002</v>
      </c>
      <c r="U140" s="93">
        <f t="shared" si="56"/>
        <v>11.125340045169128</v>
      </c>
      <c r="V140" s="93">
        <v>220</v>
      </c>
      <c r="W140" s="93">
        <f t="shared" si="29"/>
        <v>11.125340045169128</v>
      </c>
      <c r="X140" s="89">
        <f t="shared" si="30"/>
        <v>4.006157607386632E-4</v>
      </c>
      <c r="Y140" s="93">
        <f t="shared" si="31"/>
        <v>1.0928425511804689</v>
      </c>
      <c r="Z140" s="92">
        <f t="shared" si="32"/>
        <v>12.218182596349598</v>
      </c>
      <c r="AA140" s="93">
        <f t="shared" si="33"/>
        <v>0.15825831515786573</v>
      </c>
      <c r="AB140" s="93">
        <f t="shared" si="34"/>
        <v>12.376440911507464</v>
      </c>
      <c r="AC140" s="93">
        <f t="shared" si="35"/>
        <v>2.318221708884265E-2</v>
      </c>
      <c r="AD140" s="93">
        <f t="shared" si="36"/>
        <v>12.399623128596307</v>
      </c>
      <c r="AE140" s="93">
        <f t="shared" si="37"/>
        <v>3.3958101261288682E-3</v>
      </c>
      <c r="AF140" s="92">
        <f t="shared" si="38"/>
        <v>12.403018938722436</v>
      </c>
      <c r="AG140" s="93">
        <f t="shared" si="39"/>
        <v>4.9742983460866275E-4</v>
      </c>
      <c r="AH140" s="92">
        <f t="shared" si="40"/>
        <v>12.403516368557044</v>
      </c>
      <c r="AI140" s="93">
        <f t="shared" si="53"/>
        <v>7.2865216593387446E-5</v>
      </c>
      <c r="AJ140" s="92">
        <f t="shared" si="57"/>
        <v>12.403589233773637</v>
      </c>
      <c r="AK140" s="93">
        <f t="shared" si="54"/>
        <v>220</v>
      </c>
      <c r="AL140" s="89" t="str">
        <f t="shared" si="42"/>
        <v>'pass'</v>
      </c>
    </row>
    <row r="141" spans="1:38" x14ac:dyDescent="0.2">
      <c r="A141" s="79"/>
      <c r="B141" s="117" t="s">
        <v>1830</v>
      </c>
      <c r="C141" s="124">
        <v>15</v>
      </c>
      <c r="D141" s="119">
        <f t="shared" si="55"/>
        <v>3.5887743139459768E-4</v>
      </c>
      <c r="E141" s="121" t="s">
        <v>1833</v>
      </c>
      <c r="F141" s="120" t="s">
        <v>1813</v>
      </c>
      <c r="G141" s="122" t="s">
        <v>1753</v>
      </c>
      <c r="H141" s="121"/>
      <c r="I141" s="118" t="s">
        <v>1815</v>
      </c>
      <c r="J141" s="121">
        <v>21.5</v>
      </c>
      <c r="K141" s="123">
        <v>48950</v>
      </c>
      <c r="L141" s="123">
        <v>28637</v>
      </c>
      <c r="M141" s="123">
        <v>64894</v>
      </c>
      <c r="N141" s="123">
        <v>76512</v>
      </c>
      <c r="O141" s="104">
        <v>76512</v>
      </c>
      <c r="P141" s="105"/>
      <c r="Q141" s="91">
        <v>0.4</v>
      </c>
      <c r="R141" s="91"/>
      <c r="S141" s="104">
        <f t="shared" si="28"/>
        <v>15.302400000000002</v>
      </c>
      <c r="U141" s="93">
        <f t="shared" si="56"/>
        <v>11.076120563368297</v>
      </c>
      <c r="V141" s="93">
        <v>220</v>
      </c>
      <c r="W141" s="93">
        <f t="shared" si="29"/>
        <v>11.076120563368297</v>
      </c>
      <c r="X141" s="89">
        <f t="shared" si="30"/>
        <v>3.9884340141618433E-4</v>
      </c>
      <c r="Y141" s="93">
        <f t="shared" si="31"/>
        <v>1.0880077197199818</v>
      </c>
      <c r="Z141" s="92">
        <f t="shared" si="32"/>
        <v>12.16412828308828</v>
      </c>
      <c r="AA141" s="93">
        <f t="shared" si="33"/>
        <v>0.15755816646747806</v>
      </c>
      <c r="AB141" s="93">
        <f t="shared" si="34"/>
        <v>12.321686449555758</v>
      </c>
      <c r="AC141" s="93">
        <f t="shared" si="35"/>
        <v>2.3079656923717388E-2</v>
      </c>
      <c r="AD141" s="93">
        <f t="shared" si="36"/>
        <v>12.344766106479476</v>
      </c>
      <c r="AE141" s="93">
        <f t="shared" si="37"/>
        <v>3.3807867637845727E-3</v>
      </c>
      <c r="AF141" s="92">
        <f t="shared" si="38"/>
        <v>12.348146893243261</v>
      </c>
      <c r="AG141" s="93">
        <f t="shared" si="39"/>
        <v>4.9522916131757152E-4</v>
      </c>
      <c r="AH141" s="92">
        <f t="shared" si="40"/>
        <v>12.348642122404579</v>
      </c>
      <c r="AI141" s="93">
        <f t="shared" si="53"/>
        <v>7.2542854473445841E-5</v>
      </c>
      <c r="AJ141" s="92">
        <f t="shared" si="57"/>
        <v>12.348714665259052</v>
      </c>
      <c r="AK141" s="93">
        <f t="shared" si="54"/>
        <v>220</v>
      </c>
      <c r="AL141" s="89" t="str">
        <f t="shared" si="42"/>
        <v>'pass'</v>
      </c>
    </row>
    <row r="142" spans="1:38" x14ac:dyDescent="0.2">
      <c r="A142" s="79"/>
      <c r="B142" s="117" t="s">
        <v>1830</v>
      </c>
      <c r="C142" s="124">
        <v>15</v>
      </c>
      <c r="D142" s="119">
        <f t="shared" si="55"/>
        <v>3.5887743139459768E-4</v>
      </c>
      <c r="E142" s="121" t="s">
        <v>1834</v>
      </c>
      <c r="F142" s="120" t="s">
        <v>1813</v>
      </c>
      <c r="G142" s="122" t="s">
        <v>1756</v>
      </c>
      <c r="H142" s="121"/>
      <c r="I142" s="118" t="s">
        <v>1815</v>
      </c>
      <c r="J142" s="121">
        <v>21.5</v>
      </c>
      <c r="K142" s="123">
        <v>48950</v>
      </c>
      <c r="L142" s="123">
        <v>28637</v>
      </c>
      <c r="M142" s="123">
        <v>80607</v>
      </c>
      <c r="N142" s="123">
        <v>96321</v>
      </c>
      <c r="O142" s="104">
        <v>96321</v>
      </c>
      <c r="P142" s="105"/>
      <c r="Q142" s="91">
        <v>0.4</v>
      </c>
      <c r="R142" s="91"/>
      <c r="S142" s="104">
        <f t="shared" si="28"/>
        <v>19.264200000000002</v>
      </c>
      <c r="U142" s="93">
        <f t="shared" si="56"/>
        <v>13.943734430993802</v>
      </c>
      <c r="V142" s="93">
        <v>220</v>
      </c>
      <c r="W142" s="93">
        <f t="shared" si="29"/>
        <v>13.943734430993802</v>
      </c>
      <c r="X142" s="89">
        <f t="shared" si="30"/>
        <v>5.0210418323672491E-4</v>
      </c>
      <c r="Y142" s="93">
        <f t="shared" si="31"/>
        <v>1.3696935326634825</v>
      </c>
      <c r="Z142" s="92">
        <f t="shared" si="32"/>
        <v>15.313427963657285</v>
      </c>
      <c r="AA142" s="93">
        <f t="shared" si="33"/>
        <v>0.19835006472597705</v>
      </c>
      <c r="AB142" s="93">
        <f t="shared" si="34"/>
        <v>15.511778028383262</v>
      </c>
      <c r="AC142" s="93">
        <f t="shared" si="35"/>
        <v>2.9054993132441746E-2</v>
      </c>
      <c r="AD142" s="93">
        <f t="shared" si="36"/>
        <v>15.540833021515704</v>
      </c>
      <c r="AE142" s="93">
        <f t="shared" si="37"/>
        <v>4.2560743657791443E-3</v>
      </c>
      <c r="AF142" s="92">
        <f t="shared" si="38"/>
        <v>15.545089095881483</v>
      </c>
      <c r="AG142" s="93">
        <f t="shared" si="39"/>
        <v>6.2344427079765016E-4</v>
      </c>
      <c r="AH142" s="92">
        <f t="shared" si="40"/>
        <v>15.54571254015228</v>
      </c>
      <c r="AI142" s="93">
        <f t="shared" si="53"/>
        <v>9.1324240455572698E-5</v>
      </c>
      <c r="AJ142" s="92">
        <f t="shared" si="57"/>
        <v>15.545803864392736</v>
      </c>
      <c r="AK142" s="93">
        <f t="shared" si="54"/>
        <v>220</v>
      </c>
      <c r="AL142" s="89" t="str">
        <f t="shared" si="42"/>
        <v>'pass'</v>
      </c>
    </row>
    <row r="143" spans="1:38" x14ac:dyDescent="0.2">
      <c r="A143" s="79"/>
      <c r="B143" s="117" t="s">
        <v>1830</v>
      </c>
      <c r="C143" s="124">
        <v>15</v>
      </c>
      <c r="D143" s="119">
        <f t="shared" si="55"/>
        <v>3.5887743139459768E-4</v>
      </c>
      <c r="E143" s="121" t="s">
        <v>1835</v>
      </c>
      <c r="F143" s="120" t="s">
        <v>1813</v>
      </c>
      <c r="G143" s="122" t="s">
        <v>1836</v>
      </c>
      <c r="H143" s="121"/>
      <c r="I143" s="118" t="s">
        <v>1815</v>
      </c>
      <c r="J143" s="121">
        <v>21.5</v>
      </c>
      <c r="K143" s="123">
        <v>48950</v>
      </c>
      <c r="L143" s="123">
        <v>28637</v>
      </c>
      <c r="M143" s="123">
        <v>79583</v>
      </c>
      <c r="N143" s="123">
        <v>98372</v>
      </c>
      <c r="O143" s="104">
        <v>98372</v>
      </c>
      <c r="P143" s="105"/>
      <c r="Q143" s="91">
        <v>0.4</v>
      </c>
      <c r="R143" s="91"/>
      <c r="S143" s="104">
        <f t="shared" si="28"/>
        <v>19.674400000000002</v>
      </c>
      <c r="U143" s="93">
        <f t="shared" si="56"/>
        <v>14.24064371679823</v>
      </c>
      <c r="V143" s="93">
        <v>220</v>
      </c>
      <c r="W143" s="93">
        <f t="shared" si="29"/>
        <v>14.24064371679823</v>
      </c>
      <c r="X143" s="89">
        <f t="shared" si="30"/>
        <v>5.1279568020850175E-4</v>
      </c>
      <c r="Y143" s="93">
        <f t="shared" si="31"/>
        <v>1.3988589424442446</v>
      </c>
      <c r="Z143" s="92">
        <f t="shared" si="32"/>
        <v>15.639502659242474</v>
      </c>
      <c r="AA143" s="93">
        <f t="shared" si="33"/>
        <v>0.20257360873769803</v>
      </c>
      <c r="AB143" s="93">
        <f t="shared" si="34"/>
        <v>15.842076267980172</v>
      </c>
      <c r="AC143" s="93">
        <f t="shared" si="35"/>
        <v>2.9673672246182652E-2</v>
      </c>
      <c r="AD143" s="93">
        <f t="shared" si="36"/>
        <v>15.871749940226355</v>
      </c>
      <c r="AE143" s="93">
        <f t="shared" si="37"/>
        <v>4.3467005898031154E-3</v>
      </c>
      <c r="AF143" s="92">
        <f t="shared" si="38"/>
        <v>15.876096640816158</v>
      </c>
      <c r="AG143" s="93">
        <f t="shared" si="39"/>
        <v>6.36719508797733E-4</v>
      </c>
      <c r="AH143" s="92">
        <f t="shared" si="40"/>
        <v>15.876733360324955</v>
      </c>
      <c r="AI143" s="93">
        <f t="shared" si="53"/>
        <v>9.326884253792627E-5</v>
      </c>
      <c r="AJ143" s="92">
        <f t="shared" si="57"/>
        <v>15.876826629167493</v>
      </c>
      <c r="AK143" s="93">
        <f t="shared" si="54"/>
        <v>220</v>
      </c>
      <c r="AL143" s="89" t="str">
        <f t="shared" si="42"/>
        <v>'pass'</v>
      </c>
    </row>
    <row r="144" spans="1:38" x14ac:dyDescent="0.2">
      <c r="A144" s="79"/>
      <c r="B144" s="117" t="s">
        <v>1830</v>
      </c>
      <c r="C144" s="124">
        <v>15</v>
      </c>
      <c r="D144" s="119">
        <f t="shared" si="55"/>
        <v>3.5887743139459768E-4</v>
      </c>
      <c r="E144" s="121" t="s">
        <v>1837</v>
      </c>
      <c r="F144" s="120" t="s">
        <v>1813</v>
      </c>
      <c r="G144" s="122" t="s">
        <v>1838</v>
      </c>
      <c r="H144" s="121"/>
      <c r="I144" s="118" t="s">
        <v>1815</v>
      </c>
      <c r="J144" s="121">
        <v>21.5</v>
      </c>
      <c r="K144" s="123">
        <v>48950</v>
      </c>
      <c r="L144" s="123">
        <v>28637</v>
      </c>
      <c r="M144" s="123">
        <v>75483</v>
      </c>
      <c r="N144" s="123">
        <v>87443</v>
      </c>
      <c r="O144" s="104">
        <v>87443</v>
      </c>
      <c r="P144" s="105"/>
      <c r="Q144" s="91">
        <v>0.4</v>
      </c>
      <c r="R144" s="91"/>
      <c r="S144" s="104">
        <f t="shared" si="28"/>
        <v>17.488600000000002</v>
      </c>
      <c r="U144" s="93">
        <f t="shared" si="56"/>
        <v>12.658526903265031</v>
      </c>
      <c r="V144" s="93">
        <v>220</v>
      </c>
      <c r="W144" s="93">
        <f t="shared" si="29"/>
        <v>12.658526903265031</v>
      </c>
      <c r="X144" s="89">
        <f t="shared" si="30"/>
        <v>4.5582475363387977E-4</v>
      </c>
      <c r="Y144" s="93">
        <f t="shared" si="31"/>
        <v>1.2434475511746441</v>
      </c>
      <c r="Z144" s="92">
        <f t="shared" si="32"/>
        <v>13.901974454439674</v>
      </c>
      <c r="AA144" s="93">
        <f t="shared" si="33"/>
        <v>0.18006794686344213</v>
      </c>
      <c r="AB144" s="93">
        <f t="shared" si="34"/>
        <v>14.082042401303116</v>
      </c>
      <c r="AC144" s="93">
        <f t="shared" si="35"/>
        <v>2.6376966232494508E-2</v>
      </c>
      <c r="AD144" s="93">
        <f t="shared" si="36"/>
        <v>14.10841936753561</v>
      </c>
      <c r="AE144" s="93">
        <f t="shared" si="37"/>
        <v>3.8637878631536805E-3</v>
      </c>
      <c r="AF144" s="92">
        <f t="shared" si="38"/>
        <v>14.112283155398764</v>
      </c>
      <c r="AG144" s="93">
        <f t="shared" si="39"/>
        <v>5.6598080762615551E-4</v>
      </c>
      <c r="AH144" s="92">
        <f t="shared" si="40"/>
        <v>14.112849136206391</v>
      </c>
      <c r="AI144" s="93">
        <f t="shared" si="53"/>
        <v>8.2906796629568242E-5</v>
      </c>
      <c r="AJ144" s="92">
        <f t="shared" si="57"/>
        <v>14.112932043003021</v>
      </c>
      <c r="AK144" s="93">
        <f t="shared" si="54"/>
        <v>220</v>
      </c>
      <c r="AL144" s="89" t="str">
        <f t="shared" si="42"/>
        <v>'pass'</v>
      </c>
    </row>
    <row r="145" spans="1:38" x14ac:dyDescent="0.2">
      <c r="A145" s="79"/>
      <c r="B145" s="117" t="s">
        <v>1830</v>
      </c>
      <c r="C145" s="124">
        <v>15</v>
      </c>
      <c r="D145" s="119">
        <f t="shared" si="55"/>
        <v>3.5887743139459768E-4</v>
      </c>
      <c r="E145" s="121" t="s">
        <v>1839</v>
      </c>
      <c r="F145" s="120" t="s">
        <v>1813</v>
      </c>
      <c r="G145" s="122" t="s">
        <v>1840</v>
      </c>
      <c r="H145" s="121"/>
      <c r="I145" s="118" t="s">
        <v>1815</v>
      </c>
      <c r="J145" s="121">
        <v>21.5</v>
      </c>
      <c r="K145" s="123">
        <v>48950</v>
      </c>
      <c r="L145" s="123">
        <v>28637</v>
      </c>
      <c r="M145" s="123">
        <v>70703</v>
      </c>
      <c r="N145" s="123">
        <v>48845</v>
      </c>
      <c r="O145" s="104">
        <v>70706</v>
      </c>
      <c r="P145" s="105"/>
      <c r="Q145" s="91">
        <v>0.4</v>
      </c>
      <c r="R145" s="91"/>
      <c r="S145" s="104">
        <f t="shared" si="28"/>
        <v>14.141200000000001</v>
      </c>
      <c r="U145" s="93">
        <f t="shared" si="56"/>
        <v>10.235625530028216</v>
      </c>
      <c r="V145" s="93">
        <v>220</v>
      </c>
      <c r="W145" s="93">
        <f t="shared" si="29"/>
        <v>10.235625530028216</v>
      </c>
      <c r="X145" s="89">
        <f t="shared" si="30"/>
        <v>3.6857775957408942E-4</v>
      </c>
      <c r="Y145" s="93">
        <f t="shared" si="31"/>
        <v>1.005445862485898</v>
      </c>
      <c r="Z145" s="92">
        <f t="shared" si="32"/>
        <v>11.241071392514113</v>
      </c>
      <c r="AA145" s="93">
        <f t="shared" si="33"/>
        <v>0.14560209794868129</v>
      </c>
      <c r="AB145" s="93">
        <f t="shared" si="34"/>
        <v>11.386673490462794</v>
      </c>
      <c r="AC145" s="93">
        <f t="shared" si="35"/>
        <v>2.1328291280431327E-2</v>
      </c>
      <c r="AD145" s="93">
        <f t="shared" si="36"/>
        <v>11.408001781743225</v>
      </c>
      <c r="AE145" s="93">
        <f t="shared" si="37"/>
        <v>3.124240758575805E-3</v>
      </c>
      <c r="AF145" s="92">
        <f t="shared" si="38"/>
        <v>11.411126022501801</v>
      </c>
      <c r="AG145" s="93">
        <f t="shared" si="39"/>
        <v>4.576494285879367E-4</v>
      </c>
      <c r="AH145" s="92">
        <f t="shared" si="40"/>
        <v>11.411583671930389</v>
      </c>
      <c r="AI145" s="93">
        <f t="shared" si="53"/>
        <v>6.7038047213501965E-5</v>
      </c>
      <c r="AJ145" s="92">
        <f t="shared" si="57"/>
        <v>11.411650709977602</v>
      </c>
      <c r="AK145" s="93">
        <f t="shared" si="54"/>
        <v>220</v>
      </c>
      <c r="AL145" s="89" t="str">
        <f t="shared" si="42"/>
        <v>'pass'</v>
      </c>
    </row>
    <row r="146" spans="1:38" x14ac:dyDescent="0.2">
      <c r="A146" s="79"/>
      <c r="B146" s="117" t="s">
        <v>1830</v>
      </c>
      <c r="C146" s="124">
        <v>15</v>
      </c>
      <c r="D146" s="119">
        <f t="shared" si="55"/>
        <v>3.5887743139459768E-4</v>
      </c>
      <c r="E146" s="121" t="s">
        <v>1841</v>
      </c>
      <c r="F146" s="120" t="s">
        <v>1813</v>
      </c>
      <c r="G146" s="122" t="s">
        <v>1842</v>
      </c>
      <c r="H146" s="121"/>
      <c r="I146" s="118" t="s">
        <v>1815</v>
      </c>
      <c r="J146" s="121">
        <v>21.5</v>
      </c>
      <c r="K146" s="123">
        <v>48950</v>
      </c>
      <c r="L146" s="123">
        <v>28637</v>
      </c>
      <c r="M146" s="123">
        <v>80950</v>
      </c>
      <c r="N146" s="123">
        <v>57384</v>
      </c>
      <c r="O146" s="104">
        <v>80950</v>
      </c>
      <c r="P146" s="105"/>
      <c r="Q146" s="91">
        <v>0.4</v>
      </c>
      <c r="R146" s="91"/>
      <c r="S146" s="104">
        <f t="shared" si="28"/>
        <v>16.190000000000001</v>
      </c>
      <c r="U146" s="93">
        <f t="shared" si="56"/>
        <v>11.718579564050914</v>
      </c>
      <c r="V146" s="93">
        <v>220</v>
      </c>
      <c r="W146" s="93">
        <f t="shared" si="29"/>
        <v>11.718579564050914</v>
      </c>
      <c r="X146" s="89">
        <f t="shared" si="30"/>
        <v>4.2197790339607017E-4</v>
      </c>
      <c r="Y146" s="93">
        <f t="shared" si="31"/>
        <v>1.15111649037187</v>
      </c>
      <c r="Z146" s="92">
        <f t="shared" si="32"/>
        <v>12.869696054422784</v>
      </c>
      <c r="AA146" s="93">
        <f t="shared" si="33"/>
        <v>0.1666971661378914</v>
      </c>
      <c r="AB146" s="93">
        <f t="shared" si="34"/>
        <v>13.036393220560676</v>
      </c>
      <c r="AC146" s="93">
        <f t="shared" si="35"/>
        <v>2.4418368726146521E-2</v>
      </c>
      <c r="AD146" s="93">
        <f t="shared" si="36"/>
        <v>13.060811589286823</v>
      </c>
      <c r="AE146" s="93">
        <f t="shared" si="37"/>
        <v>3.5768858287374677E-3</v>
      </c>
      <c r="AF146" s="92">
        <f t="shared" si="38"/>
        <v>13.06438847511556</v>
      </c>
      <c r="AG146" s="93">
        <f t="shared" si="39"/>
        <v>5.2395442033481565E-4</v>
      </c>
      <c r="AH146" s="92">
        <f t="shared" si="40"/>
        <v>13.064912429535894</v>
      </c>
      <c r="AI146" s="93">
        <f t="shared" si="53"/>
        <v>7.6750628262565882E-5</v>
      </c>
      <c r="AJ146" s="92">
        <f t="shared" si="57"/>
        <v>13.064989180164156</v>
      </c>
      <c r="AK146" s="93">
        <f t="shared" si="54"/>
        <v>220</v>
      </c>
      <c r="AL146" s="89" t="str">
        <f t="shared" si="42"/>
        <v>'pass'</v>
      </c>
    </row>
    <row r="147" spans="1:38" x14ac:dyDescent="0.2">
      <c r="A147" s="79"/>
      <c r="B147" s="117" t="s">
        <v>1843</v>
      </c>
      <c r="C147" s="124">
        <v>15</v>
      </c>
      <c r="D147" s="119">
        <f t="shared" si="55"/>
        <v>3.5887743139459768E-4</v>
      </c>
      <c r="E147" s="121" t="s">
        <v>1844</v>
      </c>
      <c r="F147" s="120" t="s">
        <v>1813</v>
      </c>
      <c r="G147" s="122" t="s">
        <v>1759</v>
      </c>
      <c r="H147" s="121"/>
      <c r="I147" s="118" t="s">
        <v>1815</v>
      </c>
      <c r="J147" s="121">
        <v>21.5</v>
      </c>
      <c r="K147" s="123">
        <v>48950</v>
      </c>
      <c r="L147" s="123">
        <v>12042</v>
      </c>
      <c r="M147" s="123">
        <v>64900</v>
      </c>
      <c r="N147" s="123">
        <v>90173</v>
      </c>
      <c r="O147" s="104">
        <v>90173</v>
      </c>
      <c r="P147" s="105"/>
      <c r="Q147" s="91">
        <v>0.4</v>
      </c>
      <c r="R147" s="91"/>
      <c r="S147" s="104">
        <f t="shared" ref="S147:S210" si="58">+O147*Q147/2000</f>
        <v>18.034600000000001</v>
      </c>
      <c r="U147" s="93">
        <f t="shared" si="56"/>
        <v>13.053730389489353</v>
      </c>
      <c r="V147" s="93">
        <v>220</v>
      </c>
      <c r="W147" s="93">
        <f t="shared" ref="W147:W210" si="59">IF(U147&gt;V147,V147,U147)</f>
        <v>13.053730389489353</v>
      </c>
      <c r="X147" s="89">
        <f t="shared" ref="X147:X210" si="60">+U147/$U$16</f>
        <v>4.7005575642907762E-4</v>
      </c>
      <c r="Y147" s="93">
        <f t="shared" ref="Y147:Y210" si="61">+X147*$Y$16</f>
        <v>1.2822684037838497</v>
      </c>
      <c r="Z147" s="92">
        <f t="shared" ref="Z147:Z210" si="62">IF(W147+Y147&gt;V147,V147,W147+Y147)</f>
        <v>14.335998793273202</v>
      </c>
      <c r="AA147" s="93">
        <f t="shared" ref="AA147:AA210" si="63">+$AA$16*X147</f>
        <v>0.1856897289950844</v>
      </c>
      <c r="AB147" s="93">
        <f t="shared" ref="AB147:AB210" si="64">IF(Z147+AA147&gt;V147,V147,Z147+AA147)</f>
        <v>14.521688522268287</v>
      </c>
      <c r="AC147" s="93">
        <f t="shared" ref="AC147:AC210" si="65">+X147*$AC$16</f>
        <v>2.7200464028941447E-2</v>
      </c>
      <c r="AD147" s="93">
        <f t="shared" ref="AD147:AD210" si="66">IF(AB147+AC147&gt;V147,V147,AB147+AC147)</f>
        <v>14.548888986297229</v>
      </c>
      <c r="AE147" s="93">
        <f t="shared" ref="AE147:AE210" si="67">+X147*$AE$16</f>
        <v>3.9844166255064073E-3</v>
      </c>
      <c r="AF147" s="92">
        <f t="shared" ref="AF147:AF210" si="68">IF(AD147+AE147&gt;V147,V147,AD147+AE147)</f>
        <v>14.552873402922735</v>
      </c>
      <c r="AG147" s="93">
        <f t="shared" ref="AG147:AG210" si="69">+X147*$AG$16</f>
        <v>5.8365091963991751E-4</v>
      </c>
      <c r="AH147" s="92">
        <f t="shared" ref="AH147:AH210" si="70">IF(AF147+AG147&gt;V147,V147,AF147+AG147)</f>
        <v>14.553457053842376</v>
      </c>
      <c r="AI147" s="93">
        <f t="shared" si="53"/>
        <v>8.549517482792283E-5</v>
      </c>
      <c r="AJ147" s="92">
        <f t="shared" si="57"/>
        <v>14.553542549017203</v>
      </c>
      <c r="AK147" s="93">
        <f t="shared" si="54"/>
        <v>220</v>
      </c>
      <c r="AL147" s="89" t="str">
        <f t="shared" ref="AL147:AL210" si="71">IF(AJ147&gt;V147,"'fail'","'pass'")</f>
        <v>'pass'</v>
      </c>
    </row>
    <row r="148" spans="1:38" x14ac:dyDescent="0.2">
      <c r="A148" s="79"/>
      <c r="B148" s="117" t="s">
        <v>1843</v>
      </c>
      <c r="C148" s="124">
        <v>15</v>
      </c>
      <c r="D148" s="119">
        <f t="shared" si="55"/>
        <v>3.5887743139459768E-4</v>
      </c>
      <c r="E148" s="121" t="s">
        <v>1845</v>
      </c>
      <c r="F148" s="120" t="s">
        <v>1813</v>
      </c>
      <c r="G148" s="122" t="s">
        <v>1762</v>
      </c>
      <c r="H148" s="121"/>
      <c r="I148" s="118" t="s">
        <v>1815</v>
      </c>
      <c r="J148" s="121">
        <v>21.5</v>
      </c>
      <c r="K148" s="123">
        <v>48950</v>
      </c>
      <c r="L148" s="123">
        <v>12042</v>
      </c>
      <c r="M148" s="123">
        <v>53627</v>
      </c>
      <c r="N148" s="123">
        <v>94272</v>
      </c>
      <c r="O148" s="104">
        <v>94272</v>
      </c>
      <c r="P148" s="105"/>
      <c r="Q148" s="91">
        <v>0.4</v>
      </c>
      <c r="R148" s="91"/>
      <c r="S148" s="104">
        <f t="shared" si="58"/>
        <v>18.854400000000002</v>
      </c>
      <c r="U148" s="93">
        <f t="shared" si="56"/>
        <v>13.647114671552908</v>
      </c>
      <c r="V148" s="93">
        <v>220</v>
      </c>
      <c r="W148" s="93">
        <f t="shared" si="59"/>
        <v>13.647114671552908</v>
      </c>
      <c r="X148" s="89">
        <f t="shared" si="60"/>
        <v>4.9142311190802132E-4</v>
      </c>
      <c r="Y148" s="93">
        <f t="shared" si="61"/>
        <v>1.3405565630677816</v>
      </c>
      <c r="Z148" s="92">
        <f t="shared" si="62"/>
        <v>14.98767123462069</v>
      </c>
      <c r="AA148" s="93">
        <f t="shared" si="63"/>
        <v>0.19413063923596416</v>
      </c>
      <c r="AB148" s="93">
        <f t="shared" si="64"/>
        <v>15.181801873856655</v>
      </c>
      <c r="AC148" s="93">
        <f t="shared" si="65"/>
        <v>2.8436917313789806E-2</v>
      </c>
      <c r="AD148" s="93">
        <f t="shared" si="66"/>
        <v>15.210238791170445</v>
      </c>
      <c r="AE148" s="93">
        <f t="shared" si="67"/>
        <v>4.165536514474843E-3</v>
      </c>
      <c r="AF148" s="92">
        <f t="shared" si="68"/>
        <v>15.214404327684919</v>
      </c>
      <c r="AG148" s="93">
        <f t="shared" si="69"/>
        <v>6.101819779345736E-4</v>
      </c>
      <c r="AH148" s="92">
        <f t="shared" si="70"/>
        <v>15.215014509662854</v>
      </c>
      <c r="AI148" s="93">
        <f t="shared" si="53"/>
        <v>8.938153462098346E-5</v>
      </c>
      <c r="AJ148" s="92">
        <f t="shared" si="57"/>
        <v>15.215103891197476</v>
      </c>
      <c r="AK148" s="93">
        <f t="shared" si="54"/>
        <v>220</v>
      </c>
      <c r="AL148" s="89" t="str">
        <f t="shared" si="71"/>
        <v>'pass'</v>
      </c>
    </row>
    <row r="149" spans="1:38" x14ac:dyDescent="0.2">
      <c r="A149" s="79"/>
      <c r="B149" s="117" t="s">
        <v>1843</v>
      </c>
      <c r="C149" s="124">
        <v>15</v>
      </c>
      <c r="D149" s="119">
        <f t="shared" si="55"/>
        <v>3.5887743139459768E-4</v>
      </c>
      <c r="E149" s="121" t="s">
        <v>1846</v>
      </c>
      <c r="F149" s="120" t="s">
        <v>1813</v>
      </c>
      <c r="G149" s="122" t="s">
        <v>1765</v>
      </c>
      <c r="H149" s="121"/>
      <c r="I149" s="118" t="s">
        <v>1815</v>
      </c>
      <c r="J149" s="121">
        <v>21.5</v>
      </c>
      <c r="K149" s="123">
        <v>48950</v>
      </c>
      <c r="L149" s="123">
        <v>12042</v>
      </c>
      <c r="M149" s="123">
        <v>46795</v>
      </c>
      <c r="N149" s="123">
        <v>89148</v>
      </c>
      <c r="O149" s="104">
        <v>89148</v>
      </c>
      <c r="P149" s="105"/>
      <c r="Q149" s="91">
        <v>0.4</v>
      </c>
      <c r="R149" s="91"/>
      <c r="S149" s="104">
        <f t="shared" si="58"/>
        <v>17.829600000000003</v>
      </c>
      <c r="U149" s="93">
        <f t="shared" si="56"/>
        <v>12.905348128178025</v>
      </c>
      <c r="V149" s="93">
        <v>220</v>
      </c>
      <c r="W149" s="93">
        <f t="shared" si="59"/>
        <v>12.905348128178025</v>
      </c>
      <c r="X149" s="89">
        <f t="shared" si="60"/>
        <v>4.6471261435395762E-4</v>
      </c>
      <c r="Y149" s="93">
        <f t="shared" si="61"/>
        <v>1.2676928089397341</v>
      </c>
      <c r="Z149" s="92">
        <f t="shared" si="62"/>
        <v>14.173040937117758</v>
      </c>
      <c r="AA149" s="93">
        <f t="shared" si="63"/>
        <v>0.18357898661965097</v>
      </c>
      <c r="AB149" s="93">
        <f t="shared" si="64"/>
        <v>14.356619923737409</v>
      </c>
      <c r="AC149" s="93">
        <f t="shared" si="65"/>
        <v>2.6891275295843241E-2</v>
      </c>
      <c r="AD149" s="93">
        <f t="shared" si="66"/>
        <v>14.383511199033252</v>
      </c>
      <c r="AE149" s="93">
        <f t="shared" si="67"/>
        <v>3.93912560667434E-3</v>
      </c>
      <c r="AF149" s="92">
        <f t="shared" si="68"/>
        <v>14.387450324639927</v>
      </c>
      <c r="AG149" s="93">
        <f t="shared" si="69"/>
        <v>5.7701653692412785E-4</v>
      </c>
      <c r="AH149" s="92">
        <f t="shared" si="70"/>
        <v>14.388027341176851</v>
      </c>
      <c r="AI149" s="93">
        <f t="shared" si="53"/>
        <v>8.4523347848687141E-5</v>
      </c>
      <c r="AJ149" s="92">
        <f t="shared" si="57"/>
        <v>14.388111864524699</v>
      </c>
      <c r="AK149" s="93">
        <f t="shared" si="54"/>
        <v>220</v>
      </c>
      <c r="AL149" s="89" t="str">
        <f t="shared" si="71"/>
        <v>'pass'</v>
      </c>
    </row>
    <row r="150" spans="1:38" x14ac:dyDescent="0.2">
      <c r="A150" s="79"/>
      <c r="B150" s="117" t="s">
        <v>1843</v>
      </c>
      <c r="C150" s="124">
        <v>15</v>
      </c>
      <c r="D150" s="119">
        <f t="shared" si="55"/>
        <v>3.5887743139459768E-4</v>
      </c>
      <c r="E150" s="121" t="s">
        <v>1847</v>
      </c>
      <c r="F150" s="120" t="s">
        <v>1813</v>
      </c>
      <c r="G150" s="122" t="s">
        <v>1768</v>
      </c>
      <c r="H150" s="121"/>
      <c r="I150" s="118" t="s">
        <v>1815</v>
      </c>
      <c r="J150" s="121">
        <v>21.5</v>
      </c>
      <c r="K150" s="123">
        <v>48950</v>
      </c>
      <c r="L150" s="123">
        <v>12042</v>
      </c>
      <c r="M150" s="123">
        <v>36207</v>
      </c>
      <c r="N150" s="123">
        <v>89491</v>
      </c>
      <c r="O150" s="104">
        <v>89491</v>
      </c>
      <c r="P150" s="105"/>
      <c r="Q150" s="91">
        <v>0.4</v>
      </c>
      <c r="R150" s="91"/>
      <c r="S150" s="104">
        <f t="shared" si="58"/>
        <v>17.898199999999999</v>
      </c>
      <c r="U150" s="93">
        <f t="shared" si="56"/>
        <v>12.955001899524154</v>
      </c>
      <c r="V150" s="93">
        <v>220</v>
      </c>
      <c r="W150" s="93">
        <f t="shared" si="59"/>
        <v>12.955001899524154</v>
      </c>
      <c r="X150" s="89">
        <f t="shared" si="60"/>
        <v>4.6650061214104647E-4</v>
      </c>
      <c r="Y150" s="93">
        <f t="shared" si="61"/>
        <v>1.2725703006778135</v>
      </c>
      <c r="Z150" s="92">
        <f t="shared" si="62"/>
        <v>14.227572200201967</v>
      </c>
      <c r="AA150" s="93">
        <f t="shared" si="63"/>
        <v>0.18428531309260085</v>
      </c>
      <c r="AB150" s="93">
        <f t="shared" si="64"/>
        <v>14.411857513294569</v>
      </c>
      <c r="AC150" s="93">
        <f t="shared" si="65"/>
        <v>2.699474040360195E-2</v>
      </c>
      <c r="AD150" s="93">
        <f t="shared" si="66"/>
        <v>14.438852253698171</v>
      </c>
      <c r="AE150" s="93">
        <f t="shared" si="67"/>
        <v>3.9542815280981429E-3</v>
      </c>
      <c r="AF150" s="92">
        <f t="shared" si="68"/>
        <v>14.44280653522627</v>
      </c>
      <c r="AG150" s="93">
        <f t="shared" si="69"/>
        <v>5.7923662792072855E-4</v>
      </c>
      <c r="AH150" s="92">
        <f t="shared" si="70"/>
        <v>14.44338577185419</v>
      </c>
      <c r="AI150" s="93">
        <f t="shared" si="53"/>
        <v>8.484855434027526E-5</v>
      </c>
      <c r="AJ150" s="92">
        <f t="shared" si="57"/>
        <v>14.443470620408531</v>
      </c>
      <c r="AK150" s="93">
        <f t="shared" si="54"/>
        <v>220</v>
      </c>
      <c r="AL150" s="89" t="str">
        <f t="shared" si="71"/>
        <v>'pass'</v>
      </c>
    </row>
    <row r="151" spans="1:38" x14ac:dyDescent="0.2">
      <c r="A151" s="79"/>
      <c r="B151" s="117" t="s">
        <v>1843</v>
      </c>
      <c r="C151" s="124">
        <v>15</v>
      </c>
      <c r="D151" s="119">
        <f t="shared" si="55"/>
        <v>3.5887743139459768E-4</v>
      </c>
      <c r="E151" s="121" t="s">
        <v>1848</v>
      </c>
      <c r="F151" s="120" t="s">
        <v>1813</v>
      </c>
      <c r="G151" s="122" t="s">
        <v>1849</v>
      </c>
      <c r="H151" s="121"/>
      <c r="I151" s="118" t="s">
        <v>1815</v>
      </c>
      <c r="J151" s="121">
        <v>21.5</v>
      </c>
      <c r="K151" s="123">
        <v>48950</v>
      </c>
      <c r="L151" s="123">
        <v>12042</v>
      </c>
      <c r="M151" s="123">
        <v>67289</v>
      </c>
      <c r="N151" s="123">
        <v>88465</v>
      </c>
      <c r="O151" s="104">
        <v>88465</v>
      </c>
      <c r="P151" s="105"/>
      <c r="Q151" s="91">
        <v>0.4</v>
      </c>
      <c r="R151" s="91"/>
      <c r="S151" s="104">
        <f t="shared" si="58"/>
        <v>17.693000000000001</v>
      </c>
      <c r="U151" s="93">
        <f t="shared" si="56"/>
        <v>12.806474875031059</v>
      </c>
      <c r="V151" s="93">
        <v>220</v>
      </c>
      <c r="W151" s="93">
        <f t="shared" si="59"/>
        <v>12.806474875031059</v>
      </c>
      <c r="X151" s="89">
        <f t="shared" si="60"/>
        <v>4.6115225724438974E-4</v>
      </c>
      <c r="Y151" s="93">
        <f t="shared" si="61"/>
        <v>1.2579804857411672</v>
      </c>
      <c r="Z151" s="92">
        <f t="shared" si="62"/>
        <v>14.064455360772225</v>
      </c>
      <c r="AA151" s="93">
        <f t="shared" si="63"/>
        <v>0.18217251145631333</v>
      </c>
      <c r="AB151" s="93">
        <f t="shared" si="64"/>
        <v>14.246627872228538</v>
      </c>
      <c r="AC151" s="93">
        <f t="shared" si="65"/>
        <v>2.668525002295926E-2</v>
      </c>
      <c r="AD151" s="93">
        <f t="shared" si="66"/>
        <v>14.273313122251498</v>
      </c>
      <c r="AE151" s="93">
        <f t="shared" si="67"/>
        <v>3.9089463229062399E-3</v>
      </c>
      <c r="AF151" s="92">
        <f t="shared" si="68"/>
        <v>14.277222068574403</v>
      </c>
      <c r="AG151" s="93">
        <f t="shared" si="69"/>
        <v>5.725957726364357E-4</v>
      </c>
      <c r="AH151" s="92">
        <f t="shared" si="70"/>
        <v>14.27779466434704</v>
      </c>
      <c r="AI151" s="93">
        <f t="shared" si="53"/>
        <v>8.3875779237157391E-5</v>
      </c>
      <c r="AJ151" s="92">
        <f t="shared" si="57"/>
        <v>14.277878540126277</v>
      </c>
      <c r="AK151" s="93">
        <f t="shared" si="54"/>
        <v>220</v>
      </c>
      <c r="AL151" s="89" t="str">
        <f t="shared" si="71"/>
        <v>'pass'</v>
      </c>
    </row>
    <row r="152" spans="1:38" x14ac:dyDescent="0.2">
      <c r="A152" s="79"/>
      <c r="B152" s="117" t="s">
        <v>1843</v>
      </c>
      <c r="C152" s="124">
        <v>15</v>
      </c>
      <c r="D152" s="119">
        <f t="shared" si="55"/>
        <v>3.5887743139459768E-4</v>
      </c>
      <c r="E152" s="121" t="s">
        <v>1850</v>
      </c>
      <c r="F152" s="120" t="s">
        <v>1813</v>
      </c>
      <c r="G152" s="122" t="s">
        <v>1851</v>
      </c>
      <c r="H152" s="121"/>
      <c r="I152" s="118" t="s">
        <v>1815</v>
      </c>
      <c r="J152" s="121">
        <v>21.5</v>
      </c>
      <c r="K152" s="123">
        <v>48950</v>
      </c>
      <c r="L152" s="123">
        <v>12042</v>
      </c>
      <c r="M152" s="123">
        <v>56701</v>
      </c>
      <c r="N152" s="123">
        <v>106909</v>
      </c>
      <c r="O152" s="104">
        <v>106909</v>
      </c>
      <c r="P152" s="105"/>
      <c r="Q152" s="91">
        <v>0.4</v>
      </c>
      <c r="R152" s="91"/>
      <c r="S152" s="104">
        <f t="shared" si="58"/>
        <v>21.381800000000002</v>
      </c>
      <c r="U152" s="93">
        <f t="shared" si="56"/>
        <v>15.476486999544402</v>
      </c>
      <c r="V152" s="93">
        <v>220</v>
      </c>
      <c r="W152" s="93">
        <f t="shared" si="59"/>
        <v>15.476486999544402</v>
      </c>
      <c r="X152" s="89">
        <f t="shared" si="60"/>
        <v>5.5729753766733134E-4</v>
      </c>
      <c r="Y152" s="93">
        <f t="shared" si="61"/>
        <v>1.520255872380065</v>
      </c>
      <c r="Z152" s="92">
        <f t="shared" si="62"/>
        <v>16.996742871924468</v>
      </c>
      <c r="AA152" s="93">
        <f t="shared" si="63"/>
        <v>0.22015351864899116</v>
      </c>
      <c r="AB152" s="93">
        <f t="shared" si="64"/>
        <v>17.21689639057346</v>
      </c>
      <c r="AC152" s="93">
        <f t="shared" si="65"/>
        <v>3.2248837333460144E-2</v>
      </c>
      <c r="AD152" s="93">
        <f t="shared" si="66"/>
        <v>17.249145227906919</v>
      </c>
      <c r="AE152" s="93">
        <f t="shared" si="67"/>
        <v>4.7239195437244474E-3</v>
      </c>
      <c r="AF152" s="92">
        <f t="shared" si="68"/>
        <v>17.253869147450644</v>
      </c>
      <c r="AG152" s="93">
        <f t="shared" si="69"/>
        <v>6.9197582610963323E-4</v>
      </c>
      <c r="AH152" s="92">
        <f t="shared" si="70"/>
        <v>17.254561123276755</v>
      </c>
      <c r="AI152" s="93">
        <f t="shared" si="53"/>
        <v>1.0136297612010694E-4</v>
      </c>
      <c r="AJ152" s="92">
        <f t="shared" si="57"/>
        <v>17.254662486252876</v>
      </c>
      <c r="AK152" s="93">
        <f t="shared" si="54"/>
        <v>220</v>
      </c>
      <c r="AL152" s="89" t="str">
        <f t="shared" si="71"/>
        <v>'pass'</v>
      </c>
    </row>
    <row r="153" spans="1:38" x14ac:dyDescent="0.2">
      <c r="A153" s="79"/>
      <c r="B153" s="117" t="s">
        <v>1843</v>
      </c>
      <c r="C153" s="124">
        <v>15</v>
      </c>
      <c r="D153" s="119">
        <f t="shared" si="55"/>
        <v>3.5887743139459768E-4</v>
      </c>
      <c r="E153" s="121" t="s">
        <v>1852</v>
      </c>
      <c r="F153" s="120" t="s">
        <v>1813</v>
      </c>
      <c r="G153" s="122" t="s">
        <v>1853</v>
      </c>
      <c r="H153" s="121"/>
      <c r="I153" s="118" t="s">
        <v>1815</v>
      </c>
      <c r="J153" s="121">
        <v>21.5</v>
      </c>
      <c r="K153" s="123">
        <v>48950</v>
      </c>
      <c r="L153" s="123">
        <v>12042</v>
      </c>
      <c r="M153" s="123">
        <v>43721</v>
      </c>
      <c r="N153" s="123">
        <v>84367</v>
      </c>
      <c r="O153" s="104">
        <v>84367</v>
      </c>
      <c r="P153" s="105"/>
      <c r="Q153" s="91">
        <v>0.4</v>
      </c>
      <c r="R153" s="91"/>
      <c r="S153" s="104">
        <f t="shared" si="58"/>
        <v>16.8734</v>
      </c>
      <c r="U153" s="93">
        <f t="shared" si="56"/>
        <v>12.213235356149271</v>
      </c>
      <c r="V153" s="93">
        <v>220</v>
      </c>
      <c r="W153" s="93">
        <f t="shared" si="59"/>
        <v>12.213235356149271</v>
      </c>
      <c r="X153" s="89">
        <f t="shared" si="60"/>
        <v>4.3979011458698271E-4</v>
      </c>
      <c r="Y153" s="93">
        <f t="shared" si="61"/>
        <v>1.1997065465497658</v>
      </c>
      <c r="Z153" s="92">
        <f t="shared" si="62"/>
        <v>13.412941902699037</v>
      </c>
      <c r="AA153" s="93">
        <f t="shared" si="63"/>
        <v>0.17373366047628763</v>
      </c>
      <c r="AB153" s="93">
        <f t="shared" si="64"/>
        <v>13.586675563175325</v>
      </c>
      <c r="AC153" s="93">
        <f t="shared" si="65"/>
        <v>2.5449098385655386E-2</v>
      </c>
      <c r="AD153" s="93">
        <f t="shared" si="66"/>
        <v>13.61212466156098</v>
      </c>
      <c r="AE153" s="93">
        <f t="shared" si="67"/>
        <v>3.72787062029764E-3</v>
      </c>
      <c r="AF153" s="92">
        <f t="shared" si="68"/>
        <v>13.615852532181277</v>
      </c>
      <c r="AG153" s="93">
        <f t="shared" si="69"/>
        <v>5.4607118691028279E-4</v>
      </c>
      <c r="AH153" s="92">
        <f t="shared" si="70"/>
        <v>13.616398603368188</v>
      </c>
      <c r="AI153" s="93">
        <f t="shared" si="53"/>
        <v>7.9990367567978941E-5</v>
      </c>
      <c r="AJ153" s="92">
        <f t="shared" si="57"/>
        <v>13.616478593735756</v>
      </c>
      <c r="AK153" s="93">
        <f t="shared" si="54"/>
        <v>220</v>
      </c>
      <c r="AL153" s="89" t="str">
        <f t="shared" si="71"/>
        <v>'pass'</v>
      </c>
    </row>
    <row r="154" spans="1:38" x14ac:dyDescent="0.2">
      <c r="A154" s="79"/>
      <c r="B154" s="117" t="s">
        <v>1843</v>
      </c>
      <c r="C154" s="124">
        <v>15</v>
      </c>
      <c r="D154" s="119">
        <f t="shared" si="55"/>
        <v>3.5887743139459768E-4</v>
      </c>
      <c r="E154" s="121" t="s">
        <v>1854</v>
      </c>
      <c r="F154" s="120" t="s">
        <v>1813</v>
      </c>
      <c r="G154" s="122" t="s">
        <v>1855</v>
      </c>
      <c r="H154" s="121"/>
      <c r="I154" s="118" t="s">
        <v>1815</v>
      </c>
      <c r="J154" s="121">
        <v>21.5</v>
      </c>
      <c r="K154" s="123">
        <v>48950</v>
      </c>
      <c r="L154" s="123">
        <v>12042</v>
      </c>
      <c r="M154" s="123">
        <v>69678</v>
      </c>
      <c r="N154" s="123">
        <v>99396</v>
      </c>
      <c r="O154" s="104">
        <v>99396</v>
      </c>
      <c r="P154" s="105"/>
      <c r="Q154" s="91">
        <v>0.4</v>
      </c>
      <c r="R154" s="91"/>
      <c r="S154" s="104">
        <f t="shared" si="58"/>
        <v>19.879200000000001</v>
      </c>
      <c r="U154" s="93">
        <f t="shared" si="56"/>
        <v>14.388881214927792</v>
      </c>
      <c r="V154" s="93">
        <v>220</v>
      </c>
      <c r="W154" s="93">
        <f t="shared" si="59"/>
        <v>14.388881214927792</v>
      </c>
      <c r="X154" s="89">
        <f t="shared" si="60"/>
        <v>5.1813360946208512E-4</v>
      </c>
      <c r="Y154" s="93">
        <f t="shared" si="61"/>
        <v>1.4134203171958295</v>
      </c>
      <c r="Z154" s="92">
        <f t="shared" si="62"/>
        <v>15.802301532123622</v>
      </c>
      <c r="AA154" s="93">
        <f t="shared" si="63"/>
        <v>0.2046822918522774</v>
      </c>
      <c r="AB154" s="93">
        <f t="shared" si="64"/>
        <v>16.006983823975897</v>
      </c>
      <c r="AC154" s="93">
        <f t="shared" si="65"/>
        <v>2.9982559331736373E-2</v>
      </c>
      <c r="AD154" s="93">
        <f t="shared" si="66"/>
        <v>16.036966383307632</v>
      </c>
      <c r="AE154" s="93">
        <f t="shared" si="67"/>
        <v>4.3919474222753468E-3</v>
      </c>
      <c r="AF154" s="92">
        <f t="shared" si="68"/>
        <v>16.041358330729906</v>
      </c>
      <c r="AG154" s="93">
        <f t="shared" si="69"/>
        <v>6.4334741894501958E-4</v>
      </c>
      <c r="AH154" s="92">
        <f t="shared" si="70"/>
        <v>16.04200167814885</v>
      </c>
      <c r="AI154" s="93">
        <f t="shared" si="53"/>
        <v>9.4239721393279792E-5</v>
      </c>
      <c r="AJ154" s="92">
        <f t="shared" si="57"/>
        <v>16.042095917870242</v>
      </c>
      <c r="AK154" s="93">
        <f t="shared" si="54"/>
        <v>220</v>
      </c>
      <c r="AL154" s="89" t="str">
        <f t="shared" si="71"/>
        <v>'pass'</v>
      </c>
    </row>
    <row r="155" spans="1:38" x14ac:dyDescent="0.2">
      <c r="A155" s="79"/>
      <c r="B155" s="117" t="s">
        <v>1856</v>
      </c>
      <c r="C155" s="124">
        <v>15</v>
      </c>
      <c r="D155" s="119">
        <f t="shared" si="55"/>
        <v>3.5887743139459768E-4</v>
      </c>
      <c r="E155" s="121" t="s">
        <v>1857</v>
      </c>
      <c r="F155" s="120" t="s">
        <v>1813</v>
      </c>
      <c r="G155" s="122" t="s">
        <v>1771</v>
      </c>
      <c r="H155" s="121"/>
      <c r="I155" s="118" t="s">
        <v>1815</v>
      </c>
      <c r="J155" s="121">
        <v>21.5</v>
      </c>
      <c r="K155" s="123">
        <v>48950</v>
      </c>
      <c r="L155" s="123">
        <v>12042</v>
      </c>
      <c r="M155" s="123">
        <v>29377</v>
      </c>
      <c r="N155" s="123">
        <v>62505</v>
      </c>
      <c r="O155" s="104">
        <v>62505</v>
      </c>
      <c r="P155" s="105"/>
      <c r="Q155" s="91">
        <v>0.4</v>
      </c>
      <c r="R155" s="91"/>
      <c r="S155" s="104">
        <f t="shared" si="58"/>
        <v>12.500999999999999</v>
      </c>
      <c r="U155" s="93">
        <f t="shared" si="56"/>
        <v>9.0484226763558038</v>
      </c>
      <c r="V155" s="93">
        <v>220</v>
      </c>
      <c r="W155" s="93">
        <f t="shared" si="59"/>
        <v>9.0484226763558038</v>
      </c>
      <c r="X155" s="89">
        <f t="shared" si="60"/>
        <v>3.2582741015159188E-4</v>
      </c>
      <c r="Y155" s="93">
        <f t="shared" si="61"/>
        <v>0.88882688364044138</v>
      </c>
      <c r="Z155" s="92">
        <f t="shared" si="62"/>
        <v>9.9372495599962445</v>
      </c>
      <c r="AA155" s="93">
        <f t="shared" si="63"/>
        <v>0.12871409968435951</v>
      </c>
      <c r="AB155" s="93">
        <f t="shared" si="64"/>
        <v>10.065963659680603</v>
      </c>
      <c r="AC155" s="93">
        <f t="shared" si="65"/>
        <v>1.8854479768101149E-2</v>
      </c>
      <c r="AD155" s="93">
        <f t="shared" si="66"/>
        <v>10.084818139448705</v>
      </c>
      <c r="AE155" s="93">
        <f t="shared" si="67"/>
        <v>2.7618684215594243E-3</v>
      </c>
      <c r="AF155" s="92">
        <f t="shared" si="68"/>
        <v>10.087580007870265</v>
      </c>
      <c r="AG155" s="93">
        <f t="shared" si="69"/>
        <v>4.0456789429311487E-4</v>
      </c>
      <c r="AH155" s="92">
        <f t="shared" si="70"/>
        <v>10.087984575764558</v>
      </c>
      <c r="AI155" s="93">
        <f t="shared" si="53"/>
        <v>5.9262483255734159E-5</v>
      </c>
      <c r="AJ155" s="92">
        <f t="shared" si="57"/>
        <v>10.088043838247813</v>
      </c>
      <c r="AK155" s="93">
        <f t="shared" si="54"/>
        <v>220</v>
      </c>
      <c r="AL155" s="89" t="str">
        <f t="shared" si="71"/>
        <v>'pass'</v>
      </c>
    </row>
    <row r="156" spans="1:38" x14ac:dyDescent="0.2">
      <c r="A156" s="79"/>
      <c r="B156" s="117" t="s">
        <v>1843</v>
      </c>
      <c r="C156" s="124">
        <v>15</v>
      </c>
      <c r="D156" s="119">
        <f t="shared" si="55"/>
        <v>3.5887743139459768E-4</v>
      </c>
      <c r="E156" s="121" t="s">
        <v>1858</v>
      </c>
      <c r="F156" s="120" t="s">
        <v>1813</v>
      </c>
      <c r="G156" s="122" t="s">
        <v>1774</v>
      </c>
      <c r="H156" s="121"/>
      <c r="I156" s="118" t="s">
        <v>1815</v>
      </c>
      <c r="J156" s="121">
        <v>21.5</v>
      </c>
      <c r="K156" s="123">
        <v>48950</v>
      </c>
      <c r="L156" s="123">
        <v>12042</v>
      </c>
      <c r="M156" s="123">
        <v>21178</v>
      </c>
      <c r="N156" s="123">
        <v>74802</v>
      </c>
      <c r="O156" s="104">
        <v>74802</v>
      </c>
      <c r="P156" s="105"/>
      <c r="Q156" s="91">
        <v>0.4</v>
      </c>
      <c r="R156" s="91"/>
      <c r="S156" s="104">
        <f t="shared" si="58"/>
        <v>14.960400000000002</v>
      </c>
      <c r="U156" s="93">
        <f t="shared" si="56"/>
        <v>10.828575522546467</v>
      </c>
      <c r="V156" s="93">
        <v>220</v>
      </c>
      <c r="W156" s="93">
        <f t="shared" si="59"/>
        <v>10.828575522546467</v>
      </c>
      <c r="X156" s="89">
        <f t="shared" si="60"/>
        <v>3.8992947658842298E-4</v>
      </c>
      <c r="Y156" s="93">
        <f t="shared" si="61"/>
        <v>1.0636913614922374</v>
      </c>
      <c r="Z156" s="92">
        <f t="shared" si="62"/>
        <v>11.892266884038705</v>
      </c>
      <c r="AA156" s="93">
        <f t="shared" si="63"/>
        <v>0.15403683040699881</v>
      </c>
      <c r="AB156" s="93">
        <f t="shared" si="64"/>
        <v>12.046303714445704</v>
      </c>
      <c r="AC156" s="93">
        <f t="shared" si="65"/>
        <v>2.2563839622646225E-2</v>
      </c>
      <c r="AD156" s="93">
        <f t="shared" si="66"/>
        <v>12.068867554068351</v>
      </c>
      <c r="AE156" s="93">
        <f t="shared" si="67"/>
        <v>3.305228088464732E-3</v>
      </c>
      <c r="AF156" s="92">
        <f t="shared" si="68"/>
        <v>12.072172782156816</v>
      </c>
      <c r="AG156" s="93">
        <f t="shared" si="69"/>
        <v>4.841610691770831E-4</v>
      </c>
      <c r="AH156" s="92">
        <f t="shared" si="70"/>
        <v>12.072656943225994</v>
      </c>
      <c r="AI156" s="93">
        <f t="shared" ref="AI156:AI187" si="72">+X156*$AI$16</f>
        <v>7.0921562634916041E-5</v>
      </c>
      <c r="AJ156" s="92">
        <f t="shared" si="57"/>
        <v>12.072727864788629</v>
      </c>
      <c r="AK156" s="93">
        <f t="shared" ref="AK156:AK187" si="73">+V156</f>
        <v>220</v>
      </c>
      <c r="AL156" s="89" t="str">
        <f t="shared" si="71"/>
        <v>'pass'</v>
      </c>
    </row>
    <row r="157" spans="1:38" x14ac:dyDescent="0.2">
      <c r="A157" s="79"/>
      <c r="B157" s="117" t="s">
        <v>1843</v>
      </c>
      <c r="C157" s="124">
        <v>15</v>
      </c>
      <c r="D157" s="119">
        <f t="shared" si="55"/>
        <v>3.5887743139459768E-4</v>
      </c>
      <c r="E157" s="121" t="s">
        <v>1859</v>
      </c>
      <c r="F157" s="120" t="s">
        <v>1813</v>
      </c>
      <c r="G157" s="122" t="s">
        <v>1777</v>
      </c>
      <c r="H157" s="121"/>
      <c r="I157" s="118" t="s">
        <v>1815</v>
      </c>
      <c r="J157" s="121">
        <v>21.5</v>
      </c>
      <c r="K157" s="123">
        <v>48950</v>
      </c>
      <c r="L157" s="123">
        <v>12042</v>
      </c>
      <c r="M157" s="123">
        <v>30400</v>
      </c>
      <c r="N157" s="123">
        <v>66603</v>
      </c>
      <c r="O157" s="104">
        <v>66603</v>
      </c>
      <c r="P157" s="105"/>
      <c r="Q157" s="91">
        <v>0.4</v>
      </c>
      <c r="R157" s="91"/>
      <c r="S157" s="104">
        <f t="shared" si="58"/>
        <v>13.320600000000001</v>
      </c>
      <c r="U157" s="93">
        <f t="shared" si="56"/>
        <v>9.6416621952375916</v>
      </c>
      <c r="V157" s="93">
        <v>220</v>
      </c>
      <c r="W157" s="93">
        <f t="shared" si="59"/>
        <v>9.6416621952375916</v>
      </c>
      <c r="X157" s="89">
        <f t="shared" si="60"/>
        <v>3.4718955280899891E-4</v>
      </c>
      <c r="Y157" s="93">
        <f t="shared" si="61"/>
        <v>0.9471008228318426</v>
      </c>
      <c r="Z157" s="92">
        <f t="shared" si="62"/>
        <v>10.588763018069434</v>
      </c>
      <c r="AA157" s="93">
        <f t="shared" si="63"/>
        <v>0.13715295066438521</v>
      </c>
      <c r="AB157" s="93">
        <f t="shared" si="64"/>
        <v>10.725915968733819</v>
      </c>
      <c r="AC157" s="93">
        <f t="shared" si="65"/>
        <v>2.0090631405405023E-2</v>
      </c>
      <c r="AD157" s="93">
        <f t="shared" si="66"/>
        <v>10.746006600139225</v>
      </c>
      <c r="AE157" s="93">
        <f t="shared" si="67"/>
        <v>2.9429441241680242E-3</v>
      </c>
      <c r="AF157" s="92">
        <f t="shared" si="68"/>
        <v>10.748949544263393</v>
      </c>
      <c r="AG157" s="93">
        <f t="shared" si="69"/>
        <v>4.3109248001926777E-4</v>
      </c>
      <c r="AH157" s="92">
        <f t="shared" si="70"/>
        <v>10.749380636743412</v>
      </c>
      <c r="AI157" s="93">
        <f t="shared" si="72"/>
        <v>6.3147894924912601E-5</v>
      </c>
      <c r="AJ157" s="92">
        <f t="shared" si="57"/>
        <v>10.749443784638338</v>
      </c>
      <c r="AK157" s="93">
        <f t="shared" si="73"/>
        <v>220</v>
      </c>
      <c r="AL157" s="89" t="str">
        <f t="shared" si="71"/>
        <v>'pass'</v>
      </c>
    </row>
    <row r="158" spans="1:38" x14ac:dyDescent="0.2">
      <c r="A158" s="79"/>
      <c r="B158" s="117" t="s">
        <v>1843</v>
      </c>
      <c r="C158" s="124">
        <v>15</v>
      </c>
      <c r="D158" s="119">
        <f t="shared" ref="D158:D189" si="74">C158/$C$6</f>
        <v>3.5887743139459768E-4</v>
      </c>
      <c r="E158" s="121" t="s">
        <v>1860</v>
      </c>
      <c r="F158" s="120" t="s">
        <v>1813</v>
      </c>
      <c r="G158" s="122" t="s">
        <v>1780</v>
      </c>
      <c r="H158" s="121"/>
      <c r="I158" s="118" t="s">
        <v>1815</v>
      </c>
      <c r="J158" s="121">
        <v>21.5</v>
      </c>
      <c r="K158" s="123">
        <v>48950</v>
      </c>
      <c r="L158" s="123">
        <v>12042</v>
      </c>
      <c r="M158" s="123">
        <v>16395</v>
      </c>
      <c r="N158" s="123">
        <v>60117</v>
      </c>
      <c r="O158" s="104">
        <v>60117</v>
      </c>
      <c r="P158" s="105"/>
      <c r="Q158" s="91">
        <v>0.4</v>
      </c>
      <c r="R158" s="91"/>
      <c r="S158" s="104">
        <f t="shared" si="58"/>
        <v>12.023400000000002</v>
      </c>
      <c r="U158" s="93">
        <f t="shared" ref="U158:U189" si="75">+S158*$T$15</f>
        <v>8.7027281982958495</v>
      </c>
      <c r="V158" s="93">
        <v>220</v>
      </c>
      <c r="W158" s="93">
        <f t="shared" si="59"/>
        <v>8.7027281982958495</v>
      </c>
      <c r="X158" s="89">
        <f t="shared" si="60"/>
        <v>3.1337919232194637E-4</v>
      </c>
      <c r="Y158" s="93">
        <f t="shared" si="61"/>
        <v>0.85486930267678485</v>
      </c>
      <c r="Z158" s="92">
        <f t="shared" si="62"/>
        <v>9.5575975009726335</v>
      </c>
      <c r="AA158" s="93">
        <f t="shared" si="63"/>
        <v>0.12379658476481312</v>
      </c>
      <c r="AB158" s="93">
        <f t="shared" si="64"/>
        <v>9.6813940857374465</v>
      </c>
      <c r="AC158" s="93">
        <f t="shared" si="65"/>
        <v>1.8134145431868448E-2</v>
      </c>
      <c r="AD158" s="93">
        <f t="shared" si="66"/>
        <v>9.6995282311693156</v>
      </c>
      <c r="AE158" s="93">
        <f t="shared" si="67"/>
        <v>2.656351394270666E-3</v>
      </c>
      <c r="AF158" s="92">
        <f t="shared" si="68"/>
        <v>9.7021845825635857</v>
      </c>
      <c r="AG158" s="93">
        <f t="shared" si="69"/>
        <v>3.8911140070745055E-4</v>
      </c>
      <c r="AH158" s="92">
        <f t="shared" si="70"/>
        <v>9.7025736939642933</v>
      </c>
      <c r="AI158" s="93">
        <f t="shared" si="72"/>
        <v>5.6998363425085543E-5</v>
      </c>
      <c r="AJ158" s="92">
        <f t="shared" ref="AJ158:AJ189" si="76">IF(AH158+AI158&gt;V158,V158,AH158+AI158)</f>
        <v>9.7026306923277179</v>
      </c>
      <c r="AK158" s="93">
        <f t="shared" si="73"/>
        <v>220</v>
      </c>
      <c r="AL158" s="89" t="str">
        <f t="shared" si="71"/>
        <v>'pass'</v>
      </c>
    </row>
    <row r="159" spans="1:38" x14ac:dyDescent="0.2">
      <c r="A159" s="79"/>
      <c r="B159" s="117" t="s">
        <v>1843</v>
      </c>
      <c r="C159" s="124">
        <v>15</v>
      </c>
      <c r="D159" s="119">
        <f t="shared" si="74"/>
        <v>3.5887743139459768E-4</v>
      </c>
      <c r="E159" s="121" t="s">
        <v>1861</v>
      </c>
      <c r="F159" s="120" t="s">
        <v>1813</v>
      </c>
      <c r="G159" s="122" t="s">
        <v>1862</v>
      </c>
      <c r="H159" s="121"/>
      <c r="I159" s="118" t="s">
        <v>1815</v>
      </c>
      <c r="J159" s="121">
        <v>21.5</v>
      </c>
      <c r="K159" s="123">
        <v>48950</v>
      </c>
      <c r="L159" s="123">
        <v>12042</v>
      </c>
      <c r="M159" s="123">
        <v>29720</v>
      </c>
      <c r="N159" s="123">
        <v>13321</v>
      </c>
      <c r="O159" s="104">
        <v>48950</v>
      </c>
      <c r="P159" s="105"/>
      <c r="Q159" s="91">
        <v>0.4</v>
      </c>
      <c r="R159" s="91"/>
      <c r="S159" s="104">
        <f t="shared" si="58"/>
        <v>9.7899999999999991</v>
      </c>
      <c r="U159" s="93">
        <f t="shared" si="75"/>
        <v>7.0861577475020656</v>
      </c>
      <c r="V159" s="93">
        <v>220</v>
      </c>
      <c r="W159" s="93">
        <f t="shared" si="59"/>
        <v>7.0861577475020656</v>
      </c>
      <c r="X159" s="89">
        <f t="shared" si="60"/>
        <v>2.5516761422158905E-4</v>
      </c>
      <c r="Y159" s="93">
        <f t="shared" si="61"/>
        <v>0.6960735293848429</v>
      </c>
      <c r="Z159" s="92">
        <f t="shared" si="62"/>
        <v>7.7822312768869084</v>
      </c>
      <c r="AA159" s="93">
        <f t="shared" si="63"/>
        <v>0.10080081880728578</v>
      </c>
      <c r="AB159" s="93">
        <f t="shared" si="64"/>
        <v>7.8830320956941939</v>
      </c>
      <c r="AC159" s="93">
        <f t="shared" si="65"/>
        <v>1.4765647302592614E-2</v>
      </c>
      <c r="AD159" s="93">
        <f t="shared" si="66"/>
        <v>7.8977977429967865</v>
      </c>
      <c r="AE159" s="93">
        <f t="shared" si="67"/>
        <v>2.1629223139802227E-3</v>
      </c>
      <c r="AF159" s="92">
        <f t="shared" si="68"/>
        <v>7.8999606653107666</v>
      </c>
      <c r="AG159" s="93">
        <f t="shared" si="69"/>
        <v>3.1683222823210901E-4</v>
      </c>
      <c r="AH159" s="92">
        <f t="shared" si="70"/>
        <v>7.9002774975389984</v>
      </c>
      <c r="AI159" s="93">
        <f t="shared" si="72"/>
        <v>4.6410664032768372E-5</v>
      </c>
      <c r="AJ159" s="92">
        <f t="shared" si="76"/>
        <v>7.9003239082030312</v>
      </c>
      <c r="AK159" s="93">
        <f t="shared" si="73"/>
        <v>220</v>
      </c>
      <c r="AL159" s="89" t="str">
        <f t="shared" si="71"/>
        <v>'pass'</v>
      </c>
    </row>
    <row r="160" spans="1:38" x14ac:dyDescent="0.2">
      <c r="A160" s="79"/>
      <c r="B160" s="117" t="s">
        <v>1843</v>
      </c>
      <c r="C160" s="124">
        <v>15</v>
      </c>
      <c r="D160" s="119">
        <f t="shared" si="74"/>
        <v>3.5887743139459768E-4</v>
      </c>
      <c r="E160" s="121" t="s">
        <v>1863</v>
      </c>
      <c r="F160" s="120" t="s">
        <v>1813</v>
      </c>
      <c r="G160" s="122" t="s">
        <v>1864</v>
      </c>
      <c r="H160" s="121"/>
      <c r="I160" s="118" t="s">
        <v>1815</v>
      </c>
      <c r="J160" s="121">
        <v>21.5</v>
      </c>
      <c r="K160" s="123">
        <v>48950</v>
      </c>
      <c r="L160" s="123">
        <v>12042</v>
      </c>
      <c r="M160" s="123">
        <v>31083</v>
      </c>
      <c r="N160" s="123">
        <v>68653</v>
      </c>
      <c r="O160" s="104">
        <v>68653</v>
      </c>
      <c r="P160" s="105"/>
      <c r="Q160" s="91">
        <v>0.4</v>
      </c>
      <c r="R160" s="91"/>
      <c r="S160" s="104">
        <f t="shared" si="58"/>
        <v>13.730600000000001</v>
      </c>
      <c r="U160" s="93">
        <f t="shared" si="75"/>
        <v>9.9384267178602528</v>
      </c>
      <c r="V160" s="93">
        <v>220</v>
      </c>
      <c r="W160" s="93">
        <f t="shared" si="59"/>
        <v>9.9384267178602528</v>
      </c>
      <c r="X160" s="89">
        <f t="shared" si="60"/>
        <v>3.5787583695923912E-4</v>
      </c>
      <c r="Y160" s="93">
        <f t="shared" si="61"/>
        <v>0.9762520125200741</v>
      </c>
      <c r="Z160" s="92">
        <f t="shared" si="62"/>
        <v>10.914678730380327</v>
      </c>
      <c r="AA160" s="93">
        <f t="shared" si="63"/>
        <v>0.14137443541525213</v>
      </c>
      <c r="AB160" s="93">
        <f t="shared" si="64"/>
        <v>11.056053165795579</v>
      </c>
      <c r="AC160" s="93">
        <f t="shared" si="65"/>
        <v>2.0709008871601448E-2</v>
      </c>
      <c r="AD160" s="93">
        <f t="shared" si="66"/>
        <v>11.076762174667181</v>
      </c>
      <c r="AE160" s="93">
        <f t="shared" si="67"/>
        <v>3.0335261618321605E-3</v>
      </c>
      <c r="AF160" s="92">
        <f t="shared" si="68"/>
        <v>11.079795700829013</v>
      </c>
      <c r="AG160" s="93">
        <f t="shared" si="69"/>
        <v>4.4436124545084741E-4</v>
      </c>
      <c r="AH160" s="92">
        <f t="shared" si="70"/>
        <v>11.080240062074465</v>
      </c>
      <c r="AI160" s="93">
        <f t="shared" si="72"/>
        <v>6.509154888338402E-5</v>
      </c>
      <c r="AJ160" s="92">
        <f t="shared" si="76"/>
        <v>11.080305153623348</v>
      </c>
      <c r="AK160" s="93">
        <f t="shared" si="73"/>
        <v>220</v>
      </c>
      <c r="AL160" s="89" t="str">
        <f t="shared" si="71"/>
        <v>'pass'</v>
      </c>
    </row>
    <row r="161" spans="1:38" x14ac:dyDescent="0.2">
      <c r="A161" s="79"/>
      <c r="B161" s="117" t="s">
        <v>1843</v>
      </c>
      <c r="C161" s="124">
        <v>15</v>
      </c>
      <c r="D161" s="119">
        <f t="shared" si="74"/>
        <v>3.5887743139459768E-4</v>
      </c>
      <c r="E161" s="121" t="s">
        <v>1865</v>
      </c>
      <c r="F161" s="120" t="s">
        <v>1813</v>
      </c>
      <c r="G161" s="122" t="s">
        <v>1866</v>
      </c>
      <c r="H161" s="121"/>
      <c r="I161" s="118" t="s">
        <v>1815</v>
      </c>
      <c r="J161" s="121">
        <v>21.5</v>
      </c>
      <c r="K161" s="123">
        <v>48950</v>
      </c>
      <c r="L161" s="123">
        <v>12042</v>
      </c>
      <c r="M161" s="123">
        <v>22546</v>
      </c>
      <c r="N161" s="123">
        <v>72412</v>
      </c>
      <c r="O161" s="104">
        <v>72412</v>
      </c>
      <c r="P161" s="105"/>
      <c r="Q161" s="91">
        <v>0.4</v>
      </c>
      <c r="R161" s="91"/>
      <c r="S161" s="104">
        <f t="shared" si="58"/>
        <v>14.482400000000002</v>
      </c>
      <c r="U161" s="93">
        <f t="shared" si="75"/>
        <v>10.482591518122977</v>
      </c>
      <c r="V161" s="93">
        <v>220</v>
      </c>
      <c r="W161" s="93">
        <f t="shared" si="59"/>
        <v>10.482591518122977</v>
      </c>
      <c r="X161" s="89">
        <f t="shared" si="60"/>
        <v>3.77470833115704E-4</v>
      </c>
      <c r="Y161" s="93">
        <f t="shared" si="61"/>
        <v>1.029705340343519</v>
      </c>
      <c r="Z161" s="92">
        <f t="shared" si="62"/>
        <v>11.512296858466495</v>
      </c>
      <c r="AA161" s="93">
        <f t="shared" si="63"/>
        <v>0.14911519696574424</v>
      </c>
      <c r="AB161" s="93">
        <f t="shared" si="64"/>
        <v>11.661412055432239</v>
      </c>
      <c r="AC161" s="93">
        <f t="shared" si="65"/>
        <v>2.1842901991324548E-2</v>
      </c>
      <c r="AD161" s="93">
        <f t="shared" si="66"/>
        <v>11.683254957423562</v>
      </c>
      <c r="AE161" s="93">
        <f t="shared" si="67"/>
        <v>3.1996226884563011E-3</v>
      </c>
      <c r="AF161" s="92">
        <f t="shared" si="68"/>
        <v>11.686454580112018</v>
      </c>
      <c r="AG161" s="93">
        <f t="shared" si="69"/>
        <v>4.6869163045441228E-4</v>
      </c>
      <c r="AH161" s="92">
        <f t="shared" si="70"/>
        <v>11.686923271742472</v>
      </c>
      <c r="AI161" s="93">
        <f t="shared" si="72"/>
        <v>6.8655546556503045E-5</v>
      </c>
      <c r="AJ161" s="92">
        <f t="shared" si="76"/>
        <v>11.686991927289029</v>
      </c>
      <c r="AK161" s="93">
        <f t="shared" si="73"/>
        <v>220</v>
      </c>
      <c r="AL161" s="89" t="str">
        <f t="shared" si="71"/>
        <v>'pass'</v>
      </c>
    </row>
    <row r="162" spans="1:38" x14ac:dyDescent="0.2">
      <c r="A162" s="79"/>
      <c r="B162" s="117" t="s">
        <v>1843</v>
      </c>
      <c r="C162" s="124">
        <v>15</v>
      </c>
      <c r="D162" s="119">
        <f t="shared" si="74"/>
        <v>3.5887743139459768E-4</v>
      </c>
      <c r="E162" s="121" t="s">
        <v>1867</v>
      </c>
      <c r="F162" s="120" t="s">
        <v>1813</v>
      </c>
      <c r="G162" s="122" t="s">
        <v>1868</v>
      </c>
      <c r="H162" s="121"/>
      <c r="I162" s="118" t="s">
        <v>1815</v>
      </c>
      <c r="J162" s="121">
        <v>21.5</v>
      </c>
      <c r="K162" s="123">
        <v>48950</v>
      </c>
      <c r="L162" s="123">
        <v>12042</v>
      </c>
      <c r="M162" s="123">
        <v>31426</v>
      </c>
      <c r="N162" s="123">
        <v>70702</v>
      </c>
      <c r="O162" s="104">
        <v>70702</v>
      </c>
      <c r="P162" s="105"/>
      <c r="Q162" s="91">
        <v>0.4</v>
      </c>
      <c r="R162" s="91"/>
      <c r="S162" s="104">
        <f t="shared" si="58"/>
        <v>14.140400000000001</v>
      </c>
      <c r="U162" s="93">
        <f t="shared" si="75"/>
        <v>10.235046477301147</v>
      </c>
      <c r="V162" s="93">
        <v>220</v>
      </c>
      <c r="W162" s="93">
        <f t="shared" si="59"/>
        <v>10.235046477301147</v>
      </c>
      <c r="X162" s="89">
        <f t="shared" si="60"/>
        <v>3.6855690828794261E-4</v>
      </c>
      <c r="Y162" s="93">
        <f t="shared" si="61"/>
        <v>1.0053889821157747</v>
      </c>
      <c r="Z162" s="92">
        <f t="shared" si="62"/>
        <v>11.240435459416922</v>
      </c>
      <c r="AA162" s="93">
        <f t="shared" si="63"/>
        <v>0.14559386090526497</v>
      </c>
      <c r="AB162" s="93">
        <f t="shared" si="64"/>
        <v>11.386029320322187</v>
      </c>
      <c r="AC162" s="93">
        <f t="shared" si="65"/>
        <v>2.1327084690253382E-2</v>
      </c>
      <c r="AD162" s="93">
        <f t="shared" si="66"/>
        <v>11.407356405012441</v>
      </c>
      <c r="AE162" s="93">
        <f t="shared" si="67"/>
        <v>3.1240640131364604E-3</v>
      </c>
      <c r="AF162" s="92">
        <f t="shared" si="68"/>
        <v>11.410480469025577</v>
      </c>
      <c r="AG162" s="93">
        <f t="shared" si="69"/>
        <v>4.5762353831392387E-4</v>
      </c>
      <c r="AH162" s="92">
        <f t="shared" si="70"/>
        <v>11.410938092563891</v>
      </c>
      <c r="AI162" s="93">
        <f t="shared" si="72"/>
        <v>6.7034254717973231E-5</v>
      </c>
      <c r="AJ162" s="92">
        <f t="shared" si="76"/>
        <v>11.411005126818608</v>
      </c>
      <c r="AK162" s="93">
        <f t="shared" si="73"/>
        <v>220</v>
      </c>
      <c r="AL162" s="89" t="str">
        <f t="shared" si="71"/>
        <v>'pass'</v>
      </c>
    </row>
    <row r="163" spans="1:38" x14ac:dyDescent="0.2">
      <c r="A163" s="79"/>
      <c r="B163" s="117" t="s">
        <v>1869</v>
      </c>
      <c r="C163" s="124">
        <v>6</v>
      </c>
      <c r="D163" s="119">
        <f t="shared" si="74"/>
        <v>1.4355097255783908E-4</v>
      </c>
      <c r="E163" s="121" t="s">
        <v>1870</v>
      </c>
      <c r="F163" s="120" t="s">
        <v>1871</v>
      </c>
      <c r="G163" s="122" t="s">
        <v>1872</v>
      </c>
      <c r="H163" s="121"/>
      <c r="I163" s="118" t="s">
        <v>1873</v>
      </c>
      <c r="J163" s="121">
        <v>12</v>
      </c>
      <c r="K163" s="135">
        <v>16245</v>
      </c>
      <c r="L163" s="123">
        <v>9100</v>
      </c>
      <c r="M163" s="136">
        <v>23915</v>
      </c>
      <c r="N163" s="136">
        <v>18356</v>
      </c>
      <c r="O163" s="104">
        <v>23915</v>
      </c>
      <c r="P163" s="105"/>
      <c r="Q163" s="91">
        <v>0.4</v>
      </c>
      <c r="R163" s="91"/>
      <c r="S163" s="104">
        <f t="shared" si="58"/>
        <v>4.7830000000000004</v>
      </c>
      <c r="U163" s="93">
        <f t="shared" si="75"/>
        <v>3.4620114919614284</v>
      </c>
      <c r="V163" s="93">
        <v>173</v>
      </c>
      <c r="W163" s="93">
        <f t="shared" si="59"/>
        <v>3.4620114919614284</v>
      </c>
      <c r="X163" s="89">
        <f t="shared" si="60"/>
        <v>1.246646270502411E-4</v>
      </c>
      <c r="Y163" s="93">
        <f t="shared" si="61"/>
        <v>0.34007351287514848</v>
      </c>
      <c r="Z163" s="92">
        <f t="shared" si="62"/>
        <v>3.8020850048365769</v>
      </c>
      <c r="AA163" s="93">
        <f t="shared" si="63"/>
        <v>4.9247223325357289E-2</v>
      </c>
      <c r="AB163" s="93">
        <f t="shared" si="64"/>
        <v>3.851332228161934</v>
      </c>
      <c r="AC163" s="93">
        <f t="shared" si="65"/>
        <v>7.2139010263841136E-3</v>
      </c>
      <c r="AD163" s="93">
        <f t="shared" si="66"/>
        <v>3.8585461291883183</v>
      </c>
      <c r="AE163" s="93">
        <f t="shared" si="67"/>
        <v>1.0567167954818597E-3</v>
      </c>
      <c r="AF163" s="92">
        <f t="shared" si="68"/>
        <v>3.8596028459838001</v>
      </c>
      <c r="AG163" s="93">
        <f t="shared" si="69"/>
        <v>1.5479147575425713E-4</v>
      </c>
      <c r="AH163" s="92">
        <f t="shared" si="70"/>
        <v>3.8597576374595546</v>
      </c>
      <c r="AI163" s="93">
        <f t="shared" si="72"/>
        <v>2.2674382642362728E-5</v>
      </c>
      <c r="AJ163" s="92">
        <f t="shared" si="76"/>
        <v>3.8597803118421972</v>
      </c>
      <c r="AK163" s="93">
        <f t="shared" si="73"/>
        <v>173</v>
      </c>
      <c r="AL163" s="89" t="str">
        <f t="shared" si="71"/>
        <v>'pass'</v>
      </c>
    </row>
    <row r="164" spans="1:38" x14ac:dyDescent="0.2">
      <c r="A164" s="79"/>
      <c r="B164" s="117" t="s">
        <v>1874</v>
      </c>
      <c r="C164" s="124">
        <v>6</v>
      </c>
      <c r="D164" s="119">
        <f t="shared" si="74"/>
        <v>1.4355097255783908E-4</v>
      </c>
      <c r="E164" s="121" t="s">
        <v>1875</v>
      </c>
      <c r="F164" s="120" t="s">
        <v>1871</v>
      </c>
      <c r="G164" s="122" t="s">
        <v>1876</v>
      </c>
      <c r="H164" s="121"/>
      <c r="I164" s="118" t="s">
        <v>1873</v>
      </c>
      <c r="J164" s="121">
        <v>14</v>
      </c>
      <c r="K164" s="135">
        <v>16245</v>
      </c>
      <c r="L164" s="123">
        <v>9200</v>
      </c>
      <c r="M164" s="136">
        <v>31402</v>
      </c>
      <c r="N164" s="136">
        <v>28017</v>
      </c>
      <c r="O164" s="104">
        <v>31402</v>
      </c>
      <c r="P164" s="105"/>
      <c r="Q164" s="91">
        <v>0.4</v>
      </c>
      <c r="R164" s="91"/>
      <c r="S164" s="104">
        <f t="shared" si="58"/>
        <v>6.2804000000000002</v>
      </c>
      <c r="U164" s="93">
        <f t="shared" si="75"/>
        <v>4.5458534338520913</v>
      </c>
      <c r="V164" s="93">
        <v>173</v>
      </c>
      <c r="W164" s="93">
        <f t="shared" si="59"/>
        <v>4.5458534338520913</v>
      </c>
      <c r="X164" s="89">
        <f t="shared" si="60"/>
        <v>1.6369302189553296E-4</v>
      </c>
      <c r="Y164" s="93">
        <f t="shared" si="61"/>
        <v>0.44653934565358189</v>
      </c>
      <c r="Z164" s="92">
        <f t="shared" si="62"/>
        <v>4.9923927795056731</v>
      </c>
      <c r="AA164" s="93">
        <f t="shared" si="63"/>
        <v>6.4664909339864921E-2</v>
      </c>
      <c r="AB164" s="93">
        <f t="shared" si="64"/>
        <v>5.0570576888455383</v>
      </c>
      <c r="AC164" s="93">
        <f t="shared" si="65"/>
        <v>9.472336191951241E-3</v>
      </c>
      <c r="AD164" s="93">
        <f t="shared" si="66"/>
        <v>5.0665300250374896</v>
      </c>
      <c r="AE164" s="93">
        <f t="shared" si="67"/>
        <v>1.3875400715752187E-3</v>
      </c>
      <c r="AF164" s="92">
        <f t="shared" si="68"/>
        <v>5.0679175651090649</v>
      </c>
      <c r="AG164" s="93">
        <f t="shared" si="69"/>
        <v>2.0325159613778724E-4</v>
      </c>
      <c r="AH164" s="92">
        <f t="shared" si="70"/>
        <v>5.0681208167052025</v>
      </c>
      <c r="AI164" s="93">
        <f t="shared" si="72"/>
        <v>2.9772986148253161E-5</v>
      </c>
      <c r="AJ164" s="92">
        <f t="shared" si="76"/>
        <v>5.068150589691351</v>
      </c>
      <c r="AK164" s="93">
        <f t="shared" si="73"/>
        <v>173</v>
      </c>
      <c r="AL164" s="89" t="str">
        <f t="shared" si="71"/>
        <v>'pass'</v>
      </c>
    </row>
    <row r="165" spans="1:38" x14ac:dyDescent="0.2">
      <c r="A165" s="79"/>
      <c r="B165" s="117" t="s">
        <v>1877</v>
      </c>
      <c r="C165" s="124">
        <v>6</v>
      </c>
      <c r="D165" s="119">
        <f t="shared" si="74"/>
        <v>1.4355097255783908E-4</v>
      </c>
      <c r="E165" s="121" t="s">
        <v>1878</v>
      </c>
      <c r="F165" s="120" t="s">
        <v>1871</v>
      </c>
      <c r="G165" s="122" t="s">
        <v>1783</v>
      </c>
      <c r="H165" s="121"/>
      <c r="I165" s="118" t="s">
        <v>1873</v>
      </c>
      <c r="J165" s="121">
        <v>14</v>
      </c>
      <c r="K165" s="135">
        <v>16245</v>
      </c>
      <c r="L165" s="123">
        <v>9100</v>
      </c>
      <c r="M165" s="136">
        <v>24640</v>
      </c>
      <c r="N165" s="136">
        <v>24635</v>
      </c>
      <c r="O165" s="104">
        <v>24640</v>
      </c>
      <c r="P165" s="105"/>
      <c r="Q165" s="91">
        <v>0.4</v>
      </c>
      <c r="R165" s="91"/>
      <c r="S165" s="104">
        <f t="shared" si="58"/>
        <v>4.9279999999999999</v>
      </c>
      <c r="U165" s="93">
        <f t="shared" si="75"/>
        <v>3.566964798742613</v>
      </c>
      <c r="V165" s="93">
        <v>173</v>
      </c>
      <c r="W165" s="93">
        <f t="shared" si="59"/>
        <v>3.566964798742613</v>
      </c>
      <c r="X165" s="89">
        <f t="shared" si="60"/>
        <v>1.2844392266435044E-4</v>
      </c>
      <c r="Y165" s="93">
        <f t="shared" si="61"/>
        <v>0.35038307996001083</v>
      </c>
      <c r="Z165" s="92">
        <f t="shared" si="62"/>
        <v>3.9173478787026239</v>
      </c>
      <c r="AA165" s="93">
        <f t="shared" si="63"/>
        <v>5.0740187444566327E-2</v>
      </c>
      <c r="AB165" s="93">
        <f t="shared" si="64"/>
        <v>3.9680880661471902</v>
      </c>
      <c r="AC165" s="93">
        <f t="shared" si="65"/>
        <v>7.4325954961365071E-3</v>
      </c>
      <c r="AD165" s="93">
        <f t="shared" si="66"/>
        <v>3.9755206616433267</v>
      </c>
      <c r="AE165" s="93">
        <f t="shared" si="67"/>
        <v>1.0887519063630786E-3</v>
      </c>
      <c r="AF165" s="92">
        <f t="shared" si="68"/>
        <v>3.9766094135496899</v>
      </c>
      <c r="AG165" s="93">
        <f t="shared" si="69"/>
        <v>1.5948408791908409E-4</v>
      </c>
      <c r="AH165" s="92">
        <f t="shared" si="70"/>
        <v>3.976768897637609</v>
      </c>
      <c r="AI165" s="93">
        <f t="shared" si="72"/>
        <v>2.3361772456944081E-5</v>
      </c>
      <c r="AJ165" s="92">
        <f t="shared" si="76"/>
        <v>3.976792259410066</v>
      </c>
      <c r="AK165" s="93">
        <f t="shared" si="73"/>
        <v>173</v>
      </c>
      <c r="AL165" s="89" t="str">
        <f t="shared" si="71"/>
        <v>'pass'</v>
      </c>
    </row>
    <row r="166" spans="1:38" x14ac:dyDescent="0.2">
      <c r="A166" s="79"/>
      <c r="B166" s="117" t="s">
        <v>1879</v>
      </c>
      <c r="C166" s="124">
        <v>9</v>
      </c>
      <c r="D166" s="119">
        <f t="shared" si="74"/>
        <v>2.1532645883675863E-4</v>
      </c>
      <c r="E166" s="121" t="s">
        <v>1880</v>
      </c>
      <c r="F166" s="125" t="s">
        <v>1881</v>
      </c>
      <c r="G166" s="122" t="s">
        <v>1710</v>
      </c>
      <c r="H166" s="121"/>
      <c r="I166" s="118" t="s">
        <v>1882</v>
      </c>
      <c r="J166" s="121">
        <v>19.8</v>
      </c>
      <c r="K166" s="123">
        <v>26004</v>
      </c>
      <c r="L166" s="123">
        <v>28271</v>
      </c>
      <c r="M166" s="123">
        <v>31986</v>
      </c>
      <c r="N166" s="123">
        <v>30465</v>
      </c>
      <c r="O166" s="104">
        <v>31986</v>
      </c>
      <c r="P166" s="105"/>
      <c r="Q166" s="91">
        <v>0.4</v>
      </c>
      <c r="R166" s="91"/>
      <c r="S166" s="104">
        <f t="shared" si="58"/>
        <v>6.3972000000000007</v>
      </c>
      <c r="U166" s="93">
        <f t="shared" si="75"/>
        <v>4.6303951320041081</v>
      </c>
      <c r="V166" s="93">
        <v>253</v>
      </c>
      <c r="W166" s="93">
        <f t="shared" si="59"/>
        <v>4.6303951320041081</v>
      </c>
      <c r="X166" s="89">
        <f t="shared" si="60"/>
        <v>1.6673730967296725E-4</v>
      </c>
      <c r="Y166" s="93">
        <f t="shared" si="61"/>
        <v>0.45484387969159518</v>
      </c>
      <c r="Z166" s="92">
        <f t="shared" si="62"/>
        <v>5.0852390116957036</v>
      </c>
      <c r="AA166" s="93">
        <f t="shared" si="63"/>
        <v>6.5867517678648471E-2</v>
      </c>
      <c r="AB166" s="93">
        <f t="shared" si="64"/>
        <v>5.1511065293743519</v>
      </c>
      <c r="AC166" s="93">
        <f t="shared" si="65"/>
        <v>9.6484983579310998E-3</v>
      </c>
      <c r="AD166" s="93">
        <f t="shared" si="66"/>
        <v>5.1607550277322831</v>
      </c>
      <c r="AE166" s="93">
        <f t="shared" si="67"/>
        <v>1.4133449057195384E-3</v>
      </c>
      <c r="AF166" s="92">
        <f t="shared" si="68"/>
        <v>5.1621683726380025</v>
      </c>
      <c r="AG166" s="93">
        <f t="shared" si="69"/>
        <v>2.0703157614366166E-4</v>
      </c>
      <c r="AH166" s="92">
        <f t="shared" si="70"/>
        <v>5.1623754042141465</v>
      </c>
      <c r="AI166" s="93">
        <f t="shared" si="72"/>
        <v>3.032669049544697E-5</v>
      </c>
      <c r="AJ166" s="92">
        <f t="shared" si="76"/>
        <v>5.1624057309046423</v>
      </c>
      <c r="AK166" s="93">
        <f t="shared" si="73"/>
        <v>253</v>
      </c>
      <c r="AL166" s="89" t="str">
        <f t="shared" si="71"/>
        <v>'pass'</v>
      </c>
    </row>
    <row r="167" spans="1:38" x14ac:dyDescent="0.2">
      <c r="A167" s="79"/>
      <c r="B167" s="117" t="s">
        <v>1883</v>
      </c>
      <c r="C167" s="124">
        <v>10</v>
      </c>
      <c r="D167" s="119">
        <f t="shared" si="74"/>
        <v>2.3925162092973179E-4</v>
      </c>
      <c r="E167" s="121" t="s">
        <v>1884</v>
      </c>
      <c r="F167" s="120" t="s">
        <v>1885</v>
      </c>
      <c r="G167" s="122" t="s">
        <v>1710</v>
      </c>
      <c r="H167" s="121"/>
      <c r="I167" s="118" t="s">
        <v>1886</v>
      </c>
      <c r="J167" s="121">
        <v>25</v>
      </c>
      <c r="K167" s="123">
        <v>26204</v>
      </c>
      <c r="L167" s="123">
        <v>21323</v>
      </c>
      <c r="M167" s="123">
        <v>28938</v>
      </c>
      <c r="N167" s="123">
        <v>6855</v>
      </c>
      <c r="O167" s="104">
        <v>28938</v>
      </c>
      <c r="P167" s="105"/>
      <c r="Q167" s="91">
        <v>0.4</v>
      </c>
      <c r="R167" s="91"/>
      <c r="S167" s="104">
        <f t="shared" si="58"/>
        <v>5.7876000000000003</v>
      </c>
      <c r="U167" s="93">
        <f t="shared" si="75"/>
        <v>4.1891569539778306</v>
      </c>
      <c r="V167" s="93">
        <v>253</v>
      </c>
      <c r="W167" s="93">
        <f t="shared" si="59"/>
        <v>4.1891569539778306</v>
      </c>
      <c r="X167" s="89">
        <f t="shared" si="60"/>
        <v>1.5084862962909794E-4</v>
      </c>
      <c r="Y167" s="93">
        <f t="shared" si="61"/>
        <v>0.41150103765758089</v>
      </c>
      <c r="Z167" s="92">
        <f t="shared" si="62"/>
        <v>4.6006579916354111</v>
      </c>
      <c r="AA167" s="93">
        <f t="shared" si="63"/>
        <v>5.9590890595408293E-2</v>
      </c>
      <c r="AB167" s="93">
        <f t="shared" si="64"/>
        <v>4.6602488822308192</v>
      </c>
      <c r="AC167" s="93">
        <f t="shared" si="65"/>
        <v>8.7290766423375916E-3</v>
      </c>
      <c r="AD167" s="93">
        <f t="shared" si="66"/>
        <v>4.6689779588731568</v>
      </c>
      <c r="AE167" s="93">
        <f t="shared" si="67"/>
        <v>1.2786648809389109E-3</v>
      </c>
      <c r="AF167" s="92">
        <f t="shared" si="68"/>
        <v>4.6702566237540957</v>
      </c>
      <c r="AG167" s="93">
        <f t="shared" si="69"/>
        <v>1.8730318734587887E-4</v>
      </c>
      <c r="AH167" s="92">
        <f t="shared" si="70"/>
        <v>4.6704439269414415</v>
      </c>
      <c r="AI167" s="93">
        <f t="shared" si="72"/>
        <v>2.7436808902558759E-5</v>
      </c>
      <c r="AJ167" s="92">
        <f t="shared" si="76"/>
        <v>4.6704713637503437</v>
      </c>
      <c r="AK167" s="93">
        <f t="shared" si="73"/>
        <v>253</v>
      </c>
      <c r="AL167" s="89" t="str">
        <f t="shared" si="71"/>
        <v>'pass'</v>
      </c>
    </row>
    <row r="168" spans="1:38" x14ac:dyDescent="0.2">
      <c r="A168" s="79"/>
      <c r="B168" s="117" t="s">
        <v>1887</v>
      </c>
      <c r="C168" s="124">
        <v>5</v>
      </c>
      <c r="D168" s="119">
        <f t="shared" si="74"/>
        <v>1.1962581046486589E-4</v>
      </c>
      <c r="E168" s="121" t="s">
        <v>1888</v>
      </c>
      <c r="F168" s="120" t="s">
        <v>1885</v>
      </c>
      <c r="G168" s="122" t="s">
        <v>1724</v>
      </c>
      <c r="H168" s="121"/>
      <c r="I168" s="118" t="s">
        <v>1886</v>
      </c>
      <c r="J168" s="121">
        <v>16.600000000000001</v>
      </c>
      <c r="K168" s="123">
        <v>19965</v>
      </c>
      <c r="L168" s="123">
        <v>16888</v>
      </c>
      <c r="M168" s="123">
        <v>21120</v>
      </c>
      <c r="N168" s="123">
        <v>22800</v>
      </c>
      <c r="O168" s="104">
        <v>22800</v>
      </c>
      <c r="P168" s="105"/>
      <c r="Q168" s="91">
        <v>0.4</v>
      </c>
      <c r="R168" s="91"/>
      <c r="S168" s="104">
        <f t="shared" si="58"/>
        <v>4.5599999999999996</v>
      </c>
      <c r="U168" s="93">
        <f t="shared" si="75"/>
        <v>3.3006005442910542</v>
      </c>
      <c r="V168" s="93">
        <v>176</v>
      </c>
      <c r="W168" s="93">
        <f t="shared" si="59"/>
        <v>3.3006005442910542</v>
      </c>
      <c r="X168" s="89">
        <f t="shared" si="60"/>
        <v>1.1885233103681778E-4</v>
      </c>
      <c r="Y168" s="93">
        <f t="shared" si="61"/>
        <v>0.32421810970325676</v>
      </c>
      <c r="Z168" s="92">
        <f t="shared" si="62"/>
        <v>3.624818653994311</v>
      </c>
      <c r="AA168" s="93">
        <f t="shared" si="63"/>
        <v>4.6951147473056502E-2</v>
      </c>
      <c r="AB168" s="93">
        <f t="shared" si="64"/>
        <v>3.6717698014673674</v>
      </c>
      <c r="AC168" s="93">
        <f t="shared" si="65"/>
        <v>6.8775640142821571E-3</v>
      </c>
      <c r="AD168" s="93">
        <f t="shared" si="66"/>
        <v>3.6786473654816496</v>
      </c>
      <c r="AE168" s="93">
        <f t="shared" si="67"/>
        <v>1.007449004264537E-3</v>
      </c>
      <c r="AF168" s="92">
        <f t="shared" si="68"/>
        <v>3.679654814485914</v>
      </c>
      <c r="AG168" s="93">
        <f t="shared" si="69"/>
        <v>1.4757456187317844E-4</v>
      </c>
      <c r="AH168" s="92">
        <f t="shared" si="70"/>
        <v>3.6798023890477873</v>
      </c>
      <c r="AI168" s="93">
        <f t="shared" si="72"/>
        <v>2.1617224513730723E-5</v>
      </c>
      <c r="AJ168" s="92">
        <f t="shared" si="76"/>
        <v>3.6798240062723009</v>
      </c>
      <c r="AK168" s="93">
        <f t="shared" si="73"/>
        <v>176</v>
      </c>
      <c r="AL168" s="89" t="str">
        <f t="shared" si="71"/>
        <v>'pass'</v>
      </c>
    </row>
    <row r="169" spans="1:38" x14ac:dyDescent="0.2">
      <c r="A169" s="79"/>
      <c r="B169" s="117" t="s">
        <v>1889</v>
      </c>
      <c r="C169" s="124">
        <v>219</v>
      </c>
      <c r="D169" s="119">
        <f t="shared" si="74"/>
        <v>5.2396104983611263E-3</v>
      </c>
      <c r="E169" s="121" t="s">
        <v>1890</v>
      </c>
      <c r="F169" s="120" t="s">
        <v>1891</v>
      </c>
      <c r="G169" s="122">
        <v>10</v>
      </c>
      <c r="H169" s="121"/>
      <c r="I169" s="118" t="s">
        <v>1892</v>
      </c>
      <c r="J169" s="121">
        <v>400</v>
      </c>
      <c r="K169" s="123">
        <v>1691474</v>
      </c>
      <c r="L169" s="123">
        <v>4865967</v>
      </c>
      <c r="M169" s="123">
        <v>5126513</v>
      </c>
      <c r="N169" s="123">
        <v>3864567</v>
      </c>
      <c r="O169" s="104">
        <v>5126513</v>
      </c>
      <c r="P169" s="105"/>
      <c r="Q169" s="91">
        <f>IF(J169&gt;25,0.15,0)</f>
        <v>0.15</v>
      </c>
      <c r="R169" s="91"/>
      <c r="S169" s="104">
        <f t="shared" si="58"/>
        <v>384.48847499999999</v>
      </c>
      <c r="U169" s="93">
        <f t="shared" si="75"/>
        <v>278.29887496899943</v>
      </c>
      <c r="V169" s="93">
        <v>1930</v>
      </c>
      <c r="W169" s="93">
        <f t="shared" si="59"/>
        <v>278.29887496899943</v>
      </c>
      <c r="X169" s="89">
        <f t="shared" si="60"/>
        <v>1.0021349015469569E-2</v>
      </c>
      <c r="Y169" s="93">
        <f t="shared" si="61"/>
        <v>27.337308457716642</v>
      </c>
      <c r="Z169" s="92">
        <f t="shared" si="62"/>
        <v>305.63618342671606</v>
      </c>
      <c r="AA169" s="93">
        <f t="shared" si="63"/>
        <v>3.9588103270648238</v>
      </c>
      <c r="AB169" s="93">
        <f t="shared" si="64"/>
        <v>309.5949937537809</v>
      </c>
      <c r="AC169" s="93">
        <f t="shared" si="65"/>
        <v>0.57990002183469835</v>
      </c>
      <c r="AD169" s="93">
        <f t="shared" si="66"/>
        <v>310.1748937756156</v>
      </c>
      <c r="AE169" s="93">
        <f t="shared" si="67"/>
        <v>8.494573054603953E-2</v>
      </c>
      <c r="AF169" s="92">
        <f t="shared" si="68"/>
        <v>310.25983950616165</v>
      </c>
      <c r="AG169" s="93">
        <f t="shared" si="69"/>
        <v>1.2443139965660422E-2</v>
      </c>
      <c r="AH169" s="92">
        <f t="shared" si="70"/>
        <v>310.27228264612734</v>
      </c>
      <c r="AI169" s="93">
        <f t="shared" si="72"/>
        <v>1.8227135278545926E-3</v>
      </c>
      <c r="AJ169" s="92">
        <f t="shared" si="76"/>
        <v>310.27410535965521</v>
      </c>
      <c r="AK169" s="93">
        <f t="shared" si="73"/>
        <v>1930</v>
      </c>
      <c r="AL169" s="89" t="str">
        <f t="shared" si="71"/>
        <v>'pass'</v>
      </c>
    </row>
    <row r="170" spans="1:38" x14ac:dyDescent="0.2">
      <c r="A170" s="79"/>
      <c r="B170" s="117" t="s">
        <v>1893</v>
      </c>
      <c r="C170" s="124">
        <v>248</v>
      </c>
      <c r="D170" s="119">
        <f t="shared" si="74"/>
        <v>5.9334401990573486E-3</v>
      </c>
      <c r="E170" s="121" t="s">
        <v>1894</v>
      </c>
      <c r="F170" s="120" t="s">
        <v>1891</v>
      </c>
      <c r="G170" s="122">
        <v>20</v>
      </c>
      <c r="H170" s="121"/>
      <c r="I170" s="118" t="s">
        <v>1895</v>
      </c>
      <c r="J170" s="121">
        <v>400</v>
      </c>
      <c r="K170" s="123">
        <v>6177572</v>
      </c>
      <c r="L170" s="123">
        <v>5976348</v>
      </c>
      <c r="M170" s="123">
        <v>3442729</v>
      </c>
      <c r="N170" s="123">
        <v>5777882</v>
      </c>
      <c r="O170" s="104">
        <v>6177572</v>
      </c>
      <c r="P170" s="105"/>
      <c r="Q170" s="91">
        <f>IF(J170&gt;25,0.15,0)</f>
        <v>0.15</v>
      </c>
      <c r="R170" s="91"/>
      <c r="S170" s="104">
        <f t="shared" si="58"/>
        <v>463.31789999999995</v>
      </c>
      <c r="U170" s="93">
        <f t="shared" si="75"/>
        <v>335.3568668683746</v>
      </c>
      <c r="V170" s="93">
        <v>1914</v>
      </c>
      <c r="W170" s="93">
        <f t="shared" si="59"/>
        <v>335.3568668683746</v>
      </c>
      <c r="X170" s="89">
        <f t="shared" si="60"/>
        <v>1.2075967637298955E-2</v>
      </c>
      <c r="Y170" s="93">
        <f t="shared" si="61"/>
        <v>32.942117045983011</v>
      </c>
      <c r="Z170" s="92">
        <f t="shared" si="62"/>
        <v>368.29898391435762</v>
      </c>
      <c r="AA170" s="93">
        <f t="shared" si="63"/>
        <v>4.7704620723260627</v>
      </c>
      <c r="AB170" s="93">
        <f t="shared" si="64"/>
        <v>373.06944598668366</v>
      </c>
      <c r="AC170" s="93">
        <f t="shared" si="65"/>
        <v>0.69879353425718838</v>
      </c>
      <c r="AD170" s="93">
        <f t="shared" si="66"/>
        <v>373.76823952094082</v>
      </c>
      <c r="AE170" s="93">
        <f t="shared" si="67"/>
        <v>0.10236165723967901</v>
      </c>
      <c r="AF170" s="92">
        <f t="shared" si="68"/>
        <v>373.87060117818049</v>
      </c>
      <c r="AG170" s="93">
        <f t="shared" si="69"/>
        <v>1.4994284232566031E-2</v>
      </c>
      <c r="AH170" s="92">
        <f t="shared" si="70"/>
        <v>373.88559546241305</v>
      </c>
      <c r="AI170" s="93">
        <f t="shared" si="72"/>
        <v>2.1964138301601402E-3</v>
      </c>
      <c r="AJ170" s="92">
        <f t="shared" si="76"/>
        <v>373.88779187624323</v>
      </c>
      <c r="AK170" s="93">
        <f t="shared" si="73"/>
        <v>1914</v>
      </c>
      <c r="AL170" s="89" t="str">
        <f t="shared" si="71"/>
        <v>'pass'</v>
      </c>
    </row>
    <row r="171" spans="1:38" x14ac:dyDescent="0.2">
      <c r="A171" s="79"/>
      <c r="B171" s="117" t="s">
        <v>1896</v>
      </c>
      <c r="C171" s="124">
        <v>1507</v>
      </c>
      <c r="D171" s="119">
        <f t="shared" si="74"/>
        <v>3.6055219274110581E-2</v>
      </c>
      <c r="E171" s="121" t="s">
        <v>1897</v>
      </c>
      <c r="F171" s="120" t="s">
        <v>1891</v>
      </c>
      <c r="G171" s="122">
        <v>30</v>
      </c>
      <c r="H171" s="121"/>
      <c r="I171" s="118" t="s">
        <v>1895</v>
      </c>
      <c r="J171" s="121">
        <v>1028</v>
      </c>
      <c r="K171" s="123">
        <v>14908473</v>
      </c>
      <c r="L171" s="123">
        <v>15872640</v>
      </c>
      <c r="M171" s="123">
        <v>20555940</v>
      </c>
      <c r="N171" s="123">
        <v>24969597</v>
      </c>
      <c r="O171" s="104">
        <v>24969597</v>
      </c>
      <c r="P171" s="105"/>
      <c r="Q171" s="91">
        <f>IF(J171&gt;25,0.15,0)</f>
        <v>0.15</v>
      </c>
      <c r="R171" s="91"/>
      <c r="S171" s="104">
        <f t="shared" si="58"/>
        <v>1872.7197749999998</v>
      </c>
      <c r="U171" s="93">
        <f t="shared" si="75"/>
        <v>1355.5043659363203</v>
      </c>
      <c r="V171" s="93">
        <v>4305</v>
      </c>
      <c r="W171" s="93">
        <f t="shared" si="59"/>
        <v>1355.5043659363203</v>
      </c>
      <c r="X171" s="89">
        <f t="shared" si="60"/>
        <v>4.8810769876643616E-2</v>
      </c>
      <c r="Y171" s="93">
        <f t="shared" si="61"/>
        <v>133.15124242421234</v>
      </c>
      <c r="Z171" s="92">
        <f t="shared" si="62"/>
        <v>1488.6556083605326</v>
      </c>
      <c r="AA171" s="93">
        <f t="shared" si="63"/>
        <v>19.282092616608374</v>
      </c>
      <c r="AB171" s="93">
        <f t="shared" si="64"/>
        <v>1507.937700977141</v>
      </c>
      <c r="AC171" s="93">
        <f t="shared" si="65"/>
        <v>2.8245066081961792</v>
      </c>
      <c r="AD171" s="93">
        <f t="shared" si="66"/>
        <v>1510.7622075853371</v>
      </c>
      <c r="AE171" s="93">
        <f t="shared" si="67"/>
        <v>0.41374334925224943</v>
      </c>
      <c r="AF171" s="92">
        <f t="shared" si="68"/>
        <v>1511.1759509345893</v>
      </c>
      <c r="AG171" s="93">
        <f t="shared" si="69"/>
        <v>6.0606535155013665E-2</v>
      </c>
      <c r="AH171" s="92">
        <f t="shared" si="70"/>
        <v>1511.2365574697444</v>
      </c>
      <c r="AI171" s="93">
        <f t="shared" si="72"/>
        <v>8.8778517165522541E-3</v>
      </c>
      <c r="AJ171" s="92">
        <f t="shared" si="76"/>
        <v>1511.2454353214609</v>
      </c>
      <c r="AK171" s="93">
        <f t="shared" si="73"/>
        <v>4305</v>
      </c>
      <c r="AL171" s="89" t="str">
        <f t="shared" si="71"/>
        <v>'pass'</v>
      </c>
    </row>
    <row r="172" spans="1:38" x14ac:dyDescent="0.2">
      <c r="A172" s="79"/>
      <c r="B172" s="117" t="s">
        <v>1898</v>
      </c>
      <c r="C172" s="124">
        <v>1</v>
      </c>
      <c r="D172" s="119">
        <f t="shared" si="74"/>
        <v>2.3925162092973181E-5</v>
      </c>
      <c r="E172" s="121" t="s">
        <v>1899</v>
      </c>
      <c r="F172" s="120" t="s">
        <v>1891</v>
      </c>
      <c r="G172" s="122" t="s">
        <v>1710</v>
      </c>
      <c r="H172" s="121"/>
      <c r="I172" s="118" t="s">
        <v>1900</v>
      </c>
      <c r="J172" s="121">
        <v>16</v>
      </c>
      <c r="K172" s="123">
        <v>0</v>
      </c>
      <c r="L172" s="123">
        <v>0</v>
      </c>
      <c r="M172" s="123">
        <v>206</v>
      </c>
      <c r="N172" s="123">
        <v>5565</v>
      </c>
      <c r="O172" s="104">
        <v>5565</v>
      </c>
      <c r="P172" s="105"/>
      <c r="Q172" s="91">
        <v>0.4</v>
      </c>
      <c r="R172" s="91"/>
      <c r="S172" s="104">
        <f t="shared" si="58"/>
        <v>1.113</v>
      </c>
      <c r="U172" s="93">
        <f t="shared" si="75"/>
        <v>0.80560710653419809</v>
      </c>
      <c r="V172" s="93">
        <v>178</v>
      </c>
      <c r="W172" s="93">
        <f t="shared" si="59"/>
        <v>0.80560710653419809</v>
      </c>
      <c r="X172" s="89">
        <f t="shared" si="60"/>
        <v>2.9009351851749603E-5</v>
      </c>
      <c r="Y172" s="93">
        <f t="shared" si="61"/>
        <v>7.9134814934150172E-2</v>
      </c>
      <c r="Z172" s="92">
        <f t="shared" si="62"/>
        <v>0.88474192146834829</v>
      </c>
      <c r="AA172" s="93">
        <f t="shared" si="63"/>
        <v>1.1459786652963133E-2</v>
      </c>
      <c r="AB172" s="93">
        <f t="shared" si="64"/>
        <v>0.89620170812131139</v>
      </c>
      <c r="AC172" s="93">
        <f t="shared" si="65"/>
        <v>1.6786685850649213E-3</v>
      </c>
      <c r="AD172" s="93">
        <f t="shared" si="66"/>
        <v>0.89788037670637633</v>
      </c>
      <c r="AE172" s="93">
        <f t="shared" si="67"/>
        <v>2.458970924882521E-4</v>
      </c>
      <c r="AF172" s="92">
        <f t="shared" si="68"/>
        <v>0.89812627379886456</v>
      </c>
      <c r="AG172" s="93">
        <f t="shared" si="69"/>
        <v>3.6019843720361319E-5</v>
      </c>
      <c r="AH172" s="92">
        <f t="shared" si="70"/>
        <v>0.89816229364258493</v>
      </c>
      <c r="AI172" s="93">
        <f t="shared" si="72"/>
        <v>5.2763094043382224E-6</v>
      </c>
      <c r="AJ172" s="92">
        <f t="shared" si="76"/>
        <v>0.89816756995198932</v>
      </c>
      <c r="AK172" s="93">
        <f t="shared" si="73"/>
        <v>178</v>
      </c>
      <c r="AL172" s="89" t="str">
        <f t="shared" si="71"/>
        <v>'pass'</v>
      </c>
    </row>
    <row r="173" spans="1:38" x14ac:dyDescent="0.2">
      <c r="A173" s="79"/>
      <c r="B173" s="117" t="s">
        <v>1901</v>
      </c>
      <c r="C173" s="124">
        <v>18</v>
      </c>
      <c r="D173" s="119">
        <f t="shared" si="74"/>
        <v>4.3065291767351726E-4</v>
      </c>
      <c r="E173" s="121" t="s">
        <v>1902</v>
      </c>
      <c r="F173" s="120" t="s">
        <v>1891</v>
      </c>
      <c r="G173" s="122" t="s">
        <v>1746</v>
      </c>
      <c r="H173" s="121"/>
      <c r="I173" s="118" t="s">
        <v>1903</v>
      </c>
      <c r="J173" s="121">
        <v>39</v>
      </c>
      <c r="K173" s="123">
        <v>45709</v>
      </c>
      <c r="L173" s="123">
        <v>47509</v>
      </c>
      <c r="M173" s="123">
        <v>58256</v>
      </c>
      <c r="N173" s="123">
        <v>28297</v>
      </c>
      <c r="O173" s="104">
        <v>58256</v>
      </c>
      <c r="P173" s="105"/>
      <c r="Q173" s="91">
        <f t="shared" ref="Q173:Q180" si="77">IF(J173&gt;25,0.15,0)</f>
        <v>0.15</v>
      </c>
      <c r="R173" s="91"/>
      <c r="S173" s="104">
        <f t="shared" si="58"/>
        <v>4.3692000000000002</v>
      </c>
      <c r="U173" s="93">
        <f t="shared" si="75"/>
        <v>3.162496468885192</v>
      </c>
      <c r="V173" s="93">
        <v>385</v>
      </c>
      <c r="W173" s="93">
        <f t="shared" si="59"/>
        <v>3.162496468885192</v>
      </c>
      <c r="X173" s="89">
        <f t="shared" si="60"/>
        <v>1.1387929929080358E-4</v>
      </c>
      <c r="Y173" s="93">
        <f t="shared" si="61"/>
        <v>0.31065214142883107</v>
      </c>
      <c r="Z173" s="92">
        <f t="shared" si="62"/>
        <v>3.473148610314023</v>
      </c>
      <c r="AA173" s="93">
        <f t="shared" si="63"/>
        <v>4.4986612618262832E-2</v>
      </c>
      <c r="AB173" s="93">
        <f t="shared" si="64"/>
        <v>3.518135222932286</v>
      </c>
      <c r="AC173" s="93">
        <f t="shared" si="65"/>
        <v>6.5897922568424576E-3</v>
      </c>
      <c r="AD173" s="93">
        <f t="shared" si="66"/>
        <v>3.5247250151891283</v>
      </c>
      <c r="AE173" s="93">
        <f t="shared" si="67"/>
        <v>9.6529521698083664E-4</v>
      </c>
      <c r="AF173" s="92">
        <f t="shared" si="68"/>
        <v>3.5256903104061093</v>
      </c>
      <c r="AG173" s="93">
        <f t="shared" si="69"/>
        <v>1.4139973152111653E-4</v>
      </c>
      <c r="AH173" s="92">
        <f t="shared" si="70"/>
        <v>3.5258317101376302</v>
      </c>
      <c r="AI173" s="93">
        <f t="shared" si="72"/>
        <v>2.0712714330129889E-5</v>
      </c>
      <c r="AJ173" s="92">
        <f t="shared" si="76"/>
        <v>3.5258524228519605</v>
      </c>
      <c r="AK173" s="93">
        <f t="shared" si="73"/>
        <v>385</v>
      </c>
      <c r="AL173" s="89" t="str">
        <f t="shared" si="71"/>
        <v>'pass'</v>
      </c>
    </row>
    <row r="174" spans="1:38" x14ac:dyDescent="0.2">
      <c r="A174" s="79"/>
      <c r="B174" s="117" t="s">
        <v>1904</v>
      </c>
      <c r="C174" s="124">
        <v>19</v>
      </c>
      <c r="D174" s="119">
        <f t="shared" si="74"/>
        <v>4.5457807976649042E-4</v>
      </c>
      <c r="E174" s="121" t="s">
        <v>1905</v>
      </c>
      <c r="F174" s="120" t="s">
        <v>1891</v>
      </c>
      <c r="G174" s="122" t="s">
        <v>1750</v>
      </c>
      <c r="H174" s="121"/>
      <c r="I174" s="118" t="s">
        <v>1903</v>
      </c>
      <c r="J174" s="121">
        <v>39</v>
      </c>
      <c r="K174" s="123">
        <v>45709</v>
      </c>
      <c r="L174" s="123">
        <v>47509</v>
      </c>
      <c r="M174" s="123">
        <v>70460</v>
      </c>
      <c r="N174" s="123">
        <v>65468</v>
      </c>
      <c r="O174" s="104">
        <v>70460</v>
      </c>
      <c r="P174" s="105"/>
      <c r="Q174" s="91">
        <f t="shared" si="77"/>
        <v>0.15</v>
      </c>
      <c r="R174" s="91"/>
      <c r="S174" s="104">
        <f t="shared" si="58"/>
        <v>5.2845000000000004</v>
      </c>
      <c r="U174" s="93">
        <f t="shared" si="75"/>
        <v>3.8250051702425609</v>
      </c>
      <c r="V174" s="93">
        <v>385</v>
      </c>
      <c r="W174" s="93">
        <f t="shared" si="59"/>
        <v>3.8250051702425609</v>
      </c>
      <c r="X174" s="89">
        <f t="shared" si="60"/>
        <v>1.3773577705352273E-4</v>
      </c>
      <c r="Y174" s="93">
        <f t="shared" si="61"/>
        <v>0.37573039489624138</v>
      </c>
      <c r="Z174" s="92">
        <f t="shared" si="62"/>
        <v>4.2007355651388023</v>
      </c>
      <c r="AA174" s="93">
        <f t="shared" si="63"/>
        <v>5.4410819916966474E-2</v>
      </c>
      <c r="AB174" s="93">
        <f t="shared" si="64"/>
        <v>4.2551463850557685</v>
      </c>
      <c r="AC174" s="93">
        <f t="shared" si="65"/>
        <v>7.9702822441829087E-3</v>
      </c>
      <c r="AD174" s="93">
        <f t="shared" si="66"/>
        <v>4.2631166672999514</v>
      </c>
      <c r="AE174" s="93">
        <f t="shared" si="67"/>
        <v>1.1675140927710408E-3</v>
      </c>
      <c r="AF174" s="92">
        <f t="shared" si="68"/>
        <v>4.2642841813927221</v>
      </c>
      <c r="AG174" s="93">
        <f t="shared" si="69"/>
        <v>1.7102144127605518E-4</v>
      </c>
      <c r="AH174" s="92">
        <f t="shared" si="70"/>
        <v>4.2644552028339984</v>
      </c>
      <c r="AI174" s="93">
        <f t="shared" si="72"/>
        <v>2.5051803276932023E-5</v>
      </c>
      <c r="AJ174" s="92">
        <f t="shared" si="76"/>
        <v>4.2644802546372755</v>
      </c>
      <c r="AK174" s="93">
        <f t="shared" si="73"/>
        <v>385</v>
      </c>
      <c r="AL174" s="89" t="str">
        <f t="shared" si="71"/>
        <v>'pass'</v>
      </c>
    </row>
    <row r="175" spans="1:38" x14ac:dyDescent="0.2">
      <c r="A175" s="79"/>
      <c r="B175" s="117" t="s">
        <v>1906</v>
      </c>
      <c r="C175" s="124">
        <v>18</v>
      </c>
      <c r="D175" s="119">
        <f t="shared" si="74"/>
        <v>4.3065291767351726E-4</v>
      </c>
      <c r="E175" s="121" t="s">
        <v>1907</v>
      </c>
      <c r="F175" s="120" t="s">
        <v>1891</v>
      </c>
      <c r="G175" s="122" t="s">
        <v>1753</v>
      </c>
      <c r="H175" s="121"/>
      <c r="I175" s="118" t="s">
        <v>1903</v>
      </c>
      <c r="J175" s="121">
        <v>39</v>
      </c>
      <c r="K175" s="123">
        <v>45709</v>
      </c>
      <c r="L175" s="123">
        <v>47509</v>
      </c>
      <c r="M175" s="123">
        <v>67687</v>
      </c>
      <c r="N175" s="123">
        <v>71016</v>
      </c>
      <c r="O175" s="104">
        <v>71016</v>
      </c>
      <c r="P175" s="105"/>
      <c r="Q175" s="91">
        <f t="shared" si="77"/>
        <v>0.15</v>
      </c>
      <c r="R175" s="91"/>
      <c r="S175" s="104">
        <f t="shared" si="58"/>
        <v>5.3262</v>
      </c>
      <c r="U175" s="93">
        <f t="shared" si="75"/>
        <v>3.8551882936410116</v>
      </c>
      <c r="V175" s="93">
        <v>385</v>
      </c>
      <c r="W175" s="93">
        <f t="shared" si="59"/>
        <v>3.8551882936410116</v>
      </c>
      <c r="X175" s="89">
        <f t="shared" si="60"/>
        <v>1.3882265034392518E-4</v>
      </c>
      <c r="Y175" s="93">
        <f t="shared" si="61"/>
        <v>0.37869528418892234</v>
      </c>
      <c r="Z175" s="92">
        <f t="shared" si="62"/>
        <v>4.2338835778299337</v>
      </c>
      <c r="AA175" s="93">
        <f t="shared" si="63"/>
        <v>5.484017580504244E-2</v>
      </c>
      <c r="AB175" s="93">
        <f t="shared" si="64"/>
        <v>4.2887237536349758</v>
      </c>
      <c r="AC175" s="93">
        <f t="shared" si="65"/>
        <v>8.033175757208251E-3</v>
      </c>
      <c r="AD175" s="93">
        <f t="shared" si="66"/>
        <v>4.2967569293921839</v>
      </c>
      <c r="AE175" s="93">
        <f t="shared" si="67"/>
        <v>1.1767269487968808E-3</v>
      </c>
      <c r="AF175" s="92">
        <f t="shared" si="68"/>
        <v>4.2979336563409811</v>
      </c>
      <c r="AG175" s="93">
        <f t="shared" si="69"/>
        <v>1.7237097180897433E-4</v>
      </c>
      <c r="AH175" s="92">
        <f t="shared" si="70"/>
        <v>4.29810602731279</v>
      </c>
      <c r="AI175" s="93">
        <f t="shared" si="72"/>
        <v>2.524948710636679E-5</v>
      </c>
      <c r="AJ175" s="92">
        <f t="shared" si="76"/>
        <v>4.2981312767998965</v>
      </c>
      <c r="AK175" s="93">
        <f t="shared" si="73"/>
        <v>385</v>
      </c>
      <c r="AL175" s="89" t="str">
        <f t="shared" si="71"/>
        <v>'pass'</v>
      </c>
    </row>
    <row r="176" spans="1:38" x14ac:dyDescent="0.2">
      <c r="A176" s="79"/>
      <c r="B176" s="117" t="s">
        <v>1908</v>
      </c>
      <c r="C176" s="124">
        <v>19</v>
      </c>
      <c r="D176" s="119">
        <f t="shared" si="74"/>
        <v>4.5457807976649042E-4</v>
      </c>
      <c r="E176" s="121" t="s">
        <v>1909</v>
      </c>
      <c r="F176" s="120" t="s">
        <v>1891</v>
      </c>
      <c r="G176" s="122" t="s">
        <v>1756</v>
      </c>
      <c r="H176" s="121"/>
      <c r="I176" s="118" t="s">
        <v>1903</v>
      </c>
      <c r="J176" s="121">
        <v>39</v>
      </c>
      <c r="K176" s="123">
        <v>45709</v>
      </c>
      <c r="L176" s="123">
        <v>47509</v>
      </c>
      <c r="M176" s="123">
        <v>68797</v>
      </c>
      <c r="N176" s="123">
        <v>65468</v>
      </c>
      <c r="O176" s="104">
        <v>68797</v>
      </c>
      <c r="P176" s="105"/>
      <c r="Q176" s="91">
        <f t="shared" si="77"/>
        <v>0.15</v>
      </c>
      <c r="R176" s="91"/>
      <c r="S176" s="104">
        <f t="shared" si="58"/>
        <v>5.1597749999999998</v>
      </c>
      <c r="U176" s="93">
        <f t="shared" si="75"/>
        <v>3.7347272310130206</v>
      </c>
      <c r="V176" s="93">
        <v>385</v>
      </c>
      <c r="W176" s="93">
        <f t="shared" si="59"/>
        <v>3.7347272310130206</v>
      </c>
      <c r="X176" s="89">
        <f t="shared" si="60"/>
        <v>1.3448493122269659E-4</v>
      </c>
      <c r="Y176" s="93">
        <f t="shared" si="61"/>
        <v>0.36686238969169332</v>
      </c>
      <c r="Z176" s="92">
        <f t="shared" si="62"/>
        <v>4.101589620704714</v>
      </c>
      <c r="AA176" s="93">
        <f t="shared" si="63"/>
        <v>5.3126613366839937E-2</v>
      </c>
      <c r="AB176" s="93">
        <f t="shared" si="64"/>
        <v>4.1547162340715538</v>
      </c>
      <c r="AC176" s="93">
        <f t="shared" si="65"/>
        <v>7.7821672942527892E-3</v>
      </c>
      <c r="AD176" s="93">
        <f t="shared" si="66"/>
        <v>4.1624984013658066</v>
      </c>
      <c r="AE176" s="93">
        <f t="shared" si="67"/>
        <v>1.1399583741182129E-3</v>
      </c>
      <c r="AF176" s="92">
        <f t="shared" si="68"/>
        <v>4.1636383597399247</v>
      </c>
      <c r="AG176" s="93">
        <f t="shared" si="69"/>
        <v>1.6698498574324109E-4</v>
      </c>
      <c r="AH176" s="92">
        <f t="shared" si="70"/>
        <v>4.1638053447256675</v>
      </c>
      <c r="AI176" s="93">
        <f t="shared" si="72"/>
        <v>2.4460529520906787E-5</v>
      </c>
      <c r="AJ176" s="92">
        <f t="shared" si="76"/>
        <v>4.1638298052551885</v>
      </c>
      <c r="AK176" s="93">
        <f t="shared" si="73"/>
        <v>385</v>
      </c>
      <c r="AL176" s="89" t="str">
        <f t="shared" si="71"/>
        <v>'pass'</v>
      </c>
    </row>
    <row r="177" spans="1:38" x14ac:dyDescent="0.2">
      <c r="A177" s="79"/>
      <c r="B177" s="117" t="s">
        <v>1910</v>
      </c>
      <c r="C177" s="124">
        <v>18</v>
      </c>
      <c r="D177" s="119">
        <f t="shared" si="74"/>
        <v>4.3065291767351726E-4</v>
      </c>
      <c r="E177" s="121" t="s">
        <v>1911</v>
      </c>
      <c r="F177" s="120" t="s">
        <v>1891</v>
      </c>
      <c r="G177" s="122" t="s">
        <v>1759</v>
      </c>
      <c r="H177" s="121"/>
      <c r="I177" s="118" t="s">
        <v>1903</v>
      </c>
      <c r="J177" s="121">
        <v>39</v>
      </c>
      <c r="K177" s="123">
        <v>45709</v>
      </c>
      <c r="L177" s="123">
        <v>47509</v>
      </c>
      <c r="M177" s="123">
        <v>76566</v>
      </c>
      <c r="N177" s="123">
        <v>62141</v>
      </c>
      <c r="O177" s="104">
        <v>76566</v>
      </c>
      <c r="P177" s="105"/>
      <c r="Q177" s="91">
        <f t="shared" si="77"/>
        <v>0.15</v>
      </c>
      <c r="R177" s="91"/>
      <c r="S177" s="104">
        <f t="shared" si="58"/>
        <v>5.7424499999999998</v>
      </c>
      <c r="U177" s="93">
        <f t="shared" si="75"/>
        <v>4.1564766656938961</v>
      </c>
      <c r="V177" s="93">
        <v>385</v>
      </c>
      <c r="W177" s="93">
        <f t="shared" si="59"/>
        <v>4.1564766656938961</v>
      </c>
      <c r="X177" s="89">
        <f t="shared" si="60"/>
        <v>1.4967183516718734E-4</v>
      </c>
      <c r="Y177" s="93">
        <f t="shared" si="61"/>
        <v>0.40829085176874275</v>
      </c>
      <c r="Z177" s="92">
        <f t="shared" si="62"/>
        <v>4.5647675174626388</v>
      </c>
      <c r="AA177" s="93">
        <f t="shared" si="63"/>
        <v>5.9126012457599415E-2</v>
      </c>
      <c r="AB177" s="93">
        <f t="shared" si="64"/>
        <v>4.6238935299202382</v>
      </c>
      <c r="AC177" s="93">
        <f t="shared" si="65"/>
        <v>8.6609797091698627E-3</v>
      </c>
      <c r="AD177" s="93">
        <f t="shared" si="66"/>
        <v>4.6325545096294078</v>
      </c>
      <c r="AE177" s="93">
        <f t="shared" si="67"/>
        <v>1.2686898102058969E-3</v>
      </c>
      <c r="AF177" s="92">
        <f t="shared" si="68"/>
        <v>4.6338231994396137</v>
      </c>
      <c r="AG177" s="93">
        <f t="shared" si="69"/>
        <v>1.858420050062793E-4</v>
      </c>
      <c r="AH177" s="92">
        <f t="shared" si="70"/>
        <v>4.63400904144462</v>
      </c>
      <c r="AI177" s="93">
        <f t="shared" si="72"/>
        <v>2.722276993615636E-5</v>
      </c>
      <c r="AJ177" s="92">
        <f t="shared" si="76"/>
        <v>4.6340362642145561</v>
      </c>
      <c r="AK177" s="93">
        <f t="shared" si="73"/>
        <v>385</v>
      </c>
      <c r="AL177" s="89" t="str">
        <f t="shared" si="71"/>
        <v>'pass'</v>
      </c>
    </row>
    <row r="178" spans="1:38" x14ac:dyDescent="0.2">
      <c r="A178" s="79"/>
      <c r="B178" s="117" t="s">
        <v>1912</v>
      </c>
      <c r="C178" s="124">
        <v>19</v>
      </c>
      <c r="D178" s="119">
        <f t="shared" si="74"/>
        <v>4.5457807976649042E-4</v>
      </c>
      <c r="E178" s="121" t="s">
        <v>1913</v>
      </c>
      <c r="F178" s="120" t="s">
        <v>1891</v>
      </c>
      <c r="G178" s="122" t="s">
        <v>1762</v>
      </c>
      <c r="H178" s="121"/>
      <c r="I178" s="118" t="s">
        <v>1903</v>
      </c>
      <c r="J178" s="121">
        <v>39</v>
      </c>
      <c r="K178" s="123">
        <v>45709</v>
      </c>
      <c r="L178" s="123">
        <v>47509</v>
      </c>
      <c r="M178" s="123">
        <v>74347</v>
      </c>
      <c r="N178" s="123">
        <v>69910</v>
      </c>
      <c r="O178" s="104">
        <v>74347</v>
      </c>
      <c r="P178" s="105"/>
      <c r="Q178" s="91">
        <f t="shared" si="77"/>
        <v>0.15</v>
      </c>
      <c r="R178" s="91"/>
      <c r="S178" s="104">
        <f t="shared" si="58"/>
        <v>5.5760249999999996</v>
      </c>
      <c r="U178" s="93">
        <f t="shared" si="75"/>
        <v>4.0360156030659047</v>
      </c>
      <c r="V178" s="93">
        <v>385</v>
      </c>
      <c r="W178" s="93">
        <f t="shared" si="59"/>
        <v>4.0360156030659047</v>
      </c>
      <c r="X178" s="89">
        <f t="shared" si="60"/>
        <v>1.4533411604595873E-4</v>
      </c>
      <c r="Y178" s="93">
        <f t="shared" si="61"/>
        <v>0.39645795727151362</v>
      </c>
      <c r="Z178" s="92">
        <f t="shared" si="62"/>
        <v>4.4324735603374181</v>
      </c>
      <c r="AA178" s="93">
        <f t="shared" si="63"/>
        <v>5.7412450019396905E-2</v>
      </c>
      <c r="AB178" s="93">
        <f t="shared" si="64"/>
        <v>4.4898860103568152</v>
      </c>
      <c r="AC178" s="93">
        <f t="shared" si="65"/>
        <v>8.4099712462144E-3</v>
      </c>
      <c r="AD178" s="93">
        <f t="shared" si="66"/>
        <v>4.4982959816030297</v>
      </c>
      <c r="AE178" s="93">
        <f t="shared" si="67"/>
        <v>1.231921235527229E-3</v>
      </c>
      <c r="AF178" s="92">
        <f t="shared" si="68"/>
        <v>4.4995279028385573</v>
      </c>
      <c r="AG178" s="93">
        <f t="shared" si="69"/>
        <v>1.80456018940546E-4</v>
      </c>
      <c r="AH178" s="92">
        <f t="shared" si="70"/>
        <v>4.4997083588574975</v>
      </c>
      <c r="AI178" s="93">
        <f t="shared" si="72"/>
        <v>2.6433812350696347E-5</v>
      </c>
      <c r="AJ178" s="92">
        <f t="shared" si="76"/>
        <v>4.4997347926698481</v>
      </c>
      <c r="AK178" s="93">
        <f t="shared" si="73"/>
        <v>385</v>
      </c>
      <c r="AL178" s="89" t="str">
        <f t="shared" si="71"/>
        <v>'pass'</v>
      </c>
    </row>
    <row r="179" spans="1:38" x14ac:dyDescent="0.2">
      <c r="A179" s="79"/>
      <c r="B179" s="117" t="s">
        <v>1914</v>
      </c>
      <c r="C179" s="124">
        <v>18</v>
      </c>
      <c r="D179" s="119">
        <f t="shared" si="74"/>
        <v>4.3065291767351726E-4</v>
      </c>
      <c r="E179" s="121" t="s">
        <v>1915</v>
      </c>
      <c r="F179" s="120" t="s">
        <v>1891</v>
      </c>
      <c r="G179" s="122" t="s">
        <v>1765</v>
      </c>
      <c r="H179" s="121"/>
      <c r="I179" s="118" t="s">
        <v>1903</v>
      </c>
      <c r="J179" s="121">
        <v>39</v>
      </c>
      <c r="K179" s="123">
        <v>45709</v>
      </c>
      <c r="L179" s="123">
        <v>47509</v>
      </c>
      <c r="M179" s="123">
        <v>81003</v>
      </c>
      <c r="N179" s="123">
        <v>69353</v>
      </c>
      <c r="O179" s="104">
        <v>81003</v>
      </c>
      <c r="P179" s="105"/>
      <c r="Q179" s="91">
        <f t="shared" si="77"/>
        <v>0.15</v>
      </c>
      <c r="R179" s="91"/>
      <c r="S179" s="104">
        <f t="shared" si="58"/>
        <v>6.0752249999999997</v>
      </c>
      <c r="U179" s="93">
        <f t="shared" si="75"/>
        <v>4.397344504756715</v>
      </c>
      <c r="V179" s="93">
        <v>385</v>
      </c>
      <c r="W179" s="93">
        <f t="shared" si="59"/>
        <v>4.397344504756715</v>
      </c>
      <c r="X179" s="89">
        <f t="shared" si="60"/>
        <v>1.5834531860156828E-4</v>
      </c>
      <c r="Y179" s="93">
        <f t="shared" si="61"/>
        <v>0.43195130822850181</v>
      </c>
      <c r="Z179" s="92">
        <f t="shared" si="62"/>
        <v>4.829295812985217</v>
      </c>
      <c r="AA179" s="93">
        <f t="shared" si="63"/>
        <v>6.2552365111184144E-2</v>
      </c>
      <c r="AB179" s="93">
        <f t="shared" si="64"/>
        <v>4.8918481780964012</v>
      </c>
      <c r="AC179" s="93">
        <f t="shared" si="65"/>
        <v>9.1628835172516063E-3</v>
      </c>
      <c r="AD179" s="93">
        <f t="shared" si="66"/>
        <v>4.9010110616136524</v>
      </c>
      <c r="AE179" s="93">
        <f t="shared" si="67"/>
        <v>1.3422103896782943E-3</v>
      </c>
      <c r="AF179" s="92">
        <f t="shared" si="68"/>
        <v>4.9023532720033307</v>
      </c>
      <c r="AG179" s="93">
        <f t="shared" si="69"/>
        <v>1.9661154992455716E-4</v>
      </c>
      <c r="AH179" s="92">
        <f t="shared" si="70"/>
        <v>4.9025498835532551</v>
      </c>
      <c r="AI179" s="93">
        <f t="shared" si="72"/>
        <v>2.8800329560620559E-5</v>
      </c>
      <c r="AJ179" s="92">
        <f t="shared" si="76"/>
        <v>4.9025786838828154</v>
      </c>
      <c r="AK179" s="93">
        <f t="shared" si="73"/>
        <v>385</v>
      </c>
      <c r="AL179" s="89" t="str">
        <f t="shared" si="71"/>
        <v>'pass'</v>
      </c>
    </row>
    <row r="180" spans="1:38" x14ac:dyDescent="0.2">
      <c r="A180" s="79"/>
      <c r="B180" s="117" t="s">
        <v>1916</v>
      </c>
      <c r="C180" s="124">
        <v>19</v>
      </c>
      <c r="D180" s="119">
        <f t="shared" si="74"/>
        <v>4.5457807976649042E-4</v>
      </c>
      <c r="E180" s="121" t="s">
        <v>1917</v>
      </c>
      <c r="F180" s="120" t="s">
        <v>1891</v>
      </c>
      <c r="G180" s="122" t="s">
        <v>1768</v>
      </c>
      <c r="H180" s="121"/>
      <c r="I180" s="118" t="s">
        <v>1903</v>
      </c>
      <c r="J180" s="121">
        <v>39</v>
      </c>
      <c r="K180" s="123">
        <v>45709</v>
      </c>
      <c r="L180" s="123">
        <v>47509</v>
      </c>
      <c r="M180" s="123">
        <v>74900</v>
      </c>
      <c r="N180" s="123">
        <v>70462</v>
      </c>
      <c r="O180" s="104">
        <v>74900</v>
      </c>
      <c r="P180" s="105"/>
      <c r="Q180" s="91">
        <f t="shared" si="77"/>
        <v>0.15</v>
      </c>
      <c r="R180" s="91"/>
      <c r="S180" s="104">
        <f t="shared" si="58"/>
        <v>5.6174999999999997</v>
      </c>
      <c r="U180" s="93">
        <f t="shared" si="75"/>
        <v>4.0660358678848674</v>
      </c>
      <c r="V180" s="93">
        <v>385</v>
      </c>
      <c r="W180" s="93">
        <f t="shared" si="59"/>
        <v>4.0660358678848674</v>
      </c>
      <c r="X180" s="89">
        <f t="shared" si="60"/>
        <v>1.4641512491213242E-4</v>
      </c>
      <c r="Y180" s="93">
        <f t="shared" si="61"/>
        <v>0.39940684896009754</v>
      </c>
      <c r="Z180" s="92">
        <f t="shared" si="62"/>
        <v>4.4654427168449651</v>
      </c>
      <c r="AA180" s="93">
        <f t="shared" si="63"/>
        <v>5.783948923901204E-2</v>
      </c>
      <c r="AB180" s="93">
        <f t="shared" si="64"/>
        <v>4.5232822060839775</v>
      </c>
      <c r="AC180" s="93">
        <f t="shared" si="65"/>
        <v>8.4725254057521973E-3</v>
      </c>
      <c r="AD180" s="93">
        <f t="shared" si="66"/>
        <v>4.5317547314897295</v>
      </c>
      <c r="AE180" s="93">
        <f t="shared" si="67"/>
        <v>1.2410843818982534E-3</v>
      </c>
      <c r="AF180" s="92">
        <f t="shared" si="68"/>
        <v>4.5329958158716277</v>
      </c>
      <c r="AG180" s="93">
        <f t="shared" si="69"/>
        <v>1.817982678338991E-4</v>
      </c>
      <c r="AH180" s="92">
        <f t="shared" si="70"/>
        <v>4.5331776141394613</v>
      </c>
      <c r="AI180" s="93">
        <f t="shared" si="72"/>
        <v>2.663042954076367E-5</v>
      </c>
      <c r="AJ180" s="92">
        <f t="shared" si="76"/>
        <v>4.533204244569002</v>
      </c>
      <c r="AK180" s="93">
        <f t="shared" si="73"/>
        <v>385</v>
      </c>
      <c r="AL180" s="89" t="str">
        <f t="shared" si="71"/>
        <v>'pass'</v>
      </c>
    </row>
    <row r="181" spans="1:38" x14ac:dyDescent="0.2">
      <c r="A181" s="79"/>
      <c r="B181" s="117" t="s">
        <v>1918</v>
      </c>
      <c r="C181" s="124">
        <v>1</v>
      </c>
      <c r="D181" s="119">
        <f t="shared" si="74"/>
        <v>2.3925162092973181E-5</v>
      </c>
      <c r="E181" s="121" t="s">
        <v>1919</v>
      </c>
      <c r="F181" s="120" t="s">
        <v>1891</v>
      </c>
      <c r="G181" s="122" t="s">
        <v>1876</v>
      </c>
      <c r="H181" s="121"/>
      <c r="I181" s="118" t="s">
        <v>1903</v>
      </c>
      <c r="J181" s="121">
        <v>16.3</v>
      </c>
      <c r="K181" s="123">
        <v>16944</v>
      </c>
      <c r="L181" s="123">
        <v>13639</v>
      </c>
      <c r="M181" s="123">
        <v>29945</v>
      </c>
      <c r="N181" s="123">
        <v>7730</v>
      </c>
      <c r="O181" s="104">
        <v>29945</v>
      </c>
      <c r="P181" s="105"/>
      <c r="Q181" s="91">
        <v>0.4</v>
      </c>
      <c r="R181" s="91"/>
      <c r="S181" s="104">
        <f t="shared" si="58"/>
        <v>5.9889999999999999</v>
      </c>
      <c r="U181" s="93">
        <f t="shared" si="75"/>
        <v>4.3349334780173514</v>
      </c>
      <c r="V181" s="93">
        <v>173</v>
      </c>
      <c r="W181" s="93">
        <f t="shared" si="59"/>
        <v>4.3349334780173514</v>
      </c>
      <c r="X181" s="89">
        <f t="shared" si="60"/>
        <v>1.5609794091655738E-4</v>
      </c>
      <c r="Y181" s="93">
        <f t="shared" si="61"/>
        <v>0.42582067083614134</v>
      </c>
      <c r="Z181" s="92">
        <f t="shared" si="62"/>
        <v>4.7607541488534926</v>
      </c>
      <c r="AA181" s="93">
        <f t="shared" si="63"/>
        <v>6.1664566275468284E-2</v>
      </c>
      <c r="AB181" s="93">
        <f t="shared" si="64"/>
        <v>4.8224187151289613</v>
      </c>
      <c r="AC181" s="93">
        <f t="shared" si="65"/>
        <v>9.0328357196350524E-3</v>
      </c>
      <c r="AD181" s="93">
        <f t="shared" si="66"/>
        <v>4.8314515508485965</v>
      </c>
      <c r="AE181" s="93">
        <f t="shared" si="67"/>
        <v>1.3231605452939279E-3</v>
      </c>
      <c r="AF181" s="92">
        <f t="shared" si="68"/>
        <v>4.8327747113938901</v>
      </c>
      <c r="AG181" s="93">
        <f t="shared" si="69"/>
        <v>1.9382106382861088E-4</v>
      </c>
      <c r="AH181" s="92">
        <f t="shared" si="70"/>
        <v>4.832968532457719</v>
      </c>
      <c r="AI181" s="93">
        <f t="shared" si="72"/>
        <v>2.8391569651915194E-5</v>
      </c>
      <c r="AJ181" s="92">
        <f t="shared" si="76"/>
        <v>4.8329969240273707</v>
      </c>
      <c r="AK181" s="93">
        <f t="shared" si="73"/>
        <v>173</v>
      </c>
      <c r="AL181" s="89" t="str">
        <f t="shared" si="71"/>
        <v>'pass'</v>
      </c>
    </row>
    <row r="182" spans="1:38" x14ac:dyDescent="0.2">
      <c r="A182" s="79"/>
      <c r="B182" s="117" t="s">
        <v>1920</v>
      </c>
      <c r="C182" s="124">
        <v>1</v>
      </c>
      <c r="D182" s="119">
        <f t="shared" si="74"/>
        <v>2.3925162092973181E-5</v>
      </c>
      <c r="E182" s="121" t="s">
        <v>1921</v>
      </c>
      <c r="F182" s="120" t="s">
        <v>1891</v>
      </c>
      <c r="G182" s="122" t="s">
        <v>1783</v>
      </c>
      <c r="H182" s="121"/>
      <c r="I182" s="118" t="s">
        <v>1903</v>
      </c>
      <c r="J182" s="121">
        <v>16.3</v>
      </c>
      <c r="K182" s="123">
        <v>16944</v>
      </c>
      <c r="L182" s="123">
        <v>13639</v>
      </c>
      <c r="M182" s="123">
        <v>33576</v>
      </c>
      <c r="N182" s="123">
        <v>24879</v>
      </c>
      <c r="O182" s="104">
        <v>33576</v>
      </c>
      <c r="P182" s="105"/>
      <c r="Q182" s="91">
        <v>0.4</v>
      </c>
      <c r="R182" s="91"/>
      <c r="S182" s="104">
        <f t="shared" si="58"/>
        <v>6.7152000000000012</v>
      </c>
      <c r="U182" s="93">
        <f t="shared" si="75"/>
        <v>4.8605685910138794</v>
      </c>
      <c r="V182" s="93">
        <v>173</v>
      </c>
      <c r="W182" s="93">
        <f t="shared" si="59"/>
        <v>4.8605685910138794</v>
      </c>
      <c r="X182" s="89">
        <f t="shared" si="60"/>
        <v>1.7502569591632431E-4</v>
      </c>
      <c r="Y182" s="93">
        <f t="shared" si="61"/>
        <v>0.47745382681563814</v>
      </c>
      <c r="Z182" s="92">
        <f t="shared" si="62"/>
        <v>5.3380224178295173</v>
      </c>
      <c r="AA182" s="93">
        <f t="shared" si="63"/>
        <v>6.9141742436637954E-2</v>
      </c>
      <c r="AB182" s="93">
        <f t="shared" si="64"/>
        <v>5.4071641602661549</v>
      </c>
      <c r="AC182" s="93">
        <f t="shared" si="65"/>
        <v>1.0128117953663935E-2</v>
      </c>
      <c r="AD182" s="93">
        <f t="shared" si="66"/>
        <v>5.4172922782198185</v>
      </c>
      <c r="AE182" s="93">
        <f t="shared" si="67"/>
        <v>1.4836012178590392E-3</v>
      </c>
      <c r="AF182" s="92">
        <f t="shared" si="68"/>
        <v>5.4187758794376775</v>
      </c>
      <c r="AG182" s="93">
        <f t="shared" si="69"/>
        <v>2.1732296006376491E-4</v>
      </c>
      <c r="AH182" s="92">
        <f t="shared" si="70"/>
        <v>5.4189932023977416</v>
      </c>
      <c r="AI182" s="93">
        <f t="shared" si="72"/>
        <v>3.1834207468115035E-5</v>
      </c>
      <c r="AJ182" s="92">
        <f t="shared" si="76"/>
        <v>5.41902503660521</v>
      </c>
      <c r="AK182" s="93">
        <f t="shared" si="73"/>
        <v>173</v>
      </c>
      <c r="AL182" s="89" t="str">
        <f t="shared" si="71"/>
        <v>'pass'</v>
      </c>
    </row>
    <row r="183" spans="1:38" x14ac:dyDescent="0.2">
      <c r="A183" s="79"/>
      <c r="B183" s="117" t="s">
        <v>1922</v>
      </c>
      <c r="C183" s="124">
        <v>2</v>
      </c>
      <c r="D183" s="119">
        <f t="shared" si="74"/>
        <v>4.7850324185946362E-5</v>
      </c>
      <c r="E183" s="121" t="s">
        <v>1923</v>
      </c>
      <c r="F183" s="120" t="s">
        <v>1891</v>
      </c>
      <c r="G183" s="122" t="s">
        <v>1924</v>
      </c>
      <c r="H183" s="121"/>
      <c r="I183" s="118" t="s">
        <v>1903</v>
      </c>
      <c r="J183" s="121">
        <v>15.8</v>
      </c>
      <c r="K183" s="123">
        <v>17234</v>
      </c>
      <c r="L183" s="123">
        <v>16664</v>
      </c>
      <c r="M183" s="123">
        <v>44632</v>
      </c>
      <c r="N183" s="123">
        <v>26033</v>
      </c>
      <c r="O183" s="104">
        <v>44632</v>
      </c>
      <c r="P183" s="105"/>
      <c r="Q183" s="91">
        <v>0.4</v>
      </c>
      <c r="R183" s="91"/>
      <c r="S183" s="104">
        <f t="shared" si="58"/>
        <v>8.9263999999999992</v>
      </c>
      <c r="U183" s="93">
        <f t="shared" si="75"/>
        <v>6.4610703286315054</v>
      </c>
      <c r="V183" s="93">
        <v>176</v>
      </c>
      <c r="W183" s="93">
        <f t="shared" si="59"/>
        <v>6.4610703286315054</v>
      </c>
      <c r="X183" s="89">
        <f t="shared" si="60"/>
        <v>2.3265865082610748E-4</v>
      </c>
      <c r="Y183" s="93">
        <f t="shared" si="61"/>
        <v>0.63467116983665584</v>
      </c>
      <c r="Z183" s="92">
        <f t="shared" si="62"/>
        <v>7.0957414984681613</v>
      </c>
      <c r="AA183" s="93">
        <f t="shared" si="63"/>
        <v>9.1908930439362171E-2</v>
      </c>
      <c r="AB183" s="93">
        <f t="shared" si="64"/>
        <v>7.1876504289075234</v>
      </c>
      <c r="AC183" s="93">
        <f t="shared" si="65"/>
        <v>1.3463133205501807E-2</v>
      </c>
      <c r="AD183" s="93">
        <f t="shared" si="66"/>
        <v>7.2011135621130249</v>
      </c>
      <c r="AE183" s="93">
        <f t="shared" si="67"/>
        <v>1.9721256122076669E-3</v>
      </c>
      <c r="AF183" s="92">
        <f t="shared" si="68"/>
        <v>7.2030856877252329</v>
      </c>
      <c r="AG183" s="93">
        <f t="shared" si="69"/>
        <v>2.8888367743524996E-4</v>
      </c>
      <c r="AH183" s="92">
        <f t="shared" si="70"/>
        <v>7.2033745714026685</v>
      </c>
      <c r="AI183" s="93">
        <f t="shared" si="72"/>
        <v>4.2316665109510069E-5</v>
      </c>
      <c r="AJ183" s="92">
        <f t="shared" si="76"/>
        <v>7.2034168880677782</v>
      </c>
      <c r="AK183" s="93">
        <f t="shared" si="73"/>
        <v>176</v>
      </c>
      <c r="AL183" s="89" t="str">
        <f t="shared" si="71"/>
        <v>'pass'</v>
      </c>
    </row>
    <row r="184" spans="1:38" x14ac:dyDescent="0.2">
      <c r="A184" s="79"/>
      <c r="B184" s="117" t="s">
        <v>1925</v>
      </c>
      <c r="C184" s="124">
        <v>1</v>
      </c>
      <c r="D184" s="119">
        <f t="shared" si="74"/>
        <v>2.3925162092973181E-5</v>
      </c>
      <c r="E184" s="121" t="s">
        <v>1926</v>
      </c>
      <c r="F184" s="120" t="s">
        <v>1891</v>
      </c>
      <c r="G184" s="122" t="s">
        <v>1786</v>
      </c>
      <c r="H184" s="121"/>
      <c r="I184" s="118" t="s">
        <v>1903</v>
      </c>
      <c r="J184" s="121">
        <v>15.8</v>
      </c>
      <c r="K184" s="123">
        <v>17234</v>
      </c>
      <c r="L184" s="123">
        <v>16664</v>
      </c>
      <c r="M184" s="123">
        <v>42771</v>
      </c>
      <c r="N184" s="123">
        <v>33741</v>
      </c>
      <c r="O184" s="104">
        <v>42771</v>
      </c>
      <c r="P184" s="105"/>
      <c r="Q184" s="91">
        <v>0.4</v>
      </c>
      <c r="R184" s="91"/>
      <c r="S184" s="104">
        <f t="shared" si="58"/>
        <v>8.5542000000000016</v>
      </c>
      <c r="U184" s="93">
        <f t="shared" si="75"/>
        <v>6.1916660473628378</v>
      </c>
      <c r="V184" s="93">
        <v>176</v>
      </c>
      <c r="W184" s="93">
        <f t="shared" si="59"/>
        <v>6.1916660473628378</v>
      </c>
      <c r="X184" s="89">
        <f t="shared" si="60"/>
        <v>2.2295758994630413E-4</v>
      </c>
      <c r="Y184" s="93">
        <f t="shared" si="61"/>
        <v>0.60820757763675426</v>
      </c>
      <c r="Z184" s="92">
        <f t="shared" si="62"/>
        <v>6.7998736249995924</v>
      </c>
      <c r="AA184" s="93">
        <f t="shared" si="63"/>
        <v>8.8076645989916671E-2</v>
      </c>
      <c r="AB184" s="93">
        <f t="shared" si="64"/>
        <v>6.8879502709895091</v>
      </c>
      <c r="AC184" s="93">
        <f t="shared" si="65"/>
        <v>1.2901767125213254E-2</v>
      </c>
      <c r="AD184" s="93">
        <f t="shared" si="66"/>
        <v>6.9008520381147225</v>
      </c>
      <c r="AE184" s="93">
        <f t="shared" si="67"/>
        <v>1.8898947965525666E-3</v>
      </c>
      <c r="AF184" s="92">
        <f t="shared" si="68"/>
        <v>6.9027419329112751</v>
      </c>
      <c r="AG184" s="93">
        <f t="shared" si="69"/>
        <v>2.7683822745077703E-4</v>
      </c>
      <c r="AH184" s="92">
        <f t="shared" si="70"/>
        <v>6.9030187711387256</v>
      </c>
      <c r="AI184" s="93">
        <f t="shared" si="72"/>
        <v>4.0552206564770918E-5</v>
      </c>
      <c r="AJ184" s="92">
        <f t="shared" si="76"/>
        <v>6.9030593233452908</v>
      </c>
      <c r="AK184" s="93">
        <f t="shared" si="73"/>
        <v>176</v>
      </c>
      <c r="AL184" s="89" t="str">
        <f t="shared" si="71"/>
        <v>'pass'</v>
      </c>
    </row>
    <row r="185" spans="1:38" x14ac:dyDescent="0.2">
      <c r="A185" s="79"/>
      <c r="B185" s="117" t="s">
        <v>1927</v>
      </c>
      <c r="C185" s="124">
        <v>10</v>
      </c>
      <c r="D185" s="119">
        <f t="shared" si="74"/>
        <v>2.3925162092973179E-4</v>
      </c>
      <c r="E185" s="121" t="s">
        <v>1928</v>
      </c>
      <c r="F185" s="120" t="s">
        <v>1891</v>
      </c>
      <c r="G185" s="122" t="s">
        <v>1789</v>
      </c>
      <c r="H185" s="121"/>
      <c r="I185" s="118" t="s">
        <v>1903</v>
      </c>
      <c r="J185" s="121">
        <v>22.4</v>
      </c>
      <c r="K185" s="123">
        <v>21194</v>
      </c>
      <c r="L185" s="123">
        <v>29406</v>
      </c>
      <c r="M185" s="123">
        <v>34120</v>
      </c>
      <c r="N185" s="123">
        <v>19693</v>
      </c>
      <c r="O185" s="104">
        <v>34120</v>
      </c>
      <c r="P185" s="105"/>
      <c r="Q185" s="91">
        <v>0.4</v>
      </c>
      <c r="R185" s="91"/>
      <c r="S185" s="104">
        <f t="shared" si="58"/>
        <v>6.8239999999999998</v>
      </c>
      <c r="U185" s="93">
        <f t="shared" si="75"/>
        <v>4.9393197618952094</v>
      </c>
      <c r="V185" s="93">
        <v>187</v>
      </c>
      <c r="W185" s="93">
        <f t="shared" si="59"/>
        <v>4.9393197618952094</v>
      </c>
      <c r="X185" s="89">
        <f t="shared" si="60"/>
        <v>1.7786147083229047E-4</v>
      </c>
      <c r="Y185" s="93">
        <f t="shared" si="61"/>
        <v>0.48518955715241757</v>
      </c>
      <c r="Z185" s="92">
        <f t="shared" si="62"/>
        <v>5.424509319047627</v>
      </c>
      <c r="AA185" s="93">
        <f t="shared" si="63"/>
        <v>7.0261980341258246E-2</v>
      </c>
      <c r="AB185" s="93">
        <f t="shared" si="64"/>
        <v>5.4947712993888853</v>
      </c>
      <c r="AC185" s="93">
        <f t="shared" si="65"/>
        <v>1.0292214217864351E-2</v>
      </c>
      <c r="AD185" s="93">
        <f t="shared" si="66"/>
        <v>5.5050635136067498</v>
      </c>
      <c r="AE185" s="93">
        <f t="shared" si="67"/>
        <v>1.5076385976099122E-3</v>
      </c>
      <c r="AF185" s="92">
        <f t="shared" si="68"/>
        <v>5.5065711522043594</v>
      </c>
      <c r="AG185" s="93">
        <f t="shared" si="69"/>
        <v>2.2084403732951092E-4</v>
      </c>
      <c r="AH185" s="92">
        <f t="shared" si="70"/>
        <v>5.5067919962416889</v>
      </c>
      <c r="AI185" s="93">
        <f t="shared" si="72"/>
        <v>3.234998686002159E-5</v>
      </c>
      <c r="AJ185" s="92">
        <f t="shared" si="76"/>
        <v>5.5068243462285489</v>
      </c>
      <c r="AK185" s="93">
        <f t="shared" si="73"/>
        <v>187</v>
      </c>
      <c r="AL185" s="89" t="str">
        <f t="shared" si="71"/>
        <v>'pass'</v>
      </c>
    </row>
    <row r="186" spans="1:38" x14ac:dyDescent="0.2">
      <c r="A186" s="79"/>
      <c r="B186" s="117" t="s">
        <v>1929</v>
      </c>
      <c r="C186" s="124">
        <v>9</v>
      </c>
      <c r="D186" s="119">
        <f t="shared" si="74"/>
        <v>2.1532645883675863E-4</v>
      </c>
      <c r="E186" s="121" t="s">
        <v>1930</v>
      </c>
      <c r="F186" s="120" t="s">
        <v>1891</v>
      </c>
      <c r="G186" s="122" t="s">
        <v>1792</v>
      </c>
      <c r="H186" s="121"/>
      <c r="I186" s="118" t="s">
        <v>1903</v>
      </c>
      <c r="J186" s="121">
        <v>22.4</v>
      </c>
      <c r="K186" s="123">
        <v>21194</v>
      </c>
      <c r="L186" s="123">
        <v>29406</v>
      </c>
      <c r="M186" s="123">
        <v>29959</v>
      </c>
      <c r="N186" s="123">
        <v>22745</v>
      </c>
      <c r="O186" s="104">
        <v>29959</v>
      </c>
      <c r="P186" s="105"/>
      <c r="Q186" s="91">
        <v>0.4</v>
      </c>
      <c r="R186" s="91"/>
      <c r="S186" s="104">
        <f t="shared" si="58"/>
        <v>5.9918000000000005</v>
      </c>
      <c r="U186" s="93">
        <f t="shared" si="75"/>
        <v>4.3369601625620922</v>
      </c>
      <c r="V186" s="93">
        <v>187</v>
      </c>
      <c r="W186" s="93">
        <f t="shared" si="59"/>
        <v>4.3369601625620922</v>
      </c>
      <c r="X186" s="89">
        <f t="shared" si="60"/>
        <v>1.5617092041807123E-4</v>
      </c>
      <c r="Y186" s="93">
        <f t="shared" si="61"/>
        <v>0.42601975213157323</v>
      </c>
      <c r="Z186" s="92">
        <f t="shared" si="62"/>
        <v>4.7629799146936653</v>
      </c>
      <c r="AA186" s="93">
        <f t="shared" si="63"/>
        <v>6.1693395927425433E-2</v>
      </c>
      <c r="AB186" s="93">
        <f t="shared" si="64"/>
        <v>4.8246733106210904</v>
      </c>
      <c r="AC186" s="93">
        <f t="shared" si="65"/>
        <v>9.0370587852578576E-3</v>
      </c>
      <c r="AD186" s="93">
        <f t="shared" si="66"/>
        <v>4.8337103694063481</v>
      </c>
      <c r="AE186" s="93">
        <f t="shared" si="67"/>
        <v>1.3237791543316342E-3</v>
      </c>
      <c r="AF186" s="92">
        <f t="shared" si="68"/>
        <v>4.8350341485606796</v>
      </c>
      <c r="AG186" s="93">
        <f t="shared" si="69"/>
        <v>1.9391167978765586E-4</v>
      </c>
      <c r="AH186" s="92">
        <f t="shared" si="70"/>
        <v>4.8352280602404676</v>
      </c>
      <c r="AI186" s="93">
        <f t="shared" si="72"/>
        <v>2.8404843386265737E-5</v>
      </c>
      <c r="AJ186" s="92">
        <f t="shared" si="76"/>
        <v>4.8352564650838534</v>
      </c>
      <c r="AK186" s="93">
        <f t="shared" si="73"/>
        <v>187</v>
      </c>
      <c r="AL186" s="89" t="str">
        <f t="shared" si="71"/>
        <v>'pass'</v>
      </c>
    </row>
    <row r="187" spans="1:38" x14ac:dyDescent="0.2">
      <c r="A187" s="79"/>
      <c r="B187" s="117" t="s">
        <v>1931</v>
      </c>
      <c r="C187" s="124">
        <v>10</v>
      </c>
      <c r="D187" s="119">
        <f t="shared" si="74"/>
        <v>2.3925162092973179E-4</v>
      </c>
      <c r="E187" s="121" t="s">
        <v>1932</v>
      </c>
      <c r="F187" s="120" t="s">
        <v>1891</v>
      </c>
      <c r="G187" s="122" t="s">
        <v>1795</v>
      </c>
      <c r="H187" s="121"/>
      <c r="I187" s="118" t="s">
        <v>1903</v>
      </c>
      <c r="J187" s="121">
        <v>22.4</v>
      </c>
      <c r="K187" s="123">
        <v>21194</v>
      </c>
      <c r="L187" s="123">
        <v>29406</v>
      </c>
      <c r="M187" s="123">
        <v>29406</v>
      </c>
      <c r="N187" s="123">
        <v>23575</v>
      </c>
      <c r="O187" s="104">
        <v>29406</v>
      </c>
      <c r="P187" s="105"/>
      <c r="Q187" s="91">
        <v>0.4</v>
      </c>
      <c r="R187" s="91"/>
      <c r="S187" s="104">
        <f t="shared" si="58"/>
        <v>5.8812000000000006</v>
      </c>
      <c r="U187" s="93">
        <f t="shared" si="75"/>
        <v>4.2569061230448577</v>
      </c>
      <c r="V187" s="93">
        <v>187</v>
      </c>
      <c r="W187" s="93">
        <f t="shared" si="59"/>
        <v>4.2569061230448577</v>
      </c>
      <c r="X187" s="89">
        <f t="shared" si="60"/>
        <v>1.5328823010827473E-4</v>
      </c>
      <c r="Y187" s="93">
        <f t="shared" si="61"/>
        <v>0.4181560409620162</v>
      </c>
      <c r="Z187" s="92">
        <f t="shared" si="62"/>
        <v>4.6750621640068744</v>
      </c>
      <c r="AA187" s="93">
        <f t="shared" si="63"/>
        <v>6.0554624675118407E-2</v>
      </c>
      <c r="AB187" s="93">
        <f t="shared" si="64"/>
        <v>4.7356167886819929</v>
      </c>
      <c r="AC187" s="93">
        <f t="shared" si="65"/>
        <v>8.8702476931570677E-3</v>
      </c>
      <c r="AD187" s="93">
        <f t="shared" si="66"/>
        <v>4.7444870363751503</v>
      </c>
      <c r="AE187" s="93">
        <f t="shared" si="67"/>
        <v>1.2993440973422356E-3</v>
      </c>
      <c r="AF187" s="92">
        <f t="shared" si="68"/>
        <v>4.7457863804724925</v>
      </c>
      <c r="AG187" s="93">
        <f t="shared" si="69"/>
        <v>1.9033234940538096E-4</v>
      </c>
      <c r="AH187" s="92">
        <f t="shared" si="70"/>
        <v>4.7459767128218981</v>
      </c>
      <c r="AI187" s="93">
        <f t="shared" si="72"/>
        <v>2.7880530879419547E-5</v>
      </c>
      <c r="AJ187" s="92">
        <f t="shared" si="76"/>
        <v>4.7460045933527777</v>
      </c>
      <c r="AK187" s="93">
        <f t="shared" si="73"/>
        <v>187</v>
      </c>
      <c r="AL187" s="89" t="str">
        <f t="shared" si="71"/>
        <v>'pass'</v>
      </c>
    </row>
    <row r="188" spans="1:38" x14ac:dyDescent="0.2">
      <c r="A188" s="79"/>
      <c r="B188" s="117" t="s">
        <v>1933</v>
      </c>
      <c r="C188" s="124">
        <v>9</v>
      </c>
      <c r="D188" s="119">
        <f t="shared" si="74"/>
        <v>2.1532645883675863E-4</v>
      </c>
      <c r="E188" s="121" t="s">
        <v>1934</v>
      </c>
      <c r="F188" s="120" t="s">
        <v>1891</v>
      </c>
      <c r="G188" s="122" t="s">
        <v>1798</v>
      </c>
      <c r="H188" s="121"/>
      <c r="I188" s="118" t="s">
        <v>1903</v>
      </c>
      <c r="J188" s="121">
        <v>22.4</v>
      </c>
      <c r="K188" s="123">
        <v>21194</v>
      </c>
      <c r="L188" s="123">
        <v>29406</v>
      </c>
      <c r="M188" s="123">
        <v>31899</v>
      </c>
      <c r="N188" s="123">
        <v>23020</v>
      </c>
      <c r="O188" s="104">
        <v>31899</v>
      </c>
      <c r="P188" s="105"/>
      <c r="Q188" s="91">
        <v>0.4</v>
      </c>
      <c r="R188" s="91"/>
      <c r="S188" s="104">
        <f t="shared" si="58"/>
        <v>6.3798000000000004</v>
      </c>
      <c r="U188" s="93">
        <f t="shared" si="75"/>
        <v>4.6178007351903663</v>
      </c>
      <c r="V188" s="93">
        <v>187</v>
      </c>
      <c r="W188" s="93">
        <f t="shared" si="59"/>
        <v>4.6178007351903663</v>
      </c>
      <c r="X188" s="89">
        <f t="shared" si="60"/>
        <v>1.6628379419927417E-4</v>
      </c>
      <c r="Y188" s="93">
        <f t="shared" si="61"/>
        <v>0.4536067316414118</v>
      </c>
      <c r="Z188" s="92">
        <f t="shared" si="62"/>
        <v>5.0714074668317783</v>
      </c>
      <c r="AA188" s="93">
        <f t="shared" si="63"/>
        <v>6.5688361984343413E-2</v>
      </c>
      <c r="AB188" s="93">
        <f t="shared" si="64"/>
        <v>5.1370958288161219</v>
      </c>
      <c r="AC188" s="93">
        <f t="shared" si="65"/>
        <v>9.6222550215608153E-3</v>
      </c>
      <c r="AD188" s="93">
        <f t="shared" si="66"/>
        <v>5.1467180838376825</v>
      </c>
      <c r="AE188" s="93">
        <f t="shared" si="67"/>
        <v>1.4095006924137925E-3</v>
      </c>
      <c r="AF188" s="92">
        <f t="shared" si="68"/>
        <v>5.148127584530096</v>
      </c>
      <c r="AG188" s="93">
        <f t="shared" si="69"/>
        <v>2.0646846268388246E-4</v>
      </c>
      <c r="AH188" s="92">
        <f t="shared" si="70"/>
        <v>5.1483340529927801</v>
      </c>
      <c r="AI188" s="93">
        <f t="shared" ref="AI188:AI219" si="78">+X188*$AI$16</f>
        <v>3.0244203717697212E-5</v>
      </c>
      <c r="AJ188" s="92">
        <f t="shared" si="76"/>
        <v>5.1483642971964976</v>
      </c>
      <c r="AK188" s="93">
        <f t="shared" ref="AK188:AK219" si="79">+V188</f>
        <v>187</v>
      </c>
      <c r="AL188" s="89" t="str">
        <f t="shared" si="71"/>
        <v>'pass'</v>
      </c>
    </row>
    <row r="189" spans="1:38" x14ac:dyDescent="0.2">
      <c r="A189" s="79"/>
      <c r="B189" s="117" t="s">
        <v>1935</v>
      </c>
      <c r="C189" s="124">
        <v>111</v>
      </c>
      <c r="D189" s="119">
        <f t="shared" si="74"/>
        <v>2.6556929923200229E-3</v>
      </c>
      <c r="E189" s="121" t="s">
        <v>1936</v>
      </c>
      <c r="F189" s="120" t="s">
        <v>1937</v>
      </c>
      <c r="G189" s="122">
        <v>61</v>
      </c>
      <c r="H189" s="121"/>
      <c r="I189" s="118" t="s">
        <v>1938</v>
      </c>
      <c r="J189" s="121">
        <v>93</v>
      </c>
      <c r="K189" s="123">
        <v>828029</v>
      </c>
      <c r="L189" s="123">
        <v>154056</v>
      </c>
      <c r="M189" s="123">
        <v>1518498</v>
      </c>
      <c r="N189" s="123">
        <v>1285588</v>
      </c>
      <c r="O189" s="104">
        <v>1518498</v>
      </c>
      <c r="P189" s="105"/>
      <c r="Q189" s="91">
        <f>IF(J189&gt;25,0.15,0)</f>
        <v>0.15</v>
      </c>
      <c r="R189" s="91"/>
      <c r="S189" s="104">
        <f t="shared" si="58"/>
        <v>113.88735</v>
      </c>
      <c r="U189" s="93">
        <f t="shared" si="75"/>
        <v>82.433475745146012</v>
      </c>
      <c r="V189" s="93">
        <v>426</v>
      </c>
      <c r="W189" s="93">
        <f t="shared" si="59"/>
        <v>82.433475745146012</v>
      </c>
      <c r="X189" s="89">
        <f t="shared" si="60"/>
        <v>2.9683721541898969E-3</v>
      </c>
      <c r="Y189" s="93">
        <f t="shared" si="61"/>
        <v>8.0974432754634211</v>
      </c>
      <c r="Z189" s="92">
        <f t="shared" si="62"/>
        <v>90.530919020609431</v>
      </c>
      <c r="AA189" s="93">
        <f t="shared" si="63"/>
        <v>1.1726188081503512</v>
      </c>
      <c r="AB189" s="93">
        <f t="shared" si="64"/>
        <v>91.703537828759778</v>
      </c>
      <c r="AC189" s="93">
        <f t="shared" si="65"/>
        <v>0.17176919737762217</v>
      </c>
      <c r="AD189" s="93">
        <f t="shared" si="66"/>
        <v>91.875307026137406</v>
      </c>
      <c r="AE189" s="93">
        <f t="shared" si="67"/>
        <v>2.5161337139435705E-2</v>
      </c>
      <c r="AF189" s="92">
        <f t="shared" si="68"/>
        <v>91.900468363276843</v>
      </c>
      <c r="AG189" s="93">
        <f t="shared" si="69"/>
        <v>3.6857183726200287E-3</v>
      </c>
      <c r="AH189" s="92">
        <f t="shared" si="70"/>
        <v>91.904154081649466</v>
      </c>
      <c r="AI189" s="93">
        <f t="shared" si="78"/>
        <v>5.3989658206662959E-4</v>
      </c>
      <c r="AJ189" s="92">
        <f t="shared" si="76"/>
        <v>91.904693978231535</v>
      </c>
      <c r="AK189" s="93">
        <f t="shared" si="79"/>
        <v>426</v>
      </c>
      <c r="AL189" s="89" t="str">
        <f t="shared" si="71"/>
        <v>'pass'</v>
      </c>
    </row>
    <row r="190" spans="1:38" x14ac:dyDescent="0.2">
      <c r="A190" s="79"/>
      <c r="B190" s="117" t="s">
        <v>1939</v>
      </c>
      <c r="C190" s="124">
        <v>111</v>
      </c>
      <c r="D190" s="119">
        <f t="shared" ref="D190:D208" si="80">C190/$C$6</f>
        <v>2.6556929923200229E-3</v>
      </c>
      <c r="E190" s="121" t="s">
        <v>1940</v>
      </c>
      <c r="F190" s="120" t="s">
        <v>1937</v>
      </c>
      <c r="G190" s="122">
        <v>62</v>
      </c>
      <c r="H190" s="121"/>
      <c r="I190" s="118" t="s">
        <v>1938</v>
      </c>
      <c r="J190" s="121">
        <v>93</v>
      </c>
      <c r="K190" s="123">
        <v>828029</v>
      </c>
      <c r="L190" s="123">
        <v>154056</v>
      </c>
      <c r="M190" s="123">
        <v>1669876</v>
      </c>
      <c r="N190" s="123">
        <v>1380076</v>
      </c>
      <c r="O190" s="104">
        <v>1669876</v>
      </c>
      <c r="P190" s="105"/>
      <c r="Q190" s="91">
        <f>IF(J190&gt;25,0.15,0)</f>
        <v>0.15</v>
      </c>
      <c r="R190" s="91"/>
      <c r="S190" s="104">
        <f t="shared" si="58"/>
        <v>125.2407</v>
      </c>
      <c r="U190" s="93">
        <f t="shared" ref="U190:U208" si="81">+S190*$T$15</f>
        <v>90.651211093726459</v>
      </c>
      <c r="V190" s="93">
        <v>426</v>
      </c>
      <c r="W190" s="93">
        <f t="shared" si="59"/>
        <v>90.651211093726459</v>
      </c>
      <c r="X190" s="89">
        <f t="shared" si="60"/>
        <v>3.2642870911585055E-3</v>
      </c>
      <c r="Y190" s="93">
        <f t="shared" si="61"/>
        <v>8.9046717131387432</v>
      </c>
      <c r="Z190" s="92">
        <f t="shared" si="62"/>
        <v>99.555882806865199</v>
      </c>
      <c r="AA190" s="93">
        <f t="shared" si="63"/>
        <v>1.289516354238778</v>
      </c>
      <c r="AB190" s="93">
        <f t="shared" si="64"/>
        <v>100.84539916110398</v>
      </c>
      <c r="AC190" s="93">
        <f t="shared" si="65"/>
        <v>0.18889274812357618</v>
      </c>
      <c r="AD190" s="93">
        <f t="shared" si="66"/>
        <v>101.03429190922756</v>
      </c>
      <c r="AE190" s="93">
        <f t="shared" si="67"/>
        <v>2.7669653181665262E-2</v>
      </c>
      <c r="AF190" s="92">
        <f t="shared" si="68"/>
        <v>101.06196156240922</v>
      </c>
      <c r="AG190" s="93">
        <f t="shared" si="69"/>
        <v>4.053145050699601E-3</v>
      </c>
      <c r="AH190" s="92">
        <f t="shared" si="70"/>
        <v>101.06601470745993</v>
      </c>
      <c r="AI190" s="93">
        <f t="shared" si="78"/>
        <v>5.9371849345543756E-4</v>
      </c>
      <c r="AJ190" s="92">
        <f t="shared" ref="AJ190:AJ208" si="82">IF(AH190+AI190&gt;V190,V190,AH190+AI190)</f>
        <v>101.06660842595339</v>
      </c>
      <c r="AK190" s="93">
        <f t="shared" si="79"/>
        <v>426</v>
      </c>
      <c r="AL190" s="89" t="str">
        <f t="shared" si="71"/>
        <v>'pass'</v>
      </c>
    </row>
    <row r="191" spans="1:38" x14ac:dyDescent="0.2">
      <c r="A191" s="79"/>
      <c r="B191" s="117" t="s">
        <v>1941</v>
      </c>
      <c r="C191" s="124">
        <v>122</v>
      </c>
      <c r="D191" s="119">
        <f t="shared" si="80"/>
        <v>2.9188697753427281E-3</v>
      </c>
      <c r="E191" s="121" t="s">
        <v>1942</v>
      </c>
      <c r="F191" s="120" t="s">
        <v>1937</v>
      </c>
      <c r="G191" s="122">
        <v>80</v>
      </c>
      <c r="H191" s="121"/>
      <c r="I191" s="118" t="s">
        <v>1938</v>
      </c>
      <c r="J191" s="121">
        <v>63</v>
      </c>
      <c r="K191" s="123">
        <v>3384862</v>
      </c>
      <c r="L191" s="123">
        <v>3580153</v>
      </c>
      <c r="M191" s="123">
        <v>798265</v>
      </c>
      <c r="N191" s="123">
        <v>2553369</v>
      </c>
      <c r="O191" s="104">
        <v>3580153</v>
      </c>
      <c r="P191" s="105"/>
      <c r="Q191" s="91">
        <f>IF(J191&gt;25,0.15,0)</f>
        <v>0.15</v>
      </c>
      <c r="R191" s="91"/>
      <c r="S191" s="104">
        <f t="shared" si="58"/>
        <v>268.51147499999996</v>
      </c>
      <c r="U191" s="93">
        <f t="shared" si="81"/>
        <v>194.35287730995475</v>
      </c>
      <c r="V191" s="93">
        <v>634</v>
      </c>
      <c r="W191" s="93">
        <f t="shared" si="59"/>
        <v>194.35287730995475</v>
      </c>
      <c r="X191" s="89">
        <f t="shared" si="60"/>
        <v>6.9985119986588195E-3</v>
      </c>
      <c r="Y191" s="93">
        <f t="shared" si="61"/>
        <v>19.091290100467823</v>
      </c>
      <c r="Z191" s="92">
        <f t="shared" si="62"/>
        <v>213.44416741042258</v>
      </c>
      <c r="AA191" s="93">
        <f t="shared" si="63"/>
        <v>2.7646758466958166</v>
      </c>
      <c r="AB191" s="93">
        <f t="shared" si="64"/>
        <v>216.20884325711839</v>
      </c>
      <c r="AC191" s="93">
        <f t="shared" si="65"/>
        <v>0.40497913550039977</v>
      </c>
      <c r="AD191" s="93">
        <f t="shared" si="66"/>
        <v>216.6138223926188</v>
      </c>
      <c r="AE191" s="93">
        <f t="shared" si="67"/>
        <v>5.9322723272445629E-2</v>
      </c>
      <c r="AF191" s="92">
        <f t="shared" si="68"/>
        <v>216.67314511589126</v>
      </c>
      <c r="AG191" s="93">
        <f t="shared" si="69"/>
        <v>8.6897945791767333E-3</v>
      </c>
      <c r="AH191" s="92">
        <f t="shared" si="70"/>
        <v>216.68183491047043</v>
      </c>
      <c r="AI191" s="93">
        <f t="shared" si="78"/>
        <v>1.2729107104359635E-3</v>
      </c>
      <c r="AJ191" s="92">
        <f t="shared" si="82"/>
        <v>216.68310782118087</v>
      </c>
      <c r="AK191" s="93">
        <f t="shared" si="79"/>
        <v>634</v>
      </c>
      <c r="AL191" s="89" t="str">
        <f t="shared" si="71"/>
        <v>'pass'</v>
      </c>
    </row>
    <row r="192" spans="1:38" x14ac:dyDescent="0.2">
      <c r="A192" s="79"/>
      <c r="B192" s="117" t="s">
        <v>1943</v>
      </c>
      <c r="C192" s="124">
        <v>119</v>
      </c>
      <c r="D192" s="119">
        <f t="shared" si="80"/>
        <v>2.8470942890638086E-3</v>
      </c>
      <c r="E192" s="121" t="s">
        <v>1944</v>
      </c>
      <c r="F192" s="120" t="s">
        <v>1937</v>
      </c>
      <c r="G192" s="122">
        <v>90</v>
      </c>
      <c r="H192" s="121"/>
      <c r="I192" s="118" t="s">
        <v>1938</v>
      </c>
      <c r="J192" s="121">
        <v>63</v>
      </c>
      <c r="K192" s="123">
        <v>3384862</v>
      </c>
      <c r="L192" s="123">
        <v>3580153</v>
      </c>
      <c r="M192" s="123">
        <v>1579238</v>
      </c>
      <c r="N192" s="123">
        <v>2157451</v>
      </c>
      <c r="O192" s="104">
        <v>3580153</v>
      </c>
      <c r="P192" s="105"/>
      <c r="Q192" s="91">
        <f>IF(J192&gt;25,0.15,0)</f>
        <v>0.15</v>
      </c>
      <c r="R192" s="91"/>
      <c r="S192" s="104">
        <f t="shared" si="58"/>
        <v>268.51147499999996</v>
      </c>
      <c r="U192" s="93">
        <f t="shared" si="81"/>
        <v>194.35287730995475</v>
      </c>
      <c r="V192" s="93">
        <v>634</v>
      </c>
      <c r="W192" s="93">
        <f t="shared" si="59"/>
        <v>194.35287730995475</v>
      </c>
      <c r="X192" s="89">
        <f t="shared" si="60"/>
        <v>6.9985119986588195E-3</v>
      </c>
      <c r="Y192" s="93">
        <f t="shared" si="61"/>
        <v>19.091290100467823</v>
      </c>
      <c r="Z192" s="92">
        <f t="shared" si="62"/>
        <v>213.44416741042258</v>
      </c>
      <c r="AA192" s="93">
        <f t="shared" si="63"/>
        <v>2.7646758466958166</v>
      </c>
      <c r="AB192" s="93">
        <f t="shared" si="64"/>
        <v>216.20884325711839</v>
      </c>
      <c r="AC192" s="93">
        <f t="shared" si="65"/>
        <v>0.40497913550039977</v>
      </c>
      <c r="AD192" s="93">
        <f t="shared" si="66"/>
        <v>216.6138223926188</v>
      </c>
      <c r="AE192" s="93">
        <f t="shared" si="67"/>
        <v>5.9322723272445629E-2</v>
      </c>
      <c r="AF192" s="92">
        <f t="shared" si="68"/>
        <v>216.67314511589126</v>
      </c>
      <c r="AG192" s="93">
        <f t="shared" si="69"/>
        <v>8.6897945791767333E-3</v>
      </c>
      <c r="AH192" s="92">
        <f t="shared" si="70"/>
        <v>216.68183491047043</v>
      </c>
      <c r="AI192" s="93">
        <f t="shared" si="78"/>
        <v>1.2729107104359635E-3</v>
      </c>
      <c r="AJ192" s="92">
        <f t="shared" si="82"/>
        <v>216.68310782118087</v>
      </c>
      <c r="AK192" s="93">
        <f t="shared" si="79"/>
        <v>634</v>
      </c>
      <c r="AL192" s="89" t="str">
        <f t="shared" si="71"/>
        <v>'pass'</v>
      </c>
    </row>
    <row r="193" spans="1:38" x14ac:dyDescent="0.2">
      <c r="A193" s="79"/>
      <c r="B193" s="117" t="s">
        <v>1945</v>
      </c>
      <c r="C193" s="124">
        <v>26</v>
      </c>
      <c r="D193" s="119">
        <f t="shared" si="80"/>
        <v>6.2205421441730263E-4</v>
      </c>
      <c r="E193" s="121" t="s">
        <v>1946</v>
      </c>
      <c r="F193" s="120" t="s">
        <v>1947</v>
      </c>
      <c r="G193" s="122" t="s">
        <v>1814</v>
      </c>
      <c r="H193" s="121"/>
      <c r="I193" s="118" t="s">
        <v>1948</v>
      </c>
      <c r="J193" s="121">
        <v>24.6</v>
      </c>
      <c r="K193" s="123">
        <v>108450</v>
      </c>
      <c r="L193" s="123">
        <v>101300</v>
      </c>
      <c r="M193" s="123">
        <v>103985</v>
      </c>
      <c r="N193" s="123">
        <v>143282</v>
      </c>
      <c r="O193" s="104">
        <v>143282</v>
      </c>
      <c r="P193" s="105"/>
      <c r="Q193" s="91">
        <v>0.4</v>
      </c>
      <c r="R193" s="91"/>
      <c r="S193" s="104">
        <f t="shared" si="58"/>
        <v>28.656400000000001</v>
      </c>
      <c r="U193" s="93">
        <f t="shared" si="81"/>
        <v>20.741958209961002</v>
      </c>
      <c r="V193" s="93">
        <v>218</v>
      </c>
      <c r="W193" s="93">
        <f t="shared" si="59"/>
        <v>20.741958209961002</v>
      </c>
      <c r="X193" s="89">
        <f t="shared" si="60"/>
        <v>7.4690349542181256E-4</v>
      </c>
      <c r="Y193" s="93">
        <f t="shared" si="61"/>
        <v>2.0374832980044753</v>
      </c>
      <c r="Z193" s="92">
        <f t="shared" si="62"/>
        <v>22.779441507965476</v>
      </c>
      <c r="AA193" s="93">
        <f t="shared" si="63"/>
        <v>0.29505501369449483</v>
      </c>
      <c r="AB193" s="93">
        <f t="shared" si="64"/>
        <v>23.07449652165997</v>
      </c>
      <c r="AC193" s="93">
        <f t="shared" si="65"/>
        <v>4.3220663469051582E-2</v>
      </c>
      <c r="AD193" s="93">
        <f t="shared" si="66"/>
        <v>23.11771718512902</v>
      </c>
      <c r="AE193" s="93">
        <f t="shared" si="67"/>
        <v>6.3311100100452364E-3</v>
      </c>
      <c r="AF193" s="92">
        <f t="shared" si="68"/>
        <v>23.124048295139065</v>
      </c>
      <c r="AG193" s="93">
        <f t="shared" si="69"/>
        <v>9.2740256027687526E-4</v>
      </c>
      <c r="AH193" s="92">
        <f t="shared" si="70"/>
        <v>23.124975697699341</v>
      </c>
      <c r="AI193" s="93">
        <f t="shared" si="78"/>
        <v>1.3584908608668271E-4</v>
      </c>
      <c r="AJ193" s="92">
        <f t="shared" si="82"/>
        <v>23.125111546785426</v>
      </c>
      <c r="AK193" s="93">
        <f t="shared" si="79"/>
        <v>218</v>
      </c>
      <c r="AL193" s="89" t="str">
        <f t="shared" si="71"/>
        <v>'pass'</v>
      </c>
    </row>
    <row r="194" spans="1:38" x14ac:dyDescent="0.2">
      <c r="A194" s="79"/>
      <c r="B194" s="117" t="s">
        <v>1949</v>
      </c>
      <c r="C194" s="124">
        <v>27</v>
      </c>
      <c r="D194" s="119">
        <f t="shared" si="80"/>
        <v>6.4597937651027584E-4</v>
      </c>
      <c r="E194" s="121" t="s">
        <v>1950</v>
      </c>
      <c r="F194" s="120" t="s">
        <v>1947</v>
      </c>
      <c r="G194" s="122" t="s">
        <v>1817</v>
      </c>
      <c r="H194" s="121"/>
      <c r="I194" s="118" t="s">
        <v>1948</v>
      </c>
      <c r="J194" s="121">
        <v>24.6</v>
      </c>
      <c r="K194" s="123">
        <v>108450</v>
      </c>
      <c r="L194" s="123">
        <v>101300</v>
      </c>
      <c r="M194" s="123">
        <v>108505</v>
      </c>
      <c r="N194" s="123">
        <v>142936</v>
      </c>
      <c r="O194" s="104">
        <v>142936</v>
      </c>
      <c r="P194" s="105"/>
      <c r="Q194" s="91">
        <v>0.4</v>
      </c>
      <c r="R194" s="91"/>
      <c r="S194" s="104">
        <f t="shared" si="58"/>
        <v>28.587199999999999</v>
      </c>
      <c r="U194" s="93">
        <f t="shared" si="81"/>
        <v>20.691870149069565</v>
      </c>
      <c r="V194" s="93">
        <v>218</v>
      </c>
      <c r="W194" s="93">
        <f t="shared" si="59"/>
        <v>20.691870149069565</v>
      </c>
      <c r="X194" s="89">
        <f t="shared" si="60"/>
        <v>7.4509985917011335E-4</v>
      </c>
      <c r="Y194" s="93">
        <f t="shared" si="61"/>
        <v>2.0325631459888029</v>
      </c>
      <c r="Z194" s="92">
        <f t="shared" si="62"/>
        <v>22.724433295058368</v>
      </c>
      <c r="AA194" s="93">
        <f t="shared" si="63"/>
        <v>0.2943425094389826</v>
      </c>
      <c r="AB194" s="93">
        <f t="shared" si="64"/>
        <v>23.018775804497352</v>
      </c>
      <c r="AC194" s="93">
        <f t="shared" si="65"/>
        <v>4.3116293418659399E-2</v>
      </c>
      <c r="AD194" s="93">
        <f t="shared" si="66"/>
        <v>23.061892097916012</v>
      </c>
      <c r="AE194" s="93">
        <f t="shared" si="67"/>
        <v>6.3158215295419226E-3</v>
      </c>
      <c r="AF194" s="92">
        <f t="shared" si="68"/>
        <v>23.068207919445552</v>
      </c>
      <c r="AG194" s="93">
        <f t="shared" si="69"/>
        <v>9.2516305157476454E-4</v>
      </c>
      <c r="AH194" s="92">
        <f t="shared" si="70"/>
        <v>23.069133082497128</v>
      </c>
      <c r="AI194" s="93">
        <f t="shared" si="78"/>
        <v>1.3552103522344798E-4</v>
      </c>
      <c r="AJ194" s="92">
        <f t="shared" si="82"/>
        <v>23.06926860353235</v>
      </c>
      <c r="AK194" s="93">
        <f t="shared" si="79"/>
        <v>218</v>
      </c>
      <c r="AL194" s="89" t="str">
        <f t="shared" si="71"/>
        <v>'pass'</v>
      </c>
    </row>
    <row r="195" spans="1:38" x14ac:dyDescent="0.2">
      <c r="A195" s="79"/>
      <c r="B195" s="117" t="s">
        <v>1951</v>
      </c>
      <c r="C195" s="124">
        <v>26</v>
      </c>
      <c r="D195" s="119">
        <f t="shared" si="80"/>
        <v>6.2205421441730263E-4</v>
      </c>
      <c r="E195" s="121" t="s">
        <v>1952</v>
      </c>
      <c r="F195" s="120" t="s">
        <v>1947</v>
      </c>
      <c r="G195" s="122" t="s">
        <v>1819</v>
      </c>
      <c r="H195" s="121"/>
      <c r="I195" s="118" t="s">
        <v>1948</v>
      </c>
      <c r="J195" s="121">
        <v>24.6</v>
      </c>
      <c r="K195" s="123">
        <v>108450</v>
      </c>
      <c r="L195" s="123">
        <v>101300</v>
      </c>
      <c r="M195" s="123">
        <v>110242</v>
      </c>
      <c r="N195" s="123">
        <v>94944</v>
      </c>
      <c r="O195" s="104">
        <v>110242</v>
      </c>
      <c r="P195" s="105"/>
      <c r="Q195" s="91">
        <v>0.4</v>
      </c>
      <c r="R195" s="91"/>
      <c r="S195" s="104">
        <f t="shared" si="58"/>
        <v>22.048400000000001</v>
      </c>
      <c r="U195" s="93">
        <f t="shared" si="81"/>
        <v>15.958982684374316</v>
      </c>
      <c r="V195" s="93">
        <v>218</v>
      </c>
      <c r="W195" s="93">
        <f t="shared" si="59"/>
        <v>15.958982684374316</v>
      </c>
      <c r="X195" s="89">
        <f t="shared" si="60"/>
        <v>5.7467187184916081E-4</v>
      </c>
      <c r="Y195" s="93">
        <f t="shared" si="61"/>
        <v>1.5676514407853699</v>
      </c>
      <c r="Z195" s="92">
        <f t="shared" si="62"/>
        <v>17.526634125159685</v>
      </c>
      <c r="AA195" s="93">
        <f t="shared" si="63"/>
        <v>0.22701703507564452</v>
      </c>
      <c r="AB195" s="93">
        <f t="shared" si="64"/>
        <v>17.753651160235329</v>
      </c>
      <c r="AC195" s="93">
        <f t="shared" si="65"/>
        <v>3.3254228599232175E-2</v>
      </c>
      <c r="AD195" s="93">
        <f t="shared" si="66"/>
        <v>17.786905388834562</v>
      </c>
      <c r="AE195" s="93">
        <f t="shared" si="67"/>
        <v>4.8711926810583806E-3</v>
      </c>
      <c r="AF195" s="92">
        <f t="shared" si="68"/>
        <v>17.79177658151562</v>
      </c>
      <c r="AG195" s="93">
        <f t="shared" si="69"/>
        <v>7.1354889693083065E-4</v>
      </c>
      <c r="AH195" s="92">
        <f t="shared" si="70"/>
        <v>17.792490130412553</v>
      </c>
      <c r="AI195" s="93">
        <f t="shared" si="78"/>
        <v>1.0452307301941678E-4</v>
      </c>
      <c r="AJ195" s="92">
        <f t="shared" si="82"/>
        <v>17.792594653485573</v>
      </c>
      <c r="AK195" s="93">
        <f t="shared" si="79"/>
        <v>218</v>
      </c>
      <c r="AL195" s="89" t="str">
        <f t="shared" si="71"/>
        <v>'pass'</v>
      </c>
    </row>
    <row r="196" spans="1:38" x14ac:dyDescent="0.2">
      <c r="A196" s="79"/>
      <c r="B196" s="117" t="s">
        <v>1953</v>
      </c>
      <c r="C196" s="124">
        <v>26</v>
      </c>
      <c r="D196" s="119">
        <f t="shared" si="80"/>
        <v>6.2205421441730263E-4</v>
      </c>
      <c r="E196" s="121" t="s">
        <v>1954</v>
      </c>
      <c r="F196" s="120" t="s">
        <v>1947</v>
      </c>
      <c r="G196" s="122" t="s">
        <v>1821</v>
      </c>
      <c r="H196" s="121"/>
      <c r="I196" s="118" t="s">
        <v>1948</v>
      </c>
      <c r="J196" s="121">
        <v>24.6</v>
      </c>
      <c r="K196" s="123">
        <v>108450</v>
      </c>
      <c r="L196" s="123">
        <v>101400</v>
      </c>
      <c r="M196" s="123">
        <v>117893</v>
      </c>
      <c r="N196" s="123">
        <v>136326</v>
      </c>
      <c r="O196" s="104">
        <v>136326</v>
      </c>
      <c r="P196" s="105"/>
      <c r="Q196" s="91">
        <v>0.4</v>
      </c>
      <c r="R196" s="91"/>
      <c r="S196" s="104">
        <f t="shared" si="58"/>
        <v>27.2652</v>
      </c>
      <c r="U196" s="93">
        <f t="shared" si="81"/>
        <v>19.734985517588697</v>
      </c>
      <c r="V196" s="93">
        <v>218</v>
      </c>
      <c r="W196" s="93">
        <f t="shared" si="59"/>
        <v>19.734985517588697</v>
      </c>
      <c r="X196" s="89">
        <f t="shared" si="60"/>
        <v>7.1064310881250974E-4</v>
      </c>
      <c r="Y196" s="93">
        <f t="shared" si="61"/>
        <v>1.9385683343599203</v>
      </c>
      <c r="Z196" s="92">
        <f t="shared" si="62"/>
        <v>21.673553851948618</v>
      </c>
      <c r="AA196" s="93">
        <f t="shared" si="63"/>
        <v>0.28073079519350447</v>
      </c>
      <c r="AB196" s="93">
        <f t="shared" si="64"/>
        <v>21.954284647142124</v>
      </c>
      <c r="AC196" s="93">
        <f t="shared" si="65"/>
        <v>4.1122403149606551E-2</v>
      </c>
      <c r="AD196" s="93">
        <f t="shared" si="66"/>
        <v>21.995407050291732</v>
      </c>
      <c r="AE196" s="93">
        <f t="shared" si="67"/>
        <v>6.0237496910248807E-3</v>
      </c>
      <c r="AF196" s="92">
        <f t="shared" si="68"/>
        <v>22.001430799982757</v>
      </c>
      <c r="AG196" s="93">
        <f t="shared" si="69"/>
        <v>8.823793737685494E-4</v>
      </c>
      <c r="AH196" s="92">
        <f t="shared" si="70"/>
        <v>22.002313179356523</v>
      </c>
      <c r="AI196" s="93">
        <f t="shared" si="78"/>
        <v>1.2925393636223047E-4</v>
      </c>
      <c r="AJ196" s="92">
        <f t="shared" si="82"/>
        <v>22.002442433292885</v>
      </c>
      <c r="AK196" s="93">
        <f t="shared" si="79"/>
        <v>218</v>
      </c>
      <c r="AL196" s="89" t="str">
        <f t="shared" si="71"/>
        <v>'pass'</v>
      </c>
    </row>
    <row r="197" spans="1:38" x14ac:dyDescent="0.2">
      <c r="A197" s="79"/>
      <c r="B197" s="117" t="s">
        <v>1955</v>
      </c>
      <c r="C197" s="124">
        <v>26</v>
      </c>
      <c r="D197" s="119">
        <f t="shared" si="80"/>
        <v>6.2205421441730263E-4</v>
      </c>
      <c r="E197" s="121" t="s">
        <v>1956</v>
      </c>
      <c r="F197" s="120" t="s">
        <v>1947</v>
      </c>
      <c r="G197" s="122" t="s">
        <v>1823</v>
      </c>
      <c r="H197" s="121"/>
      <c r="I197" s="118" t="s">
        <v>1948</v>
      </c>
      <c r="J197" s="121">
        <v>24.6</v>
      </c>
      <c r="K197" s="123">
        <v>108450</v>
      </c>
      <c r="L197" s="123">
        <v>101400</v>
      </c>
      <c r="M197" s="123">
        <v>101546</v>
      </c>
      <c r="N197" s="123">
        <v>86596</v>
      </c>
      <c r="O197" s="104">
        <v>108450</v>
      </c>
      <c r="P197" s="105"/>
      <c r="Q197" s="91">
        <v>0.4</v>
      </c>
      <c r="R197" s="91"/>
      <c r="S197" s="104">
        <f t="shared" si="58"/>
        <v>21.69</v>
      </c>
      <c r="U197" s="93">
        <f t="shared" si="81"/>
        <v>15.699567062647581</v>
      </c>
      <c r="V197" s="93">
        <v>218</v>
      </c>
      <c r="W197" s="93">
        <f t="shared" si="59"/>
        <v>15.699567062647581</v>
      </c>
      <c r="X197" s="89">
        <f t="shared" si="60"/>
        <v>5.6533049565538984E-4</v>
      </c>
      <c r="Y197" s="93">
        <f t="shared" si="61"/>
        <v>1.5421690349700963</v>
      </c>
      <c r="Z197" s="92">
        <f t="shared" si="62"/>
        <v>17.241736097617679</v>
      </c>
      <c r="AA197" s="93">
        <f t="shared" si="63"/>
        <v>0.22332683962513061</v>
      </c>
      <c r="AB197" s="93">
        <f t="shared" si="64"/>
        <v>17.465062937242809</v>
      </c>
      <c r="AC197" s="93">
        <f t="shared" si="65"/>
        <v>3.2713676199513153E-2</v>
      </c>
      <c r="AD197" s="93">
        <f t="shared" si="66"/>
        <v>17.497776613442323</v>
      </c>
      <c r="AE197" s="93">
        <f t="shared" si="67"/>
        <v>4.7920107242319749E-3</v>
      </c>
      <c r="AF197" s="92">
        <f t="shared" si="68"/>
        <v>17.502568624166553</v>
      </c>
      <c r="AG197" s="93">
        <f t="shared" si="69"/>
        <v>7.0195005417307912E-4</v>
      </c>
      <c r="AH197" s="92">
        <f t="shared" si="70"/>
        <v>17.503270574220725</v>
      </c>
      <c r="AI197" s="93">
        <f t="shared" si="78"/>
        <v>1.0282403502254811E-4</v>
      </c>
      <c r="AJ197" s="92">
        <f t="shared" si="82"/>
        <v>17.503373398255746</v>
      </c>
      <c r="AK197" s="93">
        <f t="shared" si="79"/>
        <v>218</v>
      </c>
      <c r="AL197" s="89" t="str">
        <f t="shared" si="71"/>
        <v>'pass'</v>
      </c>
    </row>
    <row r="198" spans="1:38" x14ac:dyDescent="0.2">
      <c r="A198" s="79"/>
      <c r="B198" s="117" t="s">
        <v>1957</v>
      </c>
      <c r="C198" s="124">
        <v>26</v>
      </c>
      <c r="D198" s="119">
        <f t="shared" si="80"/>
        <v>6.2205421441730263E-4</v>
      </c>
      <c r="E198" s="121" t="s">
        <v>1958</v>
      </c>
      <c r="F198" s="120" t="s">
        <v>1947</v>
      </c>
      <c r="G198" s="122" t="s">
        <v>1825</v>
      </c>
      <c r="H198" s="121"/>
      <c r="I198" s="118" t="s">
        <v>1948</v>
      </c>
      <c r="J198" s="121">
        <v>24.6</v>
      </c>
      <c r="K198" s="123">
        <v>108450</v>
      </c>
      <c r="L198" s="123">
        <v>101400</v>
      </c>
      <c r="M198" s="123">
        <v>99459</v>
      </c>
      <c r="N198" s="123">
        <v>148149</v>
      </c>
      <c r="O198" s="104">
        <v>148149</v>
      </c>
      <c r="P198" s="105"/>
      <c r="Q198" s="91">
        <v>0.4</v>
      </c>
      <c r="R198" s="91"/>
      <c r="S198" s="104">
        <f t="shared" si="58"/>
        <v>29.629800000000003</v>
      </c>
      <c r="U198" s="93">
        <f t="shared" si="81"/>
        <v>21.446520615621729</v>
      </c>
      <c r="V198" s="93">
        <v>218</v>
      </c>
      <c r="W198" s="93">
        <f t="shared" si="59"/>
        <v>21.446520615621729</v>
      </c>
      <c r="X198" s="89">
        <f t="shared" si="60"/>
        <v>7.7227429784094373E-4</v>
      </c>
      <c r="Y198" s="93">
        <f t="shared" si="61"/>
        <v>2.1066924883520959</v>
      </c>
      <c r="Z198" s="92">
        <f t="shared" si="62"/>
        <v>23.553213103973825</v>
      </c>
      <c r="AA198" s="93">
        <f t="shared" si="63"/>
        <v>0.30507743627130912</v>
      </c>
      <c r="AB198" s="93">
        <f t="shared" si="64"/>
        <v>23.858290540245132</v>
      </c>
      <c r="AC198" s="93">
        <f t="shared" si="65"/>
        <v>4.468878206806523E-2</v>
      </c>
      <c r="AD198" s="93">
        <f t="shared" si="66"/>
        <v>23.902979322313197</v>
      </c>
      <c r="AE198" s="93">
        <f t="shared" si="67"/>
        <v>6.5461650233678455E-3</v>
      </c>
      <c r="AF198" s="92">
        <f t="shared" si="68"/>
        <v>23.909525487336566</v>
      </c>
      <c r="AG198" s="93">
        <f t="shared" si="69"/>
        <v>9.5890455118199621E-4</v>
      </c>
      <c r="AH198" s="92">
        <f t="shared" si="70"/>
        <v>23.910484391887749</v>
      </c>
      <c r="AI198" s="93">
        <f t="shared" si="78"/>
        <v>1.4046360502125845E-4</v>
      </c>
      <c r="AJ198" s="92">
        <f t="shared" si="82"/>
        <v>23.91062485549277</v>
      </c>
      <c r="AK198" s="93">
        <f t="shared" si="79"/>
        <v>218</v>
      </c>
      <c r="AL198" s="89" t="str">
        <f t="shared" si="71"/>
        <v>'pass'</v>
      </c>
    </row>
    <row r="199" spans="1:38" x14ac:dyDescent="0.2">
      <c r="A199" s="79"/>
      <c r="B199" s="117" t="s">
        <v>1959</v>
      </c>
      <c r="C199" s="124">
        <v>27</v>
      </c>
      <c r="D199" s="119">
        <f t="shared" si="80"/>
        <v>6.4597937651027584E-4</v>
      </c>
      <c r="E199" s="121" t="s">
        <v>1960</v>
      </c>
      <c r="F199" s="120" t="s">
        <v>1947</v>
      </c>
      <c r="G199" s="122" t="s">
        <v>1827</v>
      </c>
      <c r="H199" s="121"/>
      <c r="I199" s="118" t="s">
        <v>1948</v>
      </c>
      <c r="J199" s="121">
        <v>24.6</v>
      </c>
      <c r="K199" s="123">
        <v>108450</v>
      </c>
      <c r="L199" s="123">
        <v>101400</v>
      </c>
      <c r="M199" s="123">
        <v>106069</v>
      </c>
      <c r="N199" s="123">
        <v>131453</v>
      </c>
      <c r="O199" s="104">
        <v>131453</v>
      </c>
      <c r="P199" s="105"/>
      <c r="Q199" s="91">
        <v>0.4</v>
      </c>
      <c r="R199" s="91"/>
      <c r="S199" s="104">
        <f t="shared" si="58"/>
        <v>26.290600000000001</v>
      </c>
      <c r="U199" s="93">
        <f t="shared" si="81"/>
        <v>19.029554532837366</v>
      </c>
      <c r="V199" s="93">
        <v>218</v>
      </c>
      <c r="W199" s="93">
        <f t="shared" si="59"/>
        <v>19.029554532837366</v>
      </c>
      <c r="X199" s="89">
        <f t="shared" si="60"/>
        <v>6.8524102946415817E-4</v>
      </c>
      <c r="Y199" s="93">
        <f t="shared" si="61"/>
        <v>1.8692738234571142</v>
      </c>
      <c r="Z199" s="92">
        <f t="shared" si="62"/>
        <v>20.89882835629448</v>
      </c>
      <c r="AA199" s="93">
        <f t="shared" si="63"/>
        <v>0.2706960170515656</v>
      </c>
      <c r="AB199" s="93">
        <f t="shared" si="64"/>
        <v>21.169524373346047</v>
      </c>
      <c r="AC199" s="93">
        <f t="shared" si="65"/>
        <v>3.9652474665325982E-2</v>
      </c>
      <c r="AD199" s="93">
        <f t="shared" si="66"/>
        <v>21.209176848011374</v>
      </c>
      <c r="AE199" s="93">
        <f t="shared" si="67"/>
        <v>5.8084295595432524E-3</v>
      </c>
      <c r="AF199" s="92">
        <f t="shared" si="68"/>
        <v>21.214985277570918</v>
      </c>
      <c r="AG199" s="93">
        <f t="shared" si="69"/>
        <v>8.5083854745240895E-4</v>
      </c>
      <c r="AH199" s="92">
        <f t="shared" si="70"/>
        <v>21.215836116118371</v>
      </c>
      <c r="AI199" s="93">
        <f t="shared" si="78"/>
        <v>1.246337286843616E-4</v>
      </c>
      <c r="AJ199" s="92">
        <f t="shared" si="82"/>
        <v>21.215960749847056</v>
      </c>
      <c r="AK199" s="93">
        <f t="shared" si="79"/>
        <v>218</v>
      </c>
      <c r="AL199" s="89" t="str">
        <f t="shared" si="71"/>
        <v>'pass'</v>
      </c>
    </row>
    <row r="200" spans="1:38" x14ac:dyDescent="0.2">
      <c r="A200" s="79"/>
      <c r="B200" s="117" t="s">
        <v>1961</v>
      </c>
      <c r="C200" s="124">
        <v>26</v>
      </c>
      <c r="D200" s="119">
        <f t="shared" si="80"/>
        <v>6.2205421441730263E-4</v>
      </c>
      <c r="E200" s="121" t="s">
        <v>1962</v>
      </c>
      <c r="F200" s="120" t="s">
        <v>1947</v>
      </c>
      <c r="G200" s="122" t="s">
        <v>1829</v>
      </c>
      <c r="H200" s="121"/>
      <c r="I200" s="118" t="s">
        <v>1948</v>
      </c>
      <c r="J200" s="121">
        <v>24.6</v>
      </c>
      <c r="K200" s="123">
        <v>108450</v>
      </c>
      <c r="L200" s="123">
        <v>101400</v>
      </c>
      <c r="M200" s="123">
        <v>107455</v>
      </c>
      <c r="N200" s="123">
        <v>134587</v>
      </c>
      <c r="O200" s="104">
        <v>134587</v>
      </c>
      <c r="P200" s="105"/>
      <c r="Q200" s="91">
        <v>0.4</v>
      </c>
      <c r="R200" s="91"/>
      <c r="S200" s="104">
        <f t="shared" si="58"/>
        <v>26.917400000000001</v>
      </c>
      <c r="U200" s="93">
        <f t="shared" si="81"/>
        <v>19.483242344495618</v>
      </c>
      <c r="V200" s="93">
        <v>218</v>
      </c>
      <c r="W200" s="93">
        <f t="shared" si="59"/>
        <v>19.483242344495618</v>
      </c>
      <c r="X200" s="89">
        <f t="shared" si="60"/>
        <v>7.0157801216018389E-4</v>
      </c>
      <c r="Y200" s="93">
        <f t="shared" si="61"/>
        <v>1.9138395934487813</v>
      </c>
      <c r="Z200" s="92">
        <f t="shared" si="62"/>
        <v>21.397081937944399</v>
      </c>
      <c r="AA200" s="93">
        <f t="shared" si="63"/>
        <v>0.27714974056825681</v>
      </c>
      <c r="AB200" s="93">
        <f t="shared" si="64"/>
        <v>21.674231678512655</v>
      </c>
      <c r="AC200" s="93">
        <f t="shared" si="65"/>
        <v>4.059783806974529E-2</v>
      </c>
      <c r="AD200" s="93">
        <f t="shared" si="66"/>
        <v>21.714829516582402</v>
      </c>
      <c r="AE200" s="93">
        <f t="shared" si="67"/>
        <v>5.9469096112697902E-3</v>
      </c>
      <c r="AF200" s="92">
        <f t="shared" si="68"/>
        <v>21.720776426193673</v>
      </c>
      <c r="AG200" s="93">
        <f t="shared" si="69"/>
        <v>8.7112357714146777E-4</v>
      </c>
      <c r="AH200" s="92">
        <f t="shared" si="70"/>
        <v>21.721647549770815</v>
      </c>
      <c r="AI200" s="93">
        <f t="shared" si="78"/>
        <v>1.2760514893111739E-4</v>
      </c>
      <c r="AJ200" s="92">
        <f t="shared" si="82"/>
        <v>21.721775154919747</v>
      </c>
      <c r="AK200" s="93">
        <f t="shared" si="79"/>
        <v>218</v>
      </c>
      <c r="AL200" s="89" t="str">
        <f t="shared" si="71"/>
        <v>'pass'</v>
      </c>
    </row>
    <row r="201" spans="1:38" x14ac:dyDescent="0.2">
      <c r="A201" s="79"/>
      <c r="B201" s="117" t="s">
        <v>1963</v>
      </c>
      <c r="C201" s="124">
        <v>26</v>
      </c>
      <c r="D201" s="119">
        <f t="shared" si="80"/>
        <v>6.2205421441730263E-4</v>
      </c>
      <c r="E201" s="121" t="s">
        <v>1964</v>
      </c>
      <c r="F201" s="120" t="s">
        <v>1947</v>
      </c>
      <c r="G201" s="122" t="s">
        <v>1746</v>
      </c>
      <c r="H201" s="121"/>
      <c r="I201" s="118" t="s">
        <v>1948</v>
      </c>
      <c r="J201" s="121">
        <v>24.6</v>
      </c>
      <c r="K201" s="123">
        <v>108450</v>
      </c>
      <c r="L201" s="123">
        <v>101400</v>
      </c>
      <c r="M201" s="123">
        <v>119981</v>
      </c>
      <c r="N201" s="123">
        <v>74425</v>
      </c>
      <c r="O201" s="104">
        <v>119981</v>
      </c>
      <c r="P201" s="105"/>
      <c r="Q201" s="91">
        <v>0.4</v>
      </c>
      <c r="R201" s="91"/>
      <c r="S201" s="104">
        <f t="shared" si="58"/>
        <v>23.996200000000002</v>
      </c>
      <c r="U201" s="93">
        <f t="shared" si="81"/>
        <v>17.368831311604605</v>
      </c>
      <c r="V201" s="93">
        <v>218</v>
      </c>
      <c r="W201" s="93">
        <f t="shared" si="59"/>
        <v>17.368831311604605</v>
      </c>
      <c r="X201" s="89">
        <f t="shared" si="60"/>
        <v>6.2543954079510682E-4</v>
      </c>
      <c r="Y201" s="93">
        <f t="shared" si="61"/>
        <v>1.7061409219432655</v>
      </c>
      <c r="Z201" s="92">
        <f t="shared" si="62"/>
        <v>19.074972233547872</v>
      </c>
      <c r="AA201" s="93">
        <f t="shared" si="63"/>
        <v>0.24707217653354355</v>
      </c>
      <c r="AB201" s="93">
        <f t="shared" si="64"/>
        <v>19.322044410081414</v>
      </c>
      <c r="AC201" s="93">
        <f t="shared" si="65"/>
        <v>3.6191974034981915E-2</v>
      </c>
      <c r="AD201" s="93">
        <f t="shared" si="66"/>
        <v>19.358236384116395</v>
      </c>
      <c r="AE201" s="93">
        <f t="shared" si="67"/>
        <v>5.3015236395027813E-3</v>
      </c>
      <c r="AF201" s="92">
        <f t="shared" si="68"/>
        <v>19.363537907755898</v>
      </c>
      <c r="AG201" s="93">
        <f t="shared" si="69"/>
        <v>7.7658524158358885E-4</v>
      </c>
      <c r="AH201" s="92">
        <f t="shared" si="70"/>
        <v>19.364314492997483</v>
      </c>
      <c r="AI201" s="93">
        <f t="shared" si="78"/>
        <v>1.1375685150797921E-4</v>
      </c>
      <c r="AJ201" s="92">
        <f t="shared" si="82"/>
        <v>19.364428249848991</v>
      </c>
      <c r="AK201" s="93">
        <f t="shared" si="79"/>
        <v>218</v>
      </c>
      <c r="AL201" s="89" t="str">
        <f t="shared" si="71"/>
        <v>'pass'</v>
      </c>
    </row>
    <row r="202" spans="1:38" x14ac:dyDescent="0.2">
      <c r="A202" s="79"/>
      <c r="B202" s="117" t="s">
        <v>1965</v>
      </c>
      <c r="C202" s="124">
        <v>27</v>
      </c>
      <c r="D202" s="119">
        <f t="shared" si="80"/>
        <v>6.4597937651027584E-4</v>
      </c>
      <c r="E202" s="121" t="s">
        <v>1966</v>
      </c>
      <c r="F202" s="120" t="s">
        <v>1947</v>
      </c>
      <c r="G202" s="122" t="s">
        <v>1750</v>
      </c>
      <c r="H202" s="121"/>
      <c r="I202" s="118" t="s">
        <v>1948</v>
      </c>
      <c r="J202" s="121">
        <v>24.6</v>
      </c>
      <c r="K202" s="123">
        <v>108450</v>
      </c>
      <c r="L202" s="123">
        <v>101400</v>
      </c>
      <c r="M202" s="123">
        <v>121027</v>
      </c>
      <c r="N202" s="123">
        <v>104677</v>
      </c>
      <c r="O202" s="104">
        <v>121027</v>
      </c>
      <c r="P202" s="105"/>
      <c r="Q202" s="91">
        <v>0.4</v>
      </c>
      <c r="R202" s="91"/>
      <c r="S202" s="104">
        <f t="shared" si="58"/>
        <v>24.205400000000001</v>
      </c>
      <c r="U202" s="93">
        <f t="shared" si="81"/>
        <v>17.520253599733046</v>
      </c>
      <c r="V202" s="93">
        <v>218</v>
      </c>
      <c r="W202" s="93">
        <f t="shared" si="59"/>
        <v>17.520253599733046</v>
      </c>
      <c r="X202" s="89">
        <f t="shared" si="60"/>
        <v>6.3089215212249763E-4</v>
      </c>
      <c r="Y202" s="93">
        <f t="shared" si="61"/>
        <v>1.7210151387305288</v>
      </c>
      <c r="Z202" s="92">
        <f t="shared" si="62"/>
        <v>19.241268738463575</v>
      </c>
      <c r="AA202" s="93">
        <f t="shared" si="63"/>
        <v>0.2492261633869127</v>
      </c>
      <c r="AB202" s="93">
        <f t="shared" si="64"/>
        <v>19.490494901850486</v>
      </c>
      <c r="AC202" s="93">
        <f t="shared" si="65"/>
        <v>3.6507497366514326E-2</v>
      </c>
      <c r="AD202" s="93">
        <f t="shared" si="66"/>
        <v>19.527002399217</v>
      </c>
      <c r="AE202" s="93">
        <f t="shared" si="67"/>
        <v>5.3477425718914083E-3</v>
      </c>
      <c r="AF202" s="92">
        <f t="shared" si="68"/>
        <v>19.532350141788893</v>
      </c>
      <c r="AG202" s="93">
        <f t="shared" si="69"/>
        <v>7.8335554823794605E-4</v>
      </c>
      <c r="AH202" s="92">
        <f t="shared" si="70"/>
        <v>19.533133497337129</v>
      </c>
      <c r="AI202" s="93">
        <f t="shared" si="78"/>
        <v>1.1474858908874071E-4</v>
      </c>
      <c r="AJ202" s="92">
        <f t="shared" si="82"/>
        <v>19.533248245926217</v>
      </c>
      <c r="AK202" s="93">
        <f t="shared" si="79"/>
        <v>218</v>
      </c>
      <c r="AL202" s="89" t="str">
        <f t="shared" si="71"/>
        <v>'pass'</v>
      </c>
    </row>
    <row r="203" spans="1:38" x14ac:dyDescent="0.2">
      <c r="A203" s="79"/>
      <c r="B203" s="117" t="s">
        <v>1967</v>
      </c>
      <c r="C203" s="124">
        <v>27</v>
      </c>
      <c r="D203" s="119">
        <f t="shared" si="80"/>
        <v>6.4597937651027584E-4</v>
      </c>
      <c r="E203" s="121" t="s">
        <v>1968</v>
      </c>
      <c r="F203" s="120" t="s">
        <v>1947</v>
      </c>
      <c r="G203" s="122" t="s">
        <v>1753</v>
      </c>
      <c r="H203" s="121"/>
      <c r="I203" s="118" t="s">
        <v>1948</v>
      </c>
      <c r="J203" s="121">
        <v>24.6</v>
      </c>
      <c r="K203" s="123">
        <v>108450</v>
      </c>
      <c r="L203" s="123">
        <v>101400</v>
      </c>
      <c r="M203" s="123">
        <v>128328</v>
      </c>
      <c r="N203" s="123">
        <v>99461</v>
      </c>
      <c r="O203" s="104">
        <v>128328</v>
      </c>
      <c r="P203" s="105"/>
      <c r="Q203" s="91">
        <v>0.4</v>
      </c>
      <c r="R203" s="91"/>
      <c r="S203" s="104">
        <f t="shared" si="58"/>
        <v>25.665600000000001</v>
      </c>
      <c r="U203" s="93">
        <f t="shared" si="81"/>
        <v>18.577169589815018</v>
      </c>
      <c r="V203" s="93">
        <v>218</v>
      </c>
      <c r="W203" s="93">
        <f t="shared" si="59"/>
        <v>18.577169589815018</v>
      </c>
      <c r="X203" s="89">
        <f t="shared" si="60"/>
        <v>6.6895096216196281E-4</v>
      </c>
      <c r="Y203" s="93">
        <f t="shared" si="61"/>
        <v>1.8248360342982251</v>
      </c>
      <c r="Z203" s="92">
        <f t="shared" si="62"/>
        <v>20.402005624113244</v>
      </c>
      <c r="AA203" s="93">
        <f t="shared" si="63"/>
        <v>0.2642608268825612</v>
      </c>
      <c r="AB203" s="93">
        <f t="shared" si="64"/>
        <v>20.666266450995806</v>
      </c>
      <c r="AC203" s="93">
        <f t="shared" si="65"/>
        <v>3.8709826088807048E-2</v>
      </c>
      <c r="AD203" s="93">
        <f t="shared" si="66"/>
        <v>20.704976277084615</v>
      </c>
      <c r="AE203" s="93">
        <f t="shared" si="67"/>
        <v>5.6703471850552412E-3</v>
      </c>
      <c r="AF203" s="92">
        <f t="shared" si="68"/>
        <v>20.710646624269671</v>
      </c>
      <c r="AG203" s="93">
        <f t="shared" si="69"/>
        <v>8.3061177087987912E-4</v>
      </c>
      <c r="AH203" s="92">
        <f t="shared" si="70"/>
        <v>20.711477236040551</v>
      </c>
      <c r="AI203" s="93">
        <f t="shared" si="78"/>
        <v>1.2167084155254546E-4</v>
      </c>
      <c r="AJ203" s="92">
        <f t="shared" si="82"/>
        <v>20.711598906882102</v>
      </c>
      <c r="AK203" s="93">
        <f t="shared" si="79"/>
        <v>218</v>
      </c>
      <c r="AL203" s="89" t="str">
        <f t="shared" si="71"/>
        <v>'pass'</v>
      </c>
    </row>
    <row r="204" spans="1:38" x14ac:dyDescent="0.2">
      <c r="A204" s="79"/>
      <c r="B204" s="117" t="s">
        <v>1969</v>
      </c>
      <c r="C204" s="124">
        <v>26</v>
      </c>
      <c r="D204" s="119">
        <f t="shared" si="80"/>
        <v>6.2205421441730263E-4</v>
      </c>
      <c r="E204" s="121" t="s">
        <v>1970</v>
      </c>
      <c r="F204" s="120" t="s">
        <v>1947</v>
      </c>
      <c r="G204" s="122" t="s">
        <v>1756</v>
      </c>
      <c r="H204" s="121"/>
      <c r="I204" s="118" t="s">
        <v>1948</v>
      </c>
      <c r="J204" s="121">
        <v>24.6</v>
      </c>
      <c r="K204" s="123">
        <v>108450</v>
      </c>
      <c r="L204" s="123">
        <v>101400</v>
      </c>
      <c r="M204" s="123">
        <v>9042</v>
      </c>
      <c r="N204" s="123">
        <v>3825</v>
      </c>
      <c r="O204" s="104">
        <v>108450</v>
      </c>
      <c r="P204" s="105"/>
      <c r="Q204" s="91">
        <v>0.4</v>
      </c>
      <c r="R204" s="91"/>
      <c r="S204" s="104">
        <f t="shared" si="58"/>
        <v>21.69</v>
      </c>
      <c r="U204" s="93">
        <f t="shared" si="81"/>
        <v>15.699567062647581</v>
      </c>
      <c r="V204" s="93">
        <v>218</v>
      </c>
      <c r="W204" s="93">
        <f t="shared" si="59"/>
        <v>15.699567062647581</v>
      </c>
      <c r="X204" s="89">
        <f t="shared" si="60"/>
        <v>5.6533049565538984E-4</v>
      </c>
      <c r="Y204" s="93">
        <f t="shared" si="61"/>
        <v>1.5421690349700963</v>
      </c>
      <c r="Z204" s="92">
        <f t="shared" si="62"/>
        <v>17.241736097617679</v>
      </c>
      <c r="AA204" s="93">
        <f t="shared" si="63"/>
        <v>0.22332683962513061</v>
      </c>
      <c r="AB204" s="93">
        <f t="shared" si="64"/>
        <v>17.465062937242809</v>
      </c>
      <c r="AC204" s="93">
        <f t="shared" si="65"/>
        <v>3.2713676199513153E-2</v>
      </c>
      <c r="AD204" s="93">
        <f t="shared" si="66"/>
        <v>17.497776613442323</v>
      </c>
      <c r="AE204" s="93">
        <f t="shared" si="67"/>
        <v>4.7920107242319749E-3</v>
      </c>
      <c r="AF204" s="92">
        <f t="shared" si="68"/>
        <v>17.502568624166553</v>
      </c>
      <c r="AG204" s="93">
        <f t="shared" si="69"/>
        <v>7.0195005417307912E-4</v>
      </c>
      <c r="AH204" s="92">
        <f t="shared" si="70"/>
        <v>17.503270574220725</v>
      </c>
      <c r="AI204" s="93">
        <f t="shared" si="78"/>
        <v>1.0282403502254811E-4</v>
      </c>
      <c r="AJ204" s="92">
        <f t="shared" si="82"/>
        <v>17.503373398255746</v>
      </c>
      <c r="AK204" s="93">
        <f t="shared" si="79"/>
        <v>218</v>
      </c>
      <c r="AL204" s="89" t="str">
        <f t="shared" si="71"/>
        <v>'pass'</v>
      </c>
    </row>
    <row r="205" spans="1:38" x14ac:dyDescent="0.2">
      <c r="A205" s="79"/>
      <c r="B205" s="117" t="s">
        <v>1971</v>
      </c>
      <c r="C205" s="124">
        <v>26</v>
      </c>
      <c r="D205" s="119">
        <f t="shared" si="80"/>
        <v>6.2205421441730263E-4</v>
      </c>
      <c r="E205" s="121" t="s">
        <v>1972</v>
      </c>
      <c r="F205" s="120" t="s">
        <v>1947</v>
      </c>
      <c r="G205" s="122" t="s">
        <v>1836</v>
      </c>
      <c r="H205" s="121"/>
      <c r="I205" s="118" t="s">
        <v>1948</v>
      </c>
      <c r="J205" s="121">
        <v>24.6</v>
      </c>
      <c r="K205" s="123">
        <v>108450</v>
      </c>
      <c r="L205" s="123">
        <v>101400</v>
      </c>
      <c r="M205" s="123">
        <v>126588</v>
      </c>
      <c r="N205" s="123">
        <v>62253</v>
      </c>
      <c r="O205" s="104">
        <v>126588</v>
      </c>
      <c r="P205" s="105"/>
      <c r="Q205" s="91">
        <v>0.4</v>
      </c>
      <c r="R205" s="91"/>
      <c r="S205" s="104">
        <f t="shared" si="58"/>
        <v>25.317600000000002</v>
      </c>
      <c r="U205" s="93">
        <f t="shared" si="81"/>
        <v>18.325281653540177</v>
      </c>
      <c r="V205" s="93">
        <v>218</v>
      </c>
      <c r="W205" s="93">
        <f t="shared" si="59"/>
        <v>18.325281653540177</v>
      </c>
      <c r="X205" s="89">
        <f t="shared" si="60"/>
        <v>6.5988065268810046E-4</v>
      </c>
      <c r="Y205" s="93">
        <f t="shared" si="61"/>
        <v>1.8000930732945557</v>
      </c>
      <c r="Z205" s="92">
        <f t="shared" si="62"/>
        <v>20.125374726834732</v>
      </c>
      <c r="AA205" s="93">
        <f t="shared" si="63"/>
        <v>0.26067771299645953</v>
      </c>
      <c r="AB205" s="93">
        <f t="shared" si="64"/>
        <v>20.386052439831193</v>
      </c>
      <c r="AC205" s="93">
        <f t="shared" si="65"/>
        <v>3.8184959361401309E-2</v>
      </c>
      <c r="AD205" s="93">
        <f t="shared" si="66"/>
        <v>20.424237399192595</v>
      </c>
      <c r="AE205" s="93">
        <f t="shared" si="67"/>
        <v>5.5934629189403158E-3</v>
      </c>
      <c r="AF205" s="92">
        <f t="shared" si="68"/>
        <v>20.429830862111537</v>
      </c>
      <c r="AG205" s="93">
        <f t="shared" si="69"/>
        <v>8.1934950168429451E-4</v>
      </c>
      <c r="AH205" s="92">
        <f t="shared" si="70"/>
        <v>20.430650211613219</v>
      </c>
      <c r="AI205" s="93">
        <f t="shared" si="78"/>
        <v>1.2002110599755022E-4</v>
      </c>
      <c r="AJ205" s="92">
        <f t="shared" si="82"/>
        <v>20.430770232719215</v>
      </c>
      <c r="AK205" s="93">
        <f t="shared" si="79"/>
        <v>218</v>
      </c>
      <c r="AL205" s="89" t="str">
        <f t="shared" si="71"/>
        <v>'pass'</v>
      </c>
    </row>
    <row r="206" spans="1:38" x14ac:dyDescent="0.2">
      <c r="A206" s="79"/>
      <c r="B206" s="117" t="s">
        <v>1973</v>
      </c>
      <c r="C206" s="124">
        <v>27</v>
      </c>
      <c r="D206" s="119">
        <f t="shared" si="80"/>
        <v>6.4597937651027584E-4</v>
      </c>
      <c r="E206" s="121" t="s">
        <v>1974</v>
      </c>
      <c r="F206" s="120" t="s">
        <v>1947</v>
      </c>
      <c r="G206" s="122" t="s">
        <v>1838</v>
      </c>
      <c r="H206" s="121"/>
      <c r="I206" s="118" t="s">
        <v>1948</v>
      </c>
      <c r="J206" s="121">
        <v>24.6</v>
      </c>
      <c r="K206" s="123">
        <v>108450</v>
      </c>
      <c r="L206" s="123">
        <v>101400</v>
      </c>
      <c r="M206" s="123">
        <v>348</v>
      </c>
      <c r="N206" s="123">
        <v>76857</v>
      </c>
      <c r="O206" s="104">
        <v>108450</v>
      </c>
      <c r="P206" s="105"/>
      <c r="Q206" s="91">
        <v>0.4</v>
      </c>
      <c r="R206" s="91"/>
      <c r="S206" s="104">
        <f t="shared" si="58"/>
        <v>21.69</v>
      </c>
      <c r="U206" s="93">
        <f t="shared" si="81"/>
        <v>15.699567062647581</v>
      </c>
      <c r="V206" s="93">
        <v>218</v>
      </c>
      <c r="W206" s="93">
        <f t="shared" si="59"/>
        <v>15.699567062647581</v>
      </c>
      <c r="X206" s="89">
        <f t="shared" si="60"/>
        <v>5.6533049565538984E-4</v>
      </c>
      <c r="Y206" s="93">
        <f t="shared" si="61"/>
        <v>1.5421690349700963</v>
      </c>
      <c r="Z206" s="92">
        <f t="shared" si="62"/>
        <v>17.241736097617679</v>
      </c>
      <c r="AA206" s="93">
        <f t="shared" si="63"/>
        <v>0.22332683962513061</v>
      </c>
      <c r="AB206" s="93">
        <f t="shared" si="64"/>
        <v>17.465062937242809</v>
      </c>
      <c r="AC206" s="93">
        <f t="shared" si="65"/>
        <v>3.2713676199513153E-2</v>
      </c>
      <c r="AD206" s="93">
        <f t="shared" si="66"/>
        <v>17.497776613442323</v>
      </c>
      <c r="AE206" s="93">
        <f t="shared" si="67"/>
        <v>4.7920107242319749E-3</v>
      </c>
      <c r="AF206" s="92">
        <f t="shared" si="68"/>
        <v>17.502568624166553</v>
      </c>
      <c r="AG206" s="93">
        <f t="shared" si="69"/>
        <v>7.0195005417307912E-4</v>
      </c>
      <c r="AH206" s="92">
        <f t="shared" si="70"/>
        <v>17.503270574220725</v>
      </c>
      <c r="AI206" s="93">
        <f t="shared" si="78"/>
        <v>1.0282403502254811E-4</v>
      </c>
      <c r="AJ206" s="92">
        <f t="shared" si="82"/>
        <v>17.503373398255746</v>
      </c>
      <c r="AK206" s="93">
        <f t="shared" si="79"/>
        <v>218</v>
      </c>
      <c r="AL206" s="89" t="str">
        <f t="shared" si="71"/>
        <v>'pass'</v>
      </c>
    </row>
    <row r="207" spans="1:38" x14ac:dyDescent="0.2">
      <c r="A207" s="79"/>
      <c r="B207" s="117" t="s">
        <v>1975</v>
      </c>
      <c r="C207" s="124">
        <v>27</v>
      </c>
      <c r="D207" s="119">
        <f t="shared" si="80"/>
        <v>6.4597937651027584E-4</v>
      </c>
      <c r="E207" s="121" t="s">
        <v>1976</v>
      </c>
      <c r="F207" s="120" t="s">
        <v>1947</v>
      </c>
      <c r="G207" s="122" t="s">
        <v>1840</v>
      </c>
      <c r="H207" s="121"/>
      <c r="I207" s="118" t="s">
        <v>1948</v>
      </c>
      <c r="J207" s="121">
        <v>24.6</v>
      </c>
      <c r="K207" s="123">
        <v>108450</v>
      </c>
      <c r="L207" s="123">
        <v>101400</v>
      </c>
      <c r="M207" s="123">
        <v>116157</v>
      </c>
      <c r="N207" s="123">
        <v>106070</v>
      </c>
      <c r="O207" s="104">
        <v>116157</v>
      </c>
      <c r="P207" s="105"/>
      <c r="Q207" s="91">
        <v>0.4</v>
      </c>
      <c r="R207" s="91"/>
      <c r="S207" s="104">
        <f t="shared" si="58"/>
        <v>23.231400000000001</v>
      </c>
      <c r="U207" s="93">
        <f t="shared" si="81"/>
        <v>16.815256904527018</v>
      </c>
      <c r="V207" s="93">
        <v>218</v>
      </c>
      <c r="W207" s="93">
        <f t="shared" si="59"/>
        <v>16.815256904527018</v>
      </c>
      <c r="X207" s="89">
        <f t="shared" si="60"/>
        <v>6.0550571123875636E-4</v>
      </c>
      <c r="Y207" s="93">
        <f t="shared" si="61"/>
        <v>1.6517632881053159</v>
      </c>
      <c r="Z207" s="92">
        <f t="shared" si="62"/>
        <v>18.467020192632333</v>
      </c>
      <c r="AA207" s="93">
        <f t="shared" si="63"/>
        <v>0.2391975630275362</v>
      </c>
      <c r="AB207" s="93">
        <f t="shared" si="64"/>
        <v>18.706217755659868</v>
      </c>
      <c r="AC207" s="93">
        <f t="shared" si="65"/>
        <v>3.5038473824867224E-2</v>
      </c>
      <c r="AD207" s="93">
        <f t="shared" si="66"/>
        <v>18.741256229484733</v>
      </c>
      <c r="AE207" s="93">
        <f t="shared" si="67"/>
        <v>5.1325549994892909E-3</v>
      </c>
      <c r="AF207" s="92">
        <f t="shared" si="68"/>
        <v>18.746388784484221</v>
      </c>
      <c r="AG207" s="93">
        <f t="shared" si="69"/>
        <v>7.518341396273154E-4</v>
      </c>
      <c r="AH207" s="92">
        <f t="shared" si="70"/>
        <v>18.747140618623849</v>
      </c>
      <c r="AI207" s="93">
        <f t="shared" si="78"/>
        <v>1.1013122578251842E-4</v>
      </c>
      <c r="AJ207" s="92">
        <f t="shared" si="82"/>
        <v>18.747250749849631</v>
      </c>
      <c r="AK207" s="93">
        <f t="shared" si="79"/>
        <v>218</v>
      </c>
      <c r="AL207" s="89" t="str">
        <f t="shared" si="71"/>
        <v>'pass'</v>
      </c>
    </row>
    <row r="208" spans="1:38" x14ac:dyDescent="0.2">
      <c r="A208" s="79"/>
      <c r="B208" s="117" t="s">
        <v>1977</v>
      </c>
      <c r="C208" s="124">
        <v>26</v>
      </c>
      <c r="D208" s="119">
        <f t="shared" si="80"/>
        <v>6.2205421441730263E-4</v>
      </c>
      <c r="E208" s="121" t="s">
        <v>1978</v>
      </c>
      <c r="F208" s="120" t="s">
        <v>1947</v>
      </c>
      <c r="G208" s="122" t="s">
        <v>1842</v>
      </c>
      <c r="H208" s="121"/>
      <c r="I208" s="118" t="s">
        <v>1948</v>
      </c>
      <c r="J208" s="121">
        <v>24.6</v>
      </c>
      <c r="K208" s="123">
        <v>108450</v>
      </c>
      <c r="L208" s="123">
        <v>101400</v>
      </c>
      <c r="M208" s="123">
        <v>17389</v>
      </c>
      <c r="N208" s="123">
        <v>95288</v>
      </c>
      <c r="O208" s="104">
        <v>108450</v>
      </c>
      <c r="P208" s="105"/>
      <c r="Q208" s="91">
        <v>0.4</v>
      </c>
      <c r="R208" s="91"/>
      <c r="S208" s="104">
        <f t="shared" si="58"/>
        <v>21.69</v>
      </c>
      <c r="U208" s="93">
        <f t="shared" si="81"/>
        <v>15.699567062647581</v>
      </c>
      <c r="V208" s="93">
        <v>218</v>
      </c>
      <c r="W208" s="93">
        <f t="shared" si="59"/>
        <v>15.699567062647581</v>
      </c>
      <c r="X208" s="89">
        <f t="shared" si="60"/>
        <v>5.6533049565538984E-4</v>
      </c>
      <c r="Y208" s="93">
        <f t="shared" si="61"/>
        <v>1.5421690349700963</v>
      </c>
      <c r="Z208" s="92">
        <f t="shared" si="62"/>
        <v>17.241736097617679</v>
      </c>
      <c r="AA208" s="93">
        <f t="shared" si="63"/>
        <v>0.22332683962513061</v>
      </c>
      <c r="AB208" s="93">
        <f t="shared" si="64"/>
        <v>17.465062937242809</v>
      </c>
      <c r="AC208" s="93">
        <f t="shared" si="65"/>
        <v>3.2713676199513153E-2</v>
      </c>
      <c r="AD208" s="93">
        <f t="shared" si="66"/>
        <v>17.497776613442323</v>
      </c>
      <c r="AE208" s="93">
        <f t="shared" si="67"/>
        <v>4.7920107242319749E-3</v>
      </c>
      <c r="AF208" s="92">
        <f t="shared" si="68"/>
        <v>17.502568624166553</v>
      </c>
      <c r="AG208" s="93">
        <f t="shared" si="69"/>
        <v>7.0195005417307912E-4</v>
      </c>
      <c r="AH208" s="92">
        <f t="shared" si="70"/>
        <v>17.503270574220725</v>
      </c>
      <c r="AI208" s="93">
        <f t="shared" si="78"/>
        <v>1.0282403502254811E-4</v>
      </c>
      <c r="AJ208" s="92">
        <f t="shared" si="82"/>
        <v>17.503373398255746</v>
      </c>
      <c r="AK208" s="93">
        <f t="shared" si="79"/>
        <v>218</v>
      </c>
      <c r="AL208" s="89" t="str">
        <f t="shared" si="71"/>
        <v>'pass'</v>
      </c>
    </row>
    <row r="209" spans="1:38" x14ac:dyDescent="0.2">
      <c r="A209" s="79"/>
      <c r="B209" s="117"/>
      <c r="C209" s="124"/>
      <c r="D209" s="119"/>
      <c r="E209" s="121"/>
      <c r="F209" s="120"/>
      <c r="G209" s="122"/>
      <c r="H209" s="121"/>
      <c r="I209" s="118"/>
      <c r="J209" s="121"/>
      <c r="K209" s="123"/>
      <c r="L209" s="123"/>
      <c r="M209" s="123"/>
      <c r="N209" s="123"/>
      <c r="O209" s="104"/>
      <c r="P209" s="105"/>
      <c r="Q209" s="91"/>
      <c r="R209" s="91"/>
      <c r="S209" s="104">
        <f t="shared" si="58"/>
        <v>0</v>
      </c>
      <c r="W209" s="93">
        <f t="shared" si="59"/>
        <v>0</v>
      </c>
      <c r="X209" s="89">
        <f t="shared" si="60"/>
        <v>0</v>
      </c>
      <c r="Y209" s="93">
        <f t="shared" si="61"/>
        <v>0</v>
      </c>
      <c r="Z209" s="92">
        <f t="shared" si="62"/>
        <v>0</v>
      </c>
      <c r="AA209" s="93">
        <f t="shared" si="63"/>
        <v>0</v>
      </c>
      <c r="AB209" s="93">
        <f t="shared" si="64"/>
        <v>0</v>
      </c>
      <c r="AC209" s="93">
        <f t="shared" si="65"/>
        <v>0</v>
      </c>
      <c r="AD209" s="93">
        <f t="shared" si="66"/>
        <v>0</v>
      </c>
      <c r="AE209" s="93">
        <f t="shared" si="67"/>
        <v>0</v>
      </c>
      <c r="AF209" s="92">
        <f t="shared" si="68"/>
        <v>0</v>
      </c>
      <c r="AG209" s="93">
        <f t="shared" si="69"/>
        <v>0</v>
      </c>
      <c r="AH209" s="92">
        <f t="shared" si="70"/>
        <v>0</v>
      </c>
      <c r="AI209" s="93">
        <f t="shared" si="78"/>
        <v>0</v>
      </c>
      <c r="AJ209" s="92"/>
      <c r="AK209" s="93">
        <f t="shared" si="79"/>
        <v>0</v>
      </c>
      <c r="AL209" s="89" t="str">
        <f t="shared" si="71"/>
        <v>'pass'</v>
      </c>
    </row>
    <row r="210" spans="1:38" x14ac:dyDescent="0.2">
      <c r="A210" s="79" t="s">
        <v>1979</v>
      </c>
      <c r="B210" s="79"/>
      <c r="C210" s="106"/>
      <c r="D210" s="107"/>
      <c r="E210" s="105"/>
      <c r="F210" s="108"/>
      <c r="G210" s="109"/>
      <c r="H210" s="105"/>
      <c r="I210" s="110"/>
      <c r="J210" s="105"/>
      <c r="K210" s="104"/>
      <c r="L210" s="104"/>
      <c r="M210" s="104"/>
      <c r="N210" s="104"/>
      <c r="O210" s="104"/>
      <c r="P210" s="105"/>
      <c r="Q210" s="91"/>
      <c r="R210" s="91"/>
      <c r="S210" s="104">
        <f t="shared" si="58"/>
        <v>0</v>
      </c>
      <c r="W210" s="93">
        <f t="shared" si="59"/>
        <v>0</v>
      </c>
      <c r="X210" s="89">
        <f t="shared" si="60"/>
        <v>0</v>
      </c>
      <c r="Y210" s="93">
        <f t="shared" si="61"/>
        <v>0</v>
      </c>
      <c r="Z210" s="92">
        <f t="shared" si="62"/>
        <v>0</v>
      </c>
      <c r="AA210" s="93">
        <f t="shared" si="63"/>
        <v>0</v>
      </c>
      <c r="AB210" s="93">
        <f t="shared" si="64"/>
        <v>0</v>
      </c>
      <c r="AC210" s="93">
        <f t="shared" si="65"/>
        <v>0</v>
      </c>
      <c r="AD210" s="93">
        <f t="shared" si="66"/>
        <v>0</v>
      </c>
      <c r="AE210" s="93">
        <f t="shared" si="67"/>
        <v>0</v>
      </c>
      <c r="AF210" s="92">
        <f t="shared" si="68"/>
        <v>0</v>
      </c>
      <c r="AG210" s="93">
        <f t="shared" si="69"/>
        <v>0</v>
      </c>
      <c r="AH210" s="92">
        <f t="shared" si="70"/>
        <v>0</v>
      </c>
      <c r="AI210" s="93">
        <f t="shared" si="78"/>
        <v>0</v>
      </c>
      <c r="AJ210" s="92"/>
      <c r="AK210" s="93">
        <f t="shared" si="79"/>
        <v>0</v>
      </c>
      <c r="AL210" s="89" t="str">
        <f t="shared" si="71"/>
        <v>'pass'</v>
      </c>
    </row>
    <row r="211" spans="1:38" x14ac:dyDescent="0.2">
      <c r="A211" s="117"/>
      <c r="B211" s="117"/>
      <c r="C211" s="124"/>
      <c r="D211" s="119"/>
      <c r="E211" s="121"/>
      <c r="F211" s="120"/>
      <c r="G211" s="122"/>
      <c r="H211" s="121"/>
      <c r="I211" s="118"/>
      <c r="J211" s="121"/>
      <c r="K211" s="123"/>
      <c r="L211" s="123"/>
      <c r="M211" s="123"/>
      <c r="N211" s="123"/>
      <c r="O211" s="104"/>
      <c r="P211" s="105"/>
      <c r="Q211" s="91"/>
      <c r="R211" s="91"/>
      <c r="S211" s="104">
        <f t="shared" ref="S211:S274" si="83">+O211*Q211/2000</f>
        <v>0</v>
      </c>
      <c r="W211" s="93">
        <f t="shared" ref="W211:W274" si="84">IF(U211&gt;V211,V211,U211)</f>
        <v>0</v>
      </c>
      <c r="X211" s="89">
        <f t="shared" ref="X211:X274" si="85">+U211/$U$16</f>
        <v>0</v>
      </c>
      <c r="Y211" s="93">
        <f t="shared" ref="Y211:Y274" si="86">+X211*$Y$16</f>
        <v>0</v>
      </c>
      <c r="Z211" s="92">
        <f t="shared" ref="Z211:Z274" si="87">IF(W211+Y211&gt;V211,V211,W211+Y211)</f>
        <v>0</v>
      </c>
      <c r="AA211" s="93">
        <f t="shared" ref="AA211:AA274" si="88">+$AA$16*X211</f>
        <v>0</v>
      </c>
      <c r="AB211" s="93">
        <f t="shared" ref="AB211:AB274" si="89">IF(Z211+AA211&gt;V211,V211,Z211+AA211)</f>
        <v>0</v>
      </c>
      <c r="AC211" s="93">
        <f t="shared" ref="AC211:AC274" si="90">+X211*$AC$16</f>
        <v>0</v>
      </c>
      <c r="AD211" s="93">
        <f t="shared" ref="AD211:AD274" si="91">IF(AB211+AC211&gt;V211,V211,AB211+AC211)</f>
        <v>0</v>
      </c>
      <c r="AE211" s="93">
        <f t="shared" ref="AE211:AE274" si="92">+X211*$AE$16</f>
        <v>0</v>
      </c>
      <c r="AF211" s="92">
        <f t="shared" ref="AF211:AF274" si="93">IF(AD211+AE211&gt;V211,V211,AD211+AE211)</f>
        <v>0</v>
      </c>
      <c r="AG211" s="93">
        <f t="shared" ref="AG211:AG274" si="94">+X211*$AG$16</f>
        <v>0</v>
      </c>
      <c r="AH211" s="92">
        <f t="shared" ref="AH211:AH274" si="95">IF(AF211+AG211&gt;V211,V211,AF211+AG211)</f>
        <v>0</v>
      </c>
      <c r="AI211" s="93">
        <f t="shared" si="78"/>
        <v>0</v>
      </c>
      <c r="AJ211" s="92"/>
      <c r="AK211" s="93">
        <f t="shared" si="79"/>
        <v>0</v>
      </c>
      <c r="AL211" s="89" t="str">
        <f t="shared" ref="AL211:AL274" si="96">IF(AJ211&gt;V211,"'fail'","'pass'")</f>
        <v>'pass'</v>
      </c>
    </row>
    <row r="212" spans="1:38" x14ac:dyDescent="0.2">
      <c r="A212" s="79"/>
      <c r="B212" s="117" t="s">
        <v>1980</v>
      </c>
      <c r="C212" s="124">
        <v>1120</v>
      </c>
      <c r="D212" s="119">
        <f t="shared" ref="D212:D231" si="97">C212/$C$6</f>
        <v>2.6796181544129962E-2</v>
      </c>
      <c r="E212" s="121" t="s">
        <v>1981</v>
      </c>
      <c r="F212" s="120" t="s">
        <v>1982</v>
      </c>
      <c r="G212" s="122">
        <v>10</v>
      </c>
      <c r="H212" s="121" t="s">
        <v>1461</v>
      </c>
      <c r="I212" s="118" t="s">
        <v>1980</v>
      </c>
      <c r="J212" s="128">
        <v>185</v>
      </c>
      <c r="K212" s="131">
        <v>5102227</v>
      </c>
      <c r="L212" s="131">
        <v>4431235</v>
      </c>
      <c r="M212" s="131">
        <v>3863510</v>
      </c>
      <c r="N212" s="131">
        <v>4007391</v>
      </c>
      <c r="O212" s="104">
        <v>5102227</v>
      </c>
      <c r="P212" s="105"/>
      <c r="Q212" s="91">
        <f>IF(J212&gt;25,0.15,0)</f>
        <v>0.15</v>
      </c>
      <c r="R212" s="91"/>
      <c r="S212" s="104">
        <f t="shared" si="83"/>
        <v>382.66702499999997</v>
      </c>
      <c r="U212" s="93">
        <f t="shared" ref="U212:U243" si="98">+S212*$T$15</f>
        <v>276.98048048185052</v>
      </c>
      <c r="V212" s="93">
        <v>787</v>
      </c>
      <c r="W212" s="93">
        <f t="shared" si="84"/>
        <v>276.98048048185052</v>
      </c>
      <c r="X212" s="89">
        <f t="shared" si="85"/>
        <v>9.9738745465294352E-3</v>
      </c>
      <c r="Y212" s="93">
        <f t="shared" si="86"/>
        <v>27.207802520015107</v>
      </c>
      <c r="Z212" s="92">
        <f t="shared" si="87"/>
        <v>304.18828300186561</v>
      </c>
      <c r="AA212" s="93">
        <f t="shared" si="88"/>
        <v>3.940056123651491</v>
      </c>
      <c r="AB212" s="93">
        <f t="shared" si="89"/>
        <v>308.12833912551713</v>
      </c>
      <c r="AC212" s="93">
        <f t="shared" si="90"/>
        <v>0.57715284223517771</v>
      </c>
      <c r="AD212" s="93">
        <f t="shared" si="91"/>
        <v>308.70549196775232</v>
      </c>
      <c r="AE212" s="93">
        <f t="shared" si="92"/>
        <v>8.4543314320421628E-2</v>
      </c>
      <c r="AF212" s="92">
        <f t="shared" si="93"/>
        <v>308.79003528207272</v>
      </c>
      <c r="AG212" s="93">
        <f t="shared" si="94"/>
        <v>1.2384192666159567E-2</v>
      </c>
      <c r="AH212" s="92">
        <f t="shared" si="95"/>
        <v>308.80241947473888</v>
      </c>
      <c r="AI212" s="93">
        <f t="shared" si="78"/>
        <v>1.814078726628598E-3</v>
      </c>
      <c r="AJ212" s="92">
        <f t="shared" ref="AJ212:AJ243" si="99">IF(AH212+AI212&gt;V212,V212,AH212+AI212)</f>
        <v>308.80423355346551</v>
      </c>
      <c r="AK212" s="93">
        <f t="shared" si="79"/>
        <v>787</v>
      </c>
      <c r="AL212" s="89" t="str">
        <f t="shared" si="96"/>
        <v>'pass'</v>
      </c>
    </row>
    <row r="213" spans="1:38" x14ac:dyDescent="0.2">
      <c r="A213" s="79"/>
      <c r="B213" s="117" t="s">
        <v>1980</v>
      </c>
      <c r="C213" s="124">
        <v>0</v>
      </c>
      <c r="D213" s="119">
        <f t="shared" si="97"/>
        <v>0</v>
      </c>
      <c r="E213" s="121" t="s">
        <v>1983</v>
      </c>
      <c r="F213" s="120" t="s">
        <v>1982</v>
      </c>
      <c r="G213" s="122">
        <v>20</v>
      </c>
      <c r="H213" s="121" t="s">
        <v>1461</v>
      </c>
      <c r="I213" s="118" t="s">
        <v>1980</v>
      </c>
      <c r="J213" s="128">
        <v>185</v>
      </c>
      <c r="K213" s="131">
        <v>4898637</v>
      </c>
      <c r="L213" s="131">
        <v>3993916</v>
      </c>
      <c r="M213" s="131">
        <v>4711307</v>
      </c>
      <c r="N213" s="131">
        <v>4002762</v>
      </c>
      <c r="O213" s="104">
        <v>4898637</v>
      </c>
      <c r="P213" s="105"/>
      <c r="Q213" s="91">
        <f>IF(J213&gt;25,0.15,0)</f>
        <v>0.15</v>
      </c>
      <c r="R213" s="91"/>
      <c r="S213" s="104">
        <f t="shared" si="83"/>
        <v>367.39777499999997</v>
      </c>
      <c r="U213" s="93">
        <f t="shared" si="98"/>
        <v>265.92835441586016</v>
      </c>
      <c r="V213" s="93">
        <v>787</v>
      </c>
      <c r="W213" s="93">
        <f t="shared" si="84"/>
        <v>265.92835441586016</v>
      </c>
      <c r="X213" s="89">
        <f t="shared" si="85"/>
        <v>9.5758951702829605E-3</v>
      </c>
      <c r="Y213" s="93">
        <f t="shared" si="86"/>
        <v>26.122151780632116</v>
      </c>
      <c r="Z213" s="92">
        <f t="shared" si="87"/>
        <v>292.05050619649228</v>
      </c>
      <c r="AA213" s="93">
        <f t="shared" si="88"/>
        <v>3.7828392796705774</v>
      </c>
      <c r="AB213" s="93">
        <f t="shared" si="89"/>
        <v>295.83334547616283</v>
      </c>
      <c r="AC213" s="93">
        <f t="shared" si="90"/>
        <v>0.55412318339195898</v>
      </c>
      <c r="AD213" s="93">
        <f t="shared" si="91"/>
        <v>296.38746865955477</v>
      </c>
      <c r="AE213" s="93">
        <f t="shared" si="92"/>
        <v>8.1169851445779914E-2</v>
      </c>
      <c r="AF213" s="92">
        <f t="shared" si="93"/>
        <v>296.46863851100056</v>
      </c>
      <c r="AG213" s="93">
        <f t="shared" si="94"/>
        <v>1.1890036333071403E-2</v>
      </c>
      <c r="AH213" s="92">
        <f t="shared" si="95"/>
        <v>296.48052854733362</v>
      </c>
      <c r="AI213" s="93">
        <f t="shared" si="78"/>
        <v>1.7416930236886241E-3</v>
      </c>
      <c r="AJ213" s="92">
        <f t="shared" si="99"/>
        <v>296.48227024035731</v>
      </c>
      <c r="AK213" s="93">
        <f t="shared" si="79"/>
        <v>787</v>
      </c>
      <c r="AL213" s="89" t="str">
        <f t="shared" si="96"/>
        <v>'pass'</v>
      </c>
    </row>
    <row r="214" spans="1:38" x14ac:dyDescent="0.2">
      <c r="A214" s="79"/>
      <c r="B214" s="117" t="s">
        <v>1980</v>
      </c>
      <c r="C214" s="124">
        <v>0</v>
      </c>
      <c r="D214" s="119">
        <f t="shared" si="97"/>
        <v>0</v>
      </c>
      <c r="E214" s="121" t="s">
        <v>1984</v>
      </c>
      <c r="F214" s="120" t="s">
        <v>1982</v>
      </c>
      <c r="G214" s="122" t="s">
        <v>1985</v>
      </c>
      <c r="H214" s="121"/>
      <c r="I214" s="118" t="s">
        <v>1980</v>
      </c>
      <c r="J214" s="128">
        <v>15</v>
      </c>
      <c r="K214" s="131">
        <v>41769</v>
      </c>
      <c r="L214" s="131">
        <v>14116</v>
      </c>
      <c r="M214" s="131">
        <v>35050</v>
      </c>
      <c r="N214" s="131">
        <v>28881</v>
      </c>
      <c r="O214" s="104">
        <v>41769</v>
      </c>
      <c r="P214" s="105"/>
      <c r="Q214" s="91">
        <v>0.4</v>
      </c>
      <c r="R214" s="91"/>
      <c r="S214" s="104">
        <f t="shared" si="83"/>
        <v>8.3538000000000014</v>
      </c>
      <c r="U214" s="93">
        <f t="shared" si="98"/>
        <v>6.0466133392321524</v>
      </c>
      <c r="V214" s="93">
        <v>203</v>
      </c>
      <c r="W214" s="93">
        <f t="shared" si="84"/>
        <v>6.0466133392321524</v>
      </c>
      <c r="X214" s="89">
        <f t="shared" si="85"/>
        <v>2.1773434276652819E-4</v>
      </c>
      <c r="Y214" s="93">
        <f t="shared" si="86"/>
        <v>0.59395904492084795</v>
      </c>
      <c r="Z214" s="92">
        <f t="shared" si="87"/>
        <v>6.6405723841530007</v>
      </c>
      <c r="AA214" s="93">
        <f t="shared" si="88"/>
        <v>8.6013266614127074E-2</v>
      </c>
      <c r="AB214" s="93">
        <f t="shared" si="89"/>
        <v>6.7265856507671273</v>
      </c>
      <c r="AC214" s="93">
        <f t="shared" si="90"/>
        <v>1.2599516285638223E-2</v>
      </c>
      <c r="AD214" s="93">
        <f t="shared" si="91"/>
        <v>6.7391851670527654</v>
      </c>
      <c r="AE214" s="93">
        <f t="shared" si="92"/>
        <v>1.8456200639967303E-3</v>
      </c>
      <c r="AF214" s="92">
        <f t="shared" si="93"/>
        <v>6.7410307871167623</v>
      </c>
      <c r="AG214" s="93">
        <f t="shared" si="94"/>
        <v>2.7035271381056102E-4</v>
      </c>
      <c r="AH214" s="92">
        <f t="shared" si="95"/>
        <v>6.7413011398305729</v>
      </c>
      <c r="AI214" s="93">
        <f t="shared" si="78"/>
        <v>3.960218643482538E-5</v>
      </c>
      <c r="AJ214" s="92">
        <f t="shared" si="99"/>
        <v>6.7413407420170079</v>
      </c>
      <c r="AK214" s="93">
        <f t="shared" si="79"/>
        <v>203</v>
      </c>
      <c r="AL214" s="89" t="str">
        <f t="shared" si="96"/>
        <v>'pass'</v>
      </c>
    </row>
    <row r="215" spans="1:38" x14ac:dyDescent="0.2">
      <c r="A215" s="79"/>
      <c r="B215" s="117" t="s">
        <v>1980</v>
      </c>
      <c r="C215" s="124">
        <v>0</v>
      </c>
      <c r="D215" s="119">
        <f t="shared" si="97"/>
        <v>0</v>
      </c>
      <c r="E215" s="121" t="s">
        <v>1986</v>
      </c>
      <c r="F215" s="120" t="s">
        <v>1982</v>
      </c>
      <c r="G215" s="122" t="s">
        <v>1987</v>
      </c>
      <c r="H215" s="121"/>
      <c r="I215" s="118" t="s">
        <v>1980</v>
      </c>
      <c r="J215" s="128">
        <v>15</v>
      </c>
      <c r="K215" s="131">
        <v>41769</v>
      </c>
      <c r="L215" s="131">
        <v>14116</v>
      </c>
      <c r="M215" s="131">
        <v>35050</v>
      </c>
      <c r="N215" s="131">
        <v>28881</v>
      </c>
      <c r="O215" s="104">
        <v>41769</v>
      </c>
      <c r="P215" s="105"/>
      <c r="Q215" s="91">
        <v>0.4</v>
      </c>
      <c r="R215" s="91"/>
      <c r="S215" s="104">
        <f t="shared" si="83"/>
        <v>8.3538000000000014</v>
      </c>
      <c r="U215" s="93">
        <f t="shared" si="98"/>
        <v>6.0466133392321524</v>
      </c>
      <c r="V215" s="93">
        <v>203</v>
      </c>
      <c r="W215" s="93">
        <f t="shared" si="84"/>
        <v>6.0466133392321524</v>
      </c>
      <c r="X215" s="89">
        <f t="shared" si="85"/>
        <v>2.1773434276652819E-4</v>
      </c>
      <c r="Y215" s="93">
        <f t="shared" si="86"/>
        <v>0.59395904492084795</v>
      </c>
      <c r="Z215" s="92">
        <f t="shared" si="87"/>
        <v>6.6405723841530007</v>
      </c>
      <c r="AA215" s="93">
        <f t="shared" si="88"/>
        <v>8.6013266614127074E-2</v>
      </c>
      <c r="AB215" s="93">
        <f t="shared" si="89"/>
        <v>6.7265856507671273</v>
      </c>
      <c r="AC215" s="93">
        <f t="shared" si="90"/>
        <v>1.2599516285638223E-2</v>
      </c>
      <c r="AD215" s="93">
        <f t="shared" si="91"/>
        <v>6.7391851670527654</v>
      </c>
      <c r="AE215" s="93">
        <f t="shared" si="92"/>
        <v>1.8456200639967303E-3</v>
      </c>
      <c r="AF215" s="92">
        <f t="shared" si="93"/>
        <v>6.7410307871167623</v>
      </c>
      <c r="AG215" s="93">
        <f t="shared" si="94"/>
        <v>2.7035271381056102E-4</v>
      </c>
      <c r="AH215" s="92">
        <f t="shared" si="95"/>
        <v>6.7413011398305729</v>
      </c>
      <c r="AI215" s="93">
        <f t="shared" si="78"/>
        <v>3.960218643482538E-5</v>
      </c>
      <c r="AJ215" s="92">
        <f t="shared" si="99"/>
        <v>6.7413407420170079</v>
      </c>
      <c r="AK215" s="93">
        <f t="shared" si="79"/>
        <v>203</v>
      </c>
      <c r="AL215" s="89" t="str">
        <f t="shared" si="96"/>
        <v>'pass'</v>
      </c>
    </row>
    <row r="216" spans="1:38" x14ac:dyDescent="0.2">
      <c r="A216" s="79"/>
      <c r="B216" s="117" t="s">
        <v>1980</v>
      </c>
      <c r="C216" s="124">
        <v>0</v>
      </c>
      <c r="D216" s="119">
        <f t="shared" si="97"/>
        <v>0</v>
      </c>
      <c r="E216" s="121" t="s">
        <v>1988</v>
      </c>
      <c r="F216" s="120" t="s">
        <v>1982</v>
      </c>
      <c r="G216" s="122" t="s">
        <v>1989</v>
      </c>
      <c r="H216" s="121"/>
      <c r="I216" s="118" t="s">
        <v>1980</v>
      </c>
      <c r="J216" s="128">
        <v>15</v>
      </c>
      <c r="K216" s="131">
        <v>41769</v>
      </c>
      <c r="L216" s="131">
        <v>14116</v>
      </c>
      <c r="M216" s="131">
        <v>35050</v>
      </c>
      <c r="N216" s="131">
        <v>28881</v>
      </c>
      <c r="O216" s="104">
        <v>41769</v>
      </c>
      <c r="P216" s="105"/>
      <c r="Q216" s="91">
        <v>0.4</v>
      </c>
      <c r="R216" s="91"/>
      <c r="S216" s="104">
        <f t="shared" si="83"/>
        <v>8.3538000000000014</v>
      </c>
      <c r="U216" s="93">
        <f t="shared" si="98"/>
        <v>6.0466133392321524</v>
      </c>
      <c r="V216" s="93">
        <v>203</v>
      </c>
      <c r="W216" s="93">
        <f t="shared" si="84"/>
        <v>6.0466133392321524</v>
      </c>
      <c r="X216" s="89">
        <f t="shared" si="85"/>
        <v>2.1773434276652819E-4</v>
      </c>
      <c r="Y216" s="93">
        <f t="shared" si="86"/>
        <v>0.59395904492084795</v>
      </c>
      <c r="Z216" s="92">
        <f t="shared" si="87"/>
        <v>6.6405723841530007</v>
      </c>
      <c r="AA216" s="93">
        <f t="shared" si="88"/>
        <v>8.6013266614127074E-2</v>
      </c>
      <c r="AB216" s="93">
        <f t="shared" si="89"/>
        <v>6.7265856507671273</v>
      </c>
      <c r="AC216" s="93">
        <f t="shared" si="90"/>
        <v>1.2599516285638223E-2</v>
      </c>
      <c r="AD216" s="93">
        <f t="shared" si="91"/>
        <v>6.7391851670527654</v>
      </c>
      <c r="AE216" s="93">
        <f t="shared" si="92"/>
        <v>1.8456200639967303E-3</v>
      </c>
      <c r="AF216" s="92">
        <f t="shared" si="93"/>
        <v>6.7410307871167623</v>
      </c>
      <c r="AG216" s="93">
        <f t="shared" si="94"/>
        <v>2.7035271381056102E-4</v>
      </c>
      <c r="AH216" s="92">
        <f t="shared" si="95"/>
        <v>6.7413011398305729</v>
      </c>
      <c r="AI216" s="93">
        <f t="shared" si="78"/>
        <v>3.960218643482538E-5</v>
      </c>
      <c r="AJ216" s="92">
        <f t="shared" si="99"/>
        <v>6.7413407420170079</v>
      </c>
      <c r="AK216" s="93">
        <f t="shared" si="79"/>
        <v>203</v>
      </c>
      <c r="AL216" s="89" t="str">
        <f t="shared" si="96"/>
        <v>'pass'</v>
      </c>
    </row>
    <row r="217" spans="1:38" x14ac:dyDescent="0.2">
      <c r="A217" s="79"/>
      <c r="B217" s="117" t="s">
        <v>1980</v>
      </c>
      <c r="C217" s="124">
        <v>0</v>
      </c>
      <c r="D217" s="119">
        <f t="shared" si="97"/>
        <v>0</v>
      </c>
      <c r="E217" s="121" t="s">
        <v>1990</v>
      </c>
      <c r="F217" s="120" t="s">
        <v>1982</v>
      </c>
      <c r="G217" s="122" t="s">
        <v>1991</v>
      </c>
      <c r="H217" s="121"/>
      <c r="I217" s="118" t="s">
        <v>1980</v>
      </c>
      <c r="J217" s="128">
        <v>15</v>
      </c>
      <c r="K217" s="131">
        <v>41769</v>
      </c>
      <c r="L217" s="131">
        <v>14116</v>
      </c>
      <c r="M217" s="131">
        <v>35050</v>
      </c>
      <c r="N217" s="131">
        <v>28881</v>
      </c>
      <c r="O217" s="104">
        <v>41769</v>
      </c>
      <c r="P217" s="105"/>
      <c r="Q217" s="91">
        <v>0.4</v>
      </c>
      <c r="R217" s="91"/>
      <c r="S217" s="104">
        <f t="shared" si="83"/>
        <v>8.3538000000000014</v>
      </c>
      <c r="U217" s="93">
        <f t="shared" si="98"/>
        <v>6.0466133392321524</v>
      </c>
      <c r="V217" s="93">
        <v>203</v>
      </c>
      <c r="W217" s="93">
        <f t="shared" si="84"/>
        <v>6.0466133392321524</v>
      </c>
      <c r="X217" s="89">
        <f t="shared" si="85"/>
        <v>2.1773434276652819E-4</v>
      </c>
      <c r="Y217" s="93">
        <f t="shared" si="86"/>
        <v>0.59395904492084795</v>
      </c>
      <c r="Z217" s="92">
        <f t="shared" si="87"/>
        <v>6.6405723841530007</v>
      </c>
      <c r="AA217" s="93">
        <f t="shared" si="88"/>
        <v>8.6013266614127074E-2</v>
      </c>
      <c r="AB217" s="93">
        <f t="shared" si="89"/>
        <v>6.7265856507671273</v>
      </c>
      <c r="AC217" s="93">
        <f t="shared" si="90"/>
        <v>1.2599516285638223E-2</v>
      </c>
      <c r="AD217" s="93">
        <f t="shared" si="91"/>
        <v>6.7391851670527654</v>
      </c>
      <c r="AE217" s="93">
        <f t="shared" si="92"/>
        <v>1.8456200639967303E-3</v>
      </c>
      <c r="AF217" s="92">
        <f t="shared" si="93"/>
        <v>6.7410307871167623</v>
      </c>
      <c r="AG217" s="93">
        <f t="shared" si="94"/>
        <v>2.7035271381056102E-4</v>
      </c>
      <c r="AH217" s="92">
        <f t="shared" si="95"/>
        <v>6.7413011398305729</v>
      </c>
      <c r="AI217" s="93">
        <f t="shared" si="78"/>
        <v>3.960218643482538E-5</v>
      </c>
      <c r="AJ217" s="92">
        <f t="shared" si="99"/>
        <v>6.7413407420170079</v>
      </c>
      <c r="AK217" s="93">
        <f t="shared" si="79"/>
        <v>203</v>
      </c>
      <c r="AL217" s="89" t="str">
        <f t="shared" si="96"/>
        <v>'pass'</v>
      </c>
    </row>
    <row r="218" spans="1:38" x14ac:dyDescent="0.2">
      <c r="A218" s="79"/>
      <c r="B218" s="117" t="s">
        <v>1980</v>
      </c>
      <c r="C218" s="124">
        <v>0</v>
      </c>
      <c r="D218" s="119">
        <f t="shared" si="97"/>
        <v>0</v>
      </c>
      <c r="E218" s="121" t="s">
        <v>1992</v>
      </c>
      <c r="F218" s="120" t="s">
        <v>1982</v>
      </c>
      <c r="G218" s="122" t="s">
        <v>1993</v>
      </c>
      <c r="H218" s="121"/>
      <c r="I218" s="118" t="s">
        <v>1980</v>
      </c>
      <c r="J218" s="128">
        <v>15</v>
      </c>
      <c r="K218" s="131">
        <v>41769</v>
      </c>
      <c r="L218" s="131">
        <v>14116</v>
      </c>
      <c r="M218" s="131">
        <v>35050</v>
      </c>
      <c r="N218" s="131">
        <v>28881</v>
      </c>
      <c r="O218" s="104">
        <v>41769</v>
      </c>
      <c r="P218" s="105"/>
      <c r="Q218" s="91">
        <v>0.4</v>
      </c>
      <c r="R218" s="91"/>
      <c r="S218" s="104">
        <f t="shared" si="83"/>
        <v>8.3538000000000014</v>
      </c>
      <c r="U218" s="93">
        <f t="shared" si="98"/>
        <v>6.0466133392321524</v>
      </c>
      <c r="V218" s="93">
        <v>203</v>
      </c>
      <c r="W218" s="93">
        <f t="shared" si="84"/>
        <v>6.0466133392321524</v>
      </c>
      <c r="X218" s="89">
        <f t="shared" si="85"/>
        <v>2.1773434276652819E-4</v>
      </c>
      <c r="Y218" s="93">
        <f t="shared" si="86"/>
        <v>0.59395904492084795</v>
      </c>
      <c r="Z218" s="92">
        <f t="shared" si="87"/>
        <v>6.6405723841530007</v>
      </c>
      <c r="AA218" s="93">
        <f t="shared" si="88"/>
        <v>8.6013266614127074E-2</v>
      </c>
      <c r="AB218" s="93">
        <f t="shared" si="89"/>
        <v>6.7265856507671273</v>
      </c>
      <c r="AC218" s="93">
        <f t="shared" si="90"/>
        <v>1.2599516285638223E-2</v>
      </c>
      <c r="AD218" s="93">
        <f t="shared" si="91"/>
        <v>6.7391851670527654</v>
      </c>
      <c r="AE218" s="93">
        <f t="shared" si="92"/>
        <v>1.8456200639967303E-3</v>
      </c>
      <c r="AF218" s="92">
        <f t="shared" si="93"/>
        <v>6.7410307871167623</v>
      </c>
      <c r="AG218" s="93">
        <f t="shared" si="94"/>
        <v>2.7035271381056102E-4</v>
      </c>
      <c r="AH218" s="92">
        <f t="shared" si="95"/>
        <v>6.7413011398305729</v>
      </c>
      <c r="AI218" s="93">
        <f t="shared" si="78"/>
        <v>3.960218643482538E-5</v>
      </c>
      <c r="AJ218" s="92">
        <f t="shared" si="99"/>
        <v>6.7413407420170079</v>
      </c>
      <c r="AK218" s="93">
        <f t="shared" si="79"/>
        <v>203</v>
      </c>
      <c r="AL218" s="89" t="str">
        <f t="shared" si="96"/>
        <v>'pass'</v>
      </c>
    </row>
    <row r="219" spans="1:38" x14ac:dyDescent="0.2">
      <c r="A219" s="79"/>
      <c r="B219" s="117" t="s">
        <v>1980</v>
      </c>
      <c r="C219" s="124">
        <v>0</v>
      </c>
      <c r="D219" s="119">
        <f t="shared" si="97"/>
        <v>0</v>
      </c>
      <c r="E219" s="121" t="s">
        <v>1994</v>
      </c>
      <c r="F219" s="120" t="s">
        <v>1982</v>
      </c>
      <c r="G219" s="122" t="s">
        <v>1995</v>
      </c>
      <c r="H219" s="121"/>
      <c r="I219" s="118" t="s">
        <v>1980</v>
      </c>
      <c r="J219" s="128">
        <v>15</v>
      </c>
      <c r="K219" s="131">
        <v>41769</v>
      </c>
      <c r="L219" s="131">
        <v>14116</v>
      </c>
      <c r="M219" s="131">
        <v>35050</v>
      </c>
      <c r="N219" s="131">
        <v>28881</v>
      </c>
      <c r="O219" s="104">
        <v>41769</v>
      </c>
      <c r="P219" s="105"/>
      <c r="Q219" s="91">
        <v>0.4</v>
      </c>
      <c r="R219" s="91"/>
      <c r="S219" s="104">
        <f t="shared" si="83"/>
        <v>8.3538000000000014</v>
      </c>
      <c r="U219" s="93">
        <f t="shared" si="98"/>
        <v>6.0466133392321524</v>
      </c>
      <c r="V219" s="93">
        <v>203</v>
      </c>
      <c r="W219" s="93">
        <f t="shared" si="84"/>
        <v>6.0466133392321524</v>
      </c>
      <c r="X219" s="89">
        <f t="shared" si="85"/>
        <v>2.1773434276652819E-4</v>
      </c>
      <c r="Y219" s="93">
        <f t="shared" si="86"/>
        <v>0.59395904492084795</v>
      </c>
      <c r="Z219" s="92">
        <f t="shared" si="87"/>
        <v>6.6405723841530007</v>
      </c>
      <c r="AA219" s="93">
        <f t="shared" si="88"/>
        <v>8.6013266614127074E-2</v>
      </c>
      <c r="AB219" s="93">
        <f t="shared" si="89"/>
        <v>6.7265856507671273</v>
      </c>
      <c r="AC219" s="93">
        <f t="shared" si="90"/>
        <v>1.2599516285638223E-2</v>
      </c>
      <c r="AD219" s="93">
        <f t="shared" si="91"/>
        <v>6.7391851670527654</v>
      </c>
      <c r="AE219" s="93">
        <f t="shared" si="92"/>
        <v>1.8456200639967303E-3</v>
      </c>
      <c r="AF219" s="92">
        <f t="shared" si="93"/>
        <v>6.7410307871167623</v>
      </c>
      <c r="AG219" s="93">
        <f t="shared" si="94"/>
        <v>2.7035271381056102E-4</v>
      </c>
      <c r="AH219" s="92">
        <f t="shared" si="95"/>
        <v>6.7413011398305729</v>
      </c>
      <c r="AI219" s="93">
        <f t="shared" si="78"/>
        <v>3.960218643482538E-5</v>
      </c>
      <c r="AJ219" s="92">
        <f t="shared" si="99"/>
        <v>6.7413407420170079</v>
      </c>
      <c r="AK219" s="93">
        <f t="shared" si="79"/>
        <v>203</v>
      </c>
      <c r="AL219" s="89" t="str">
        <f t="shared" si="96"/>
        <v>'pass'</v>
      </c>
    </row>
    <row r="220" spans="1:38" x14ac:dyDescent="0.2">
      <c r="A220" s="79"/>
      <c r="B220" s="117" t="s">
        <v>1980</v>
      </c>
      <c r="C220" s="124">
        <v>0</v>
      </c>
      <c r="D220" s="119">
        <f t="shared" si="97"/>
        <v>0</v>
      </c>
      <c r="E220" s="121" t="s">
        <v>1996</v>
      </c>
      <c r="F220" s="120" t="s">
        <v>1982</v>
      </c>
      <c r="G220" s="122" t="s">
        <v>1997</v>
      </c>
      <c r="H220" s="121"/>
      <c r="I220" s="118" t="s">
        <v>1980</v>
      </c>
      <c r="J220" s="128">
        <v>15</v>
      </c>
      <c r="K220" s="131">
        <v>41769</v>
      </c>
      <c r="L220" s="131">
        <v>14116</v>
      </c>
      <c r="M220" s="131">
        <v>35050</v>
      </c>
      <c r="N220" s="131">
        <v>28881</v>
      </c>
      <c r="O220" s="104">
        <v>41769</v>
      </c>
      <c r="P220" s="105"/>
      <c r="Q220" s="91">
        <v>0.4</v>
      </c>
      <c r="R220" s="91"/>
      <c r="S220" s="104">
        <f t="shared" si="83"/>
        <v>8.3538000000000014</v>
      </c>
      <c r="U220" s="93">
        <f t="shared" si="98"/>
        <v>6.0466133392321524</v>
      </c>
      <c r="V220" s="93">
        <v>203</v>
      </c>
      <c r="W220" s="93">
        <f t="shared" si="84"/>
        <v>6.0466133392321524</v>
      </c>
      <c r="X220" s="89">
        <f t="shared" si="85"/>
        <v>2.1773434276652819E-4</v>
      </c>
      <c r="Y220" s="93">
        <f t="shared" si="86"/>
        <v>0.59395904492084795</v>
      </c>
      <c r="Z220" s="92">
        <f t="shared" si="87"/>
        <v>6.6405723841530007</v>
      </c>
      <c r="AA220" s="93">
        <f t="shared" si="88"/>
        <v>8.6013266614127074E-2</v>
      </c>
      <c r="AB220" s="93">
        <f t="shared" si="89"/>
        <v>6.7265856507671273</v>
      </c>
      <c r="AC220" s="93">
        <f t="shared" si="90"/>
        <v>1.2599516285638223E-2</v>
      </c>
      <c r="AD220" s="93">
        <f t="shared" si="91"/>
        <v>6.7391851670527654</v>
      </c>
      <c r="AE220" s="93">
        <f t="shared" si="92"/>
        <v>1.8456200639967303E-3</v>
      </c>
      <c r="AF220" s="92">
        <f t="shared" si="93"/>
        <v>6.7410307871167623</v>
      </c>
      <c r="AG220" s="93">
        <f t="shared" si="94"/>
        <v>2.7035271381056102E-4</v>
      </c>
      <c r="AH220" s="92">
        <f t="shared" si="95"/>
        <v>6.7413011398305729</v>
      </c>
      <c r="AI220" s="93">
        <f t="shared" ref="AI220:AI251" si="100">+X220*$AI$16</f>
        <v>3.960218643482538E-5</v>
      </c>
      <c r="AJ220" s="92">
        <f t="shared" si="99"/>
        <v>6.7413407420170079</v>
      </c>
      <c r="AK220" s="93">
        <f t="shared" ref="AK220:AK251" si="101">+V220</f>
        <v>203</v>
      </c>
      <c r="AL220" s="89" t="str">
        <f t="shared" si="96"/>
        <v>'pass'</v>
      </c>
    </row>
    <row r="221" spans="1:38" x14ac:dyDescent="0.2">
      <c r="A221" s="79"/>
      <c r="B221" s="117" t="s">
        <v>1980</v>
      </c>
      <c r="C221" s="124">
        <v>0</v>
      </c>
      <c r="D221" s="119">
        <f t="shared" si="97"/>
        <v>0</v>
      </c>
      <c r="E221" s="121" t="s">
        <v>1998</v>
      </c>
      <c r="F221" s="120" t="s">
        <v>1982</v>
      </c>
      <c r="G221" s="122" t="s">
        <v>1999</v>
      </c>
      <c r="H221" s="121"/>
      <c r="I221" s="118" t="s">
        <v>1980</v>
      </c>
      <c r="J221" s="128">
        <v>15</v>
      </c>
      <c r="K221" s="131">
        <v>41769</v>
      </c>
      <c r="L221" s="131">
        <v>14116</v>
      </c>
      <c r="M221" s="131">
        <v>35050</v>
      </c>
      <c r="N221" s="131">
        <v>28881</v>
      </c>
      <c r="O221" s="104">
        <v>41769</v>
      </c>
      <c r="P221" s="105"/>
      <c r="Q221" s="91">
        <v>0.4</v>
      </c>
      <c r="R221" s="91"/>
      <c r="S221" s="104">
        <f t="shared" si="83"/>
        <v>8.3538000000000014</v>
      </c>
      <c r="U221" s="93">
        <f t="shared" si="98"/>
        <v>6.0466133392321524</v>
      </c>
      <c r="V221" s="93">
        <v>203</v>
      </c>
      <c r="W221" s="93">
        <f t="shared" si="84"/>
        <v>6.0466133392321524</v>
      </c>
      <c r="X221" s="89">
        <f t="shared" si="85"/>
        <v>2.1773434276652819E-4</v>
      </c>
      <c r="Y221" s="93">
        <f t="shared" si="86"/>
        <v>0.59395904492084795</v>
      </c>
      <c r="Z221" s="92">
        <f t="shared" si="87"/>
        <v>6.6405723841530007</v>
      </c>
      <c r="AA221" s="93">
        <f t="shared" si="88"/>
        <v>8.6013266614127074E-2</v>
      </c>
      <c r="AB221" s="93">
        <f t="shared" si="89"/>
        <v>6.7265856507671273</v>
      </c>
      <c r="AC221" s="93">
        <f t="shared" si="90"/>
        <v>1.2599516285638223E-2</v>
      </c>
      <c r="AD221" s="93">
        <f t="shared" si="91"/>
        <v>6.7391851670527654</v>
      </c>
      <c r="AE221" s="93">
        <f t="shared" si="92"/>
        <v>1.8456200639967303E-3</v>
      </c>
      <c r="AF221" s="92">
        <f t="shared" si="93"/>
        <v>6.7410307871167623</v>
      </c>
      <c r="AG221" s="93">
        <f t="shared" si="94"/>
        <v>2.7035271381056102E-4</v>
      </c>
      <c r="AH221" s="92">
        <f t="shared" si="95"/>
        <v>6.7413011398305729</v>
      </c>
      <c r="AI221" s="93">
        <f t="shared" si="100"/>
        <v>3.960218643482538E-5</v>
      </c>
      <c r="AJ221" s="92">
        <f t="shared" si="99"/>
        <v>6.7413407420170079</v>
      </c>
      <c r="AK221" s="93">
        <f t="shared" si="101"/>
        <v>203</v>
      </c>
      <c r="AL221" s="89" t="str">
        <f t="shared" si="96"/>
        <v>'pass'</v>
      </c>
    </row>
    <row r="222" spans="1:38" x14ac:dyDescent="0.2">
      <c r="A222" s="79"/>
      <c r="B222" s="117" t="s">
        <v>1980</v>
      </c>
      <c r="C222" s="124">
        <v>0</v>
      </c>
      <c r="D222" s="119">
        <f t="shared" si="97"/>
        <v>0</v>
      </c>
      <c r="E222" s="121" t="s">
        <v>2000</v>
      </c>
      <c r="F222" s="120" t="s">
        <v>1982</v>
      </c>
      <c r="G222" s="122" t="s">
        <v>2001</v>
      </c>
      <c r="H222" s="121"/>
      <c r="I222" s="118" t="s">
        <v>1980</v>
      </c>
      <c r="J222" s="128">
        <v>20</v>
      </c>
      <c r="K222" s="131">
        <v>74589</v>
      </c>
      <c r="L222" s="131">
        <v>25207</v>
      </c>
      <c r="M222" s="131">
        <v>70082</v>
      </c>
      <c r="N222" s="131">
        <v>80045</v>
      </c>
      <c r="O222" s="104">
        <v>80045</v>
      </c>
      <c r="P222" s="105"/>
      <c r="Q222" s="91">
        <v>0.4</v>
      </c>
      <c r="R222" s="91"/>
      <c r="S222" s="104">
        <f t="shared" si="83"/>
        <v>16.009</v>
      </c>
      <c r="U222" s="93">
        <f t="shared" si="98"/>
        <v>11.587568884551642</v>
      </c>
      <c r="V222" s="93">
        <v>198</v>
      </c>
      <c r="W222" s="93">
        <f t="shared" si="84"/>
        <v>11.587568884551642</v>
      </c>
      <c r="X222" s="89">
        <f t="shared" si="85"/>
        <v>4.1726029990535432E-4</v>
      </c>
      <c r="Y222" s="93">
        <f t="shared" si="86"/>
        <v>1.1382473066314556</v>
      </c>
      <c r="Z222" s="92">
        <f t="shared" si="87"/>
        <v>12.725816191183098</v>
      </c>
      <c r="AA222" s="93">
        <f t="shared" si="88"/>
        <v>0.16483353506494769</v>
      </c>
      <c r="AB222" s="93">
        <f t="shared" si="89"/>
        <v>12.890649726248046</v>
      </c>
      <c r="AC222" s="93">
        <f t="shared" si="90"/>
        <v>2.4145377698386632E-2</v>
      </c>
      <c r="AD222" s="93">
        <f t="shared" si="91"/>
        <v>12.914795103946433</v>
      </c>
      <c r="AE222" s="93">
        <f t="shared" si="92"/>
        <v>3.5368971730857391E-3</v>
      </c>
      <c r="AF222" s="92">
        <f t="shared" si="93"/>
        <v>12.91833200111952</v>
      </c>
      <c r="AG222" s="93">
        <f t="shared" si="94"/>
        <v>5.1809674583941086E-4</v>
      </c>
      <c r="AH222" s="92">
        <f t="shared" si="95"/>
        <v>12.918850097865359</v>
      </c>
      <c r="AI222" s="93">
        <f t="shared" si="100"/>
        <v>7.5892576149191911E-5</v>
      </c>
      <c r="AJ222" s="92">
        <f t="shared" si="99"/>
        <v>12.918925990441508</v>
      </c>
      <c r="AK222" s="93">
        <f t="shared" si="101"/>
        <v>198</v>
      </c>
      <c r="AL222" s="89" t="str">
        <f t="shared" si="96"/>
        <v>'pass'</v>
      </c>
    </row>
    <row r="223" spans="1:38" x14ac:dyDescent="0.2">
      <c r="A223" s="79"/>
      <c r="B223" s="117" t="s">
        <v>1980</v>
      </c>
      <c r="C223" s="124">
        <v>0</v>
      </c>
      <c r="D223" s="119">
        <f t="shared" si="97"/>
        <v>0</v>
      </c>
      <c r="E223" s="121" t="s">
        <v>2002</v>
      </c>
      <c r="F223" s="120" t="s">
        <v>1982</v>
      </c>
      <c r="G223" s="122" t="s">
        <v>2003</v>
      </c>
      <c r="H223" s="121"/>
      <c r="I223" s="118" t="s">
        <v>1980</v>
      </c>
      <c r="J223" s="128">
        <v>20</v>
      </c>
      <c r="K223" s="131">
        <v>74589</v>
      </c>
      <c r="L223" s="131">
        <v>25207</v>
      </c>
      <c r="M223" s="131">
        <v>70082</v>
      </c>
      <c r="N223" s="131">
        <v>80045</v>
      </c>
      <c r="O223" s="104">
        <v>80045</v>
      </c>
      <c r="P223" s="105"/>
      <c r="Q223" s="91">
        <v>0.4</v>
      </c>
      <c r="R223" s="91"/>
      <c r="S223" s="104">
        <f t="shared" si="83"/>
        <v>16.009</v>
      </c>
      <c r="U223" s="93">
        <f t="shared" si="98"/>
        <v>11.587568884551642</v>
      </c>
      <c r="V223" s="93">
        <v>198</v>
      </c>
      <c r="W223" s="93">
        <f t="shared" si="84"/>
        <v>11.587568884551642</v>
      </c>
      <c r="X223" s="89">
        <f t="shared" si="85"/>
        <v>4.1726029990535432E-4</v>
      </c>
      <c r="Y223" s="93">
        <f t="shared" si="86"/>
        <v>1.1382473066314556</v>
      </c>
      <c r="Z223" s="92">
        <f t="shared" si="87"/>
        <v>12.725816191183098</v>
      </c>
      <c r="AA223" s="93">
        <f t="shared" si="88"/>
        <v>0.16483353506494769</v>
      </c>
      <c r="AB223" s="93">
        <f t="shared" si="89"/>
        <v>12.890649726248046</v>
      </c>
      <c r="AC223" s="93">
        <f t="shared" si="90"/>
        <v>2.4145377698386632E-2</v>
      </c>
      <c r="AD223" s="93">
        <f t="shared" si="91"/>
        <v>12.914795103946433</v>
      </c>
      <c r="AE223" s="93">
        <f t="shared" si="92"/>
        <v>3.5368971730857391E-3</v>
      </c>
      <c r="AF223" s="92">
        <f t="shared" si="93"/>
        <v>12.91833200111952</v>
      </c>
      <c r="AG223" s="93">
        <f t="shared" si="94"/>
        <v>5.1809674583941086E-4</v>
      </c>
      <c r="AH223" s="92">
        <f t="shared" si="95"/>
        <v>12.918850097865359</v>
      </c>
      <c r="AI223" s="93">
        <f t="shared" si="100"/>
        <v>7.5892576149191911E-5</v>
      </c>
      <c r="AJ223" s="92">
        <f t="shared" si="99"/>
        <v>12.918925990441508</v>
      </c>
      <c r="AK223" s="93">
        <f t="shared" si="101"/>
        <v>198</v>
      </c>
      <c r="AL223" s="89" t="str">
        <f t="shared" si="96"/>
        <v>'pass'</v>
      </c>
    </row>
    <row r="224" spans="1:38" x14ac:dyDescent="0.2">
      <c r="A224" s="79"/>
      <c r="B224" s="117" t="s">
        <v>1980</v>
      </c>
      <c r="C224" s="124">
        <v>0</v>
      </c>
      <c r="D224" s="119">
        <f t="shared" si="97"/>
        <v>0</v>
      </c>
      <c r="E224" s="121" t="s">
        <v>2004</v>
      </c>
      <c r="F224" s="120" t="s">
        <v>1982</v>
      </c>
      <c r="G224" s="122" t="s">
        <v>2005</v>
      </c>
      <c r="H224" s="121"/>
      <c r="I224" s="118" t="s">
        <v>1980</v>
      </c>
      <c r="J224" s="128">
        <v>20</v>
      </c>
      <c r="K224" s="131">
        <v>74589</v>
      </c>
      <c r="L224" s="131">
        <v>25207</v>
      </c>
      <c r="M224" s="131">
        <v>70082</v>
      </c>
      <c r="N224" s="131">
        <v>80045</v>
      </c>
      <c r="O224" s="104">
        <v>80045</v>
      </c>
      <c r="P224" s="105"/>
      <c r="Q224" s="91">
        <v>0.4</v>
      </c>
      <c r="R224" s="91"/>
      <c r="S224" s="104">
        <f t="shared" si="83"/>
        <v>16.009</v>
      </c>
      <c r="U224" s="93">
        <f t="shared" si="98"/>
        <v>11.587568884551642</v>
      </c>
      <c r="V224" s="93">
        <v>198</v>
      </c>
      <c r="W224" s="93">
        <f t="shared" si="84"/>
        <v>11.587568884551642</v>
      </c>
      <c r="X224" s="89">
        <f t="shared" si="85"/>
        <v>4.1726029990535432E-4</v>
      </c>
      <c r="Y224" s="93">
        <f t="shared" si="86"/>
        <v>1.1382473066314556</v>
      </c>
      <c r="Z224" s="92">
        <f t="shared" si="87"/>
        <v>12.725816191183098</v>
      </c>
      <c r="AA224" s="93">
        <f t="shared" si="88"/>
        <v>0.16483353506494769</v>
      </c>
      <c r="AB224" s="93">
        <f t="shared" si="89"/>
        <v>12.890649726248046</v>
      </c>
      <c r="AC224" s="93">
        <f t="shared" si="90"/>
        <v>2.4145377698386632E-2</v>
      </c>
      <c r="AD224" s="93">
        <f t="shared" si="91"/>
        <v>12.914795103946433</v>
      </c>
      <c r="AE224" s="93">
        <f t="shared" si="92"/>
        <v>3.5368971730857391E-3</v>
      </c>
      <c r="AF224" s="92">
        <f t="shared" si="93"/>
        <v>12.91833200111952</v>
      </c>
      <c r="AG224" s="93">
        <f t="shared" si="94"/>
        <v>5.1809674583941086E-4</v>
      </c>
      <c r="AH224" s="92">
        <f t="shared" si="95"/>
        <v>12.918850097865359</v>
      </c>
      <c r="AI224" s="93">
        <f t="shared" si="100"/>
        <v>7.5892576149191911E-5</v>
      </c>
      <c r="AJ224" s="92">
        <f t="shared" si="99"/>
        <v>12.918925990441508</v>
      </c>
      <c r="AK224" s="93">
        <f t="shared" si="101"/>
        <v>198</v>
      </c>
      <c r="AL224" s="89" t="str">
        <f t="shared" si="96"/>
        <v>'pass'</v>
      </c>
    </row>
    <row r="225" spans="1:38" x14ac:dyDescent="0.2">
      <c r="A225" s="79"/>
      <c r="B225" s="117" t="s">
        <v>1980</v>
      </c>
      <c r="C225" s="124">
        <v>0</v>
      </c>
      <c r="D225" s="119">
        <f t="shared" si="97"/>
        <v>0</v>
      </c>
      <c r="E225" s="121" t="s">
        <v>2006</v>
      </c>
      <c r="F225" s="120" t="s">
        <v>1982</v>
      </c>
      <c r="G225" s="122" t="s">
        <v>2007</v>
      </c>
      <c r="H225" s="121"/>
      <c r="I225" s="118" t="s">
        <v>1980</v>
      </c>
      <c r="J225" s="128">
        <v>20</v>
      </c>
      <c r="K225" s="131">
        <v>74589</v>
      </c>
      <c r="L225" s="131">
        <v>25207</v>
      </c>
      <c r="M225" s="131">
        <v>70082</v>
      </c>
      <c r="N225" s="131">
        <v>80045</v>
      </c>
      <c r="O225" s="104">
        <v>80045</v>
      </c>
      <c r="P225" s="105"/>
      <c r="Q225" s="91">
        <v>0.4</v>
      </c>
      <c r="R225" s="91"/>
      <c r="S225" s="104">
        <f t="shared" si="83"/>
        <v>16.009</v>
      </c>
      <c r="U225" s="93">
        <f t="shared" si="98"/>
        <v>11.587568884551642</v>
      </c>
      <c r="V225" s="93">
        <v>198</v>
      </c>
      <c r="W225" s="93">
        <f t="shared" si="84"/>
        <v>11.587568884551642</v>
      </c>
      <c r="X225" s="89">
        <f t="shared" si="85"/>
        <v>4.1726029990535432E-4</v>
      </c>
      <c r="Y225" s="93">
        <f t="shared" si="86"/>
        <v>1.1382473066314556</v>
      </c>
      <c r="Z225" s="92">
        <f t="shared" si="87"/>
        <v>12.725816191183098</v>
      </c>
      <c r="AA225" s="93">
        <f t="shared" si="88"/>
        <v>0.16483353506494769</v>
      </c>
      <c r="AB225" s="93">
        <f t="shared" si="89"/>
        <v>12.890649726248046</v>
      </c>
      <c r="AC225" s="93">
        <f t="shared" si="90"/>
        <v>2.4145377698386632E-2</v>
      </c>
      <c r="AD225" s="93">
        <f t="shared" si="91"/>
        <v>12.914795103946433</v>
      </c>
      <c r="AE225" s="93">
        <f t="shared" si="92"/>
        <v>3.5368971730857391E-3</v>
      </c>
      <c r="AF225" s="92">
        <f t="shared" si="93"/>
        <v>12.91833200111952</v>
      </c>
      <c r="AG225" s="93">
        <f t="shared" si="94"/>
        <v>5.1809674583941086E-4</v>
      </c>
      <c r="AH225" s="92">
        <f t="shared" si="95"/>
        <v>12.918850097865359</v>
      </c>
      <c r="AI225" s="93">
        <f t="shared" si="100"/>
        <v>7.5892576149191911E-5</v>
      </c>
      <c r="AJ225" s="92">
        <f t="shared" si="99"/>
        <v>12.918925990441508</v>
      </c>
      <c r="AK225" s="93">
        <f t="shared" si="101"/>
        <v>198</v>
      </c>
      <c r="AL225" s="89" t="str">
        <f t="shared" si="96"/>
        <v>'pass'</v>
      </c>
    </row>
    <row r="226" spans="1:38" x14ac:dyDescent="0.2">
      <c r="A226" s="79"/>
      <c r="B226" s="117" t="s">
        <v>1980</v>
      </c>
      <c r="C226" s="124">
        <v>0</v>
      </c>
      <c r="D226" s="119">
        <f t="shared" si="97"/>
        <v>0</v>
      </c>
      <c r="E226" s="121" t="s">
        <v>2008</v>
      </c>
      <c r="F226" s="120" t="s">
        <v>1982</v>
      </c>
      <c r="G226" s="122" t="s">
        <v>2009</v>
      </c>
      <c r="H226" s="121"/>
      <c r="I226" s="118" t="s">
        <v>1980</v>
      </c>
      <c r="J226" s="128">
        <v>20</v>
      </c>
      <c r="K226" s="131">
        <v>74589</v>
      </c>
      <c r="L226" s="131">
        <v>25207</v>
      </c>
      <c r="M226" s="131">
        <v>70082</v>
      </c>
      <c r="N226" s="131">
        <v>80045</v>
      </c>
      <c r="O226" s="104">
        <v>80045</v>
      </c>
      <c r="P226" s="105"/>
      <c r="Q226" s="91">
        <v>0.4</v>
      </c>
      <c r="R226" s="91"/>
      <c r="S226" s="104">
        <f t="shared" si="83"/>
        <v>16.009</v>
      </c>
      <c r="U226" s="93">
        <f t="shared" si="98"/>
        <v>11.587568884551642</v>
      </c>
      <c r="V226" s="93">
        <v>198</v>
      </c>
      <c r="W226" s="93">
        <f t="shared" si="84"/>
        <v>11.587568884551642</v>
      </c>
      <c r="X226" s="89">
        <f t="shared" si="85"/>
        <v>4.1726029990535432E-4</v>
      </c>
      <c r="Y226" s="93">
        <f t="shared" si="86"/>
        <v>1.1382473066314556</v>
      </c>
      <c r="Z226" s="92">
        <f t="shared" si="87"/>
        <v>12.725816191183098</v>
      </c>
      <c r="AA226" s="93">
        <f t="shared" si="88"/>
        <v>0.16483353506494769</v>
      </c>
      <c r="AB226" s="93">
        <f t="shared" si="89"/>
        <v>12.890649726248046</v>
      </c>
      <c r="AC226" s="93">
        <f t="shared" si="90"/>
        <v>2.4145377698386632E-2</v>
      </c>
      <c r="AD226" s="93">
        <f t="shared" si="91"/>
        <v>12.914795103946433</v>
      </c>
      <c r="AE226" s="93">
        <f t="shared" si="92"/>
        <v>3.5368971730857391E-3</v>
      </c>
      <c r="AF226" s="92">
        <f t="shared" si="93"/>
        <v>12.91833200111952</v>
      </c>
      <c r="AG226" s="93">
        <f t="shared" si="94"/>
        <v>5.1809674583941086E-4</v>
      </c>
      <c r="AH226" s="92">
        <f t="shared" si="95"/>
        <v>12.918850097865359</v>
      </c>
      <c r="AI226" s="93">
        <f t="shared" si="100"/>
        <v>7.5892576149191911E-5</v>
      </c>
      <c r="AJ226" s="92">
        <f t="shared" si="99"/>
        <v>12.918925990441508</v>
      </c>
      <c r="AK226" s="93">
        <f t="shared" si="101"/>
        <v>198</v>
      </c>
      <c r="AL226" s="89" t="str">
        <f t="shared" si="96"/>
        <v>'pass'</v>
      </c>
    </row>
    <row r="227" spans="1:38" x14ac:dyDescent="0.2">
      <c r="A227" s="79"/>
      <c r="B227" s="117" t="s">
        <v>1980</v>
      </c>
      <c r="C227" s="124">
        <v>0</v>
      </c>
      <c r="D227" s="119">
        <f t="shared" si="97"/>
        <v>0</v>
      </c>
      <c r="E227" s="121" t="s">
        <v>2010</v>
      </c>
      <c r="F227" s="120" t="s">
        <v>1982</v>
      </c>
      <c r="G227" s="122" t="s">
        <v>2011</v>
      </c>
      <c r="H227" s="121"/>
      <c r="I227" s="118" t="s">
        <v>1980</v>
      </c>
      <c r="J227" s="128">
        <v>20</v>
      </c>
      <c r="K227" s="131">
        <v>74589</v>
      </c>
      <c r="L227" s="131">
        <v>25207</v>
      </c>
      <c r="M227" s="131">
        <v>70082</v>
      </c>
      <c r="N227" s="131">
        <v>80045</v>
      </c>
      <c r="O227" s="104">
        <v>80045</v>
      </c>
      <c r="P227" s="105"/>
      <c r="Q227" s="91">
        <v>0.4</v>
      </c>
      <c r="R227" s="91"/>
      <c r="S227" s="104">
        <f t="shared" si="83"/>
        <v>16.009</v>
      </c>
      <c r="U227" s="93">
        <f t="shared" si="98"/>
        <v>11.587568884551642</v>
      </c>
      <c r="V227" s="93">
        <v>198</v>
      </c>
      <c r="W227" s="93">
        <f t="shared" si="84"/>
        <v>11.587568884551642</v>
      </c>
      <c r="X227" s="89">
        <f t="shared" si="85"/>
        <v>4.1726029990535432E-4</v>
      </c>
      <c r="Y227" s="93">
        <f t="shared" si="86"/>
        <v>1.1382473066314556</v>
      </c>
      <c r="Z227" s="92">
        <f t="shared" si="87"/>
        <v>12.725816191183098</v>
      </c>
      <c r="AA227" s="93">
        <f t="shared" si="88"/>
        <v>0.16483353506494769</v>
      </c>
      <c r="AB227" s="93">
        <f t="shared" si="89"/>
        <v>12.890649726248046</v>
      </c>
      <c r="AC227" s="93">
        <f t="shared" si="90"/>
        <v>2.4145377698386632E-2</v>
      </c>
      <c r="AD227" s="93">
        <f t="shared" si="91"/>
        <v>12.914795103946433</v>
      </c>
      <c r="AE227" s="93">
        <f t="shared" si="92"/>
        <v>3.5368971730857391E-3</v>
      </c>
      <c r="AF227" s="92">
        <f t="shared" si="93"/>
        <v>12.91833200111952</v>
      </c>
      <c r="AG227" s="93">
        <f t="shared" si="94"/>
        <v>5.1809674583941086E-4</v>
      </c>
      <c r="AH227" s="92">
        <f t="shared" si="95"/>
        <v>12.918850097865359</v>
      </c>
      <c r="AI227" s="93">
        <f t="shared" si="100"/>
        <v>7.5892576149191911E-5</v>
      </c>
      <c r="AJ227" s="92">
        <f t="shared" si="99"/>
        <v>12.918925990441508</v>
      </c>
      <c r="AK227" s="93">
        <f t="shared" si="101"/>
        <v>198</v>
      </c>
      <c r="AL227" s="89" t="str">
        <f t="shared" si="96"/>
        <v>'pass'</v>
      </c>
    </row>
    <row r="228" spans="1:38" x14ac:dyDescent="0.2">
      <c r="A228" s="79"/>
      <c r="B228" s="117" t="s">
        <v>1980</v>
      </c>
      <c r="C228" s="124">
        <v>0</v>
      </c>
      <c r="D228" s="119">
        <f t="shared" si="97"/>
        <v>0</v>
      </c>
      <c r="E228" s="121" t="s">
        <v>2012</v>
      </c>
      <c r="F228" s="120" t="s">
        <v>1982</v>
      </c>
      <c r="G228" s="122" t="s">
        <v>2013</v>
      </c>
      <c r="H228" s="121"/>
      <c r="I228" s="118" t="s">
        <v>1980</v>
      </c>
      <c r="J228" s="128">
        <v>20</v>
      </c>
      <c r="K228" s="131">
        <v>74589</v>
      </c>
      <c r="L228" s="131">
        <v>25207</v>
      </c>
      <c r="M228" s="131">
        <v>70082</v>
      </c>
      <c r="N228" s="131">
        <v>80045</v>
      </c>
      <c r="O228" s="104">
        <v>80045</v>
      </c>
      <c r="P228" s="105"/>
      <c r="Q228" s="91">
        <v>0.4</v>
      </c>
      <c r="R228" s="91"/>
      <c r="S228" s="104">
        <f t="shared" si="83"/>
        <v>16.009</v>
      </c>
      <c r="U228" s="93">
        <f t="shared" si="98"/>
        <v>11.587568884551642</v>
      </c>
      <c r="V228" s="93">
        <v>198</v>
      </c>
      <c r="W228" s="93">
        <f t="shared" si="84"/>
        <v>11.587568884551642</v>
      </c>
      <c r="X228" s="89">
        <f t="shared" si="85"/>
        <v>4.1726029990535432E-4</v>
      </c>
      <c r="Y228" s="93">
        <f t="shared" si="86"/>
        <v>1.1382473066314556</v>
      </c>
      <c r="Z228" s="92">
        <f t="shared" si="87"/>
        <v>12.725816191183098</v>
      </c>
      <c r="AA228" s="93">
        <f t="shared" si="88"/>
        <v>0.16483353506494769</v>
      </c>
      <c r="AB228" s="93">
        <f t="shared" si="89"/>
        <v>12.890649726248046</v>
      </c>
      <c r="AC228" s="93">
        <f t="shared" si="90"/>
        <v>2.4145377698386632E-2</v>
      </c>
      <c r="AD228" s="93">
        <f t="shared" si="91"/>
        <v>12.914795103946433</v>
      </c>
      <c r="AE228" s="93">
        <f t="shared" si="92"/>
        <v>3.5368971730857391E-3</v>
      </c>
      <c r="AF228" s="92">
        <f t="shared" si="93"/>
        <v>12.91833200111952</v>
      </c>
      <c r="AG228" s="93">
        <f t="shared" si="94"/>
        <v>5.1809674583941086E-4</v>
      </c>
      <c r="AH228" s="92">
        <f t="shared" si="95"/>
        <v>12.918850097865359</v>
      </c>
      <c r="AI228" s="93">
        <f t="shared" si="100"/>
        <v>7.5892576149191911E-5</v>
      </c>
      <c r="AJ228" s="92">
        <f t="shared" si="99"/>
        <v>12.918925990441508</v>
      </c>
      <c r="AK228" s="93">
        <f t="shared" si="101"/>
        <v>198</v>
      </c>
      <c r="AL228" s="89" t="str">
        <f t="shared" si="96"/>
        <v>'pass'</v>
      </c>
    </row>
    <row r="229" spans="1:38" x14ac:dyDescent="0.2">
      <c r="A229" s="79"/>
      <c r="B229" s="117" t="s">
        <v>1980</v>
      </c>
      <c r="C229" s="124">
        <v>0</v>
      </c>
      <c r="D229" s="119">
        <f t="shared" si="97"/>
        <v>0</v>
      </c>
      <c r="E229" s="121" t="s">
        <v>2014</v>
      </c>
      <c r="F229" s="120" t="s">
        <v>1982</v>
      </c>
      <c r="G229" s="122" t="s">
        <v>2015</v>
      </c>
      <c r="H229" s="121"/>
      <c r="I229" s="118" t="s">
        <v>1980</v>
      </c>
      <c r="J229" s="128">
        <v>20</v>
      </c>
      <c r="K229" s="131">
        <v>74589</v>
      </c>
      <c r="L229" s="131">
        <v>25207</v>
      </c>
      <c r="M229" s="131">
        <v>70082</v>
      </c>
      <c r="N229" s="131">
        <v>80045</v>
      </c>
      <c r="O229" s="104">
        <v>80045</v>
      </c>
      <c r="P229" s="105"/>
      <c r="Q229" s="91">
        <v>0.4</v>
      </c>
      <c r="R229" s="91"/>
      <c r="S229" s="104">
        <f t="shared" si="83"/>
        <v>16.009</v>
      </c>
      <c r="U229" s="93">
        <f t="shared" si="98"/>
        <v>11.587568884551642</v>
      </c>
      <c r="V229" s="93">
        <v>198</v>
      </c>
      <c r="W229" s="93">
        <f t="shared" si="84"/>
        <v>11.587568884551642</v>
      </c>
      <c r="X229" s="89">
        <f t="shared" si="85"/>
        <v>4.1726029990535432E-4</v>
      </c>
      <c r="Y229" s="93">
        <f t="shared" si="86"/>
        <v>1.1382473066314556</v>
      </c>
      <c r="Z229" s="92">
        <f t="shared" si="87"/>
        <v>12.725816191183098</v>
      </c>
      <c r="AA229" s="93">
        <f t="shared" si="88"/>
        <v>0.16483353506494769</v>
      </c>
      <c r="AB229" s="93">
        <f t="shared" si="89"/>
        <v>12.890649726248046</v>
      </c>
      <c r="AC229" s="93">
        <f t="shared" si="90"/>
        <v>2.4145377698386632E-2</v>
      </c>
      <c r="AD229" s="93">
        <f t="shared" si="91"/>
        <v>12.914795103946433</v>
      </c>
      <c r="AE229" s="93">
        <f t="shared" si="92"/>
        <v>3.5368971730857391E-3</v>
      </c>
      <c r="AF229" s="92">
        <f t="shared" si="93"/>
        <v>12.91833200111952</v>
      </c>
      <c r="AG229" s="93">
        <f t="shared" si="94"/>
        <v>5.1809674583941086E-4</v>
      </c>
      <c r="AH229" s="92">
        <f t="shared" si="95"/>
        <v>12.918850097865359</v>
      </c>
      <c r="AI229" s="93">
        <f t="shared" si="100"/>
        <v>7.5892576149191911E-5</v>
      </c>
      <c r="AJ229" s="92">
        <f t="shared" si="99"/>
        <v>12.918925990441508</v>
      </c>
      <c r="AK229" s="93">
        <f t="shared" si="101"/>
        <v>198</v>
      </c>
      <c r="AL229" s="89" t="str">
        <f t="shared" si="96"/>
        <v>'pass'</v>
      </c>
    </row>
    <row r="230" spans="1:38" x14ac:dyDescent="0.2">
      <c r="A230" s="79"/>
      <c r="B230" s="117" t="s">
        <v>2016</v>
      </c>
      <c r="C230" s="124">
        <v>50</v>
      </c>
      <c r="D230" s="119">
        <f t="shared" si="97"/>
        <v>1.1962581046486591E-3</v>
      </c>
      <c r="E230" s="121" t="s">
        <v>2017</v>
      </c>
      <c r="F230" s="120" t="s">
        <v>2018</v>
      </c>
      <c r="G230" s="122" t="s">
        <v>2019</v>
      </c>
      <c r="H230" s="121"/>
      <c r="I230" s="118" t="s">
        <v>2016</v>
      </c>
      <c r="J230" s="128">
        <v>18</v>
      </c>
      <c r="K230" s="131">
        <v>70163</v>
      </c>
      <c r="L230" s="131">
        <v>27830</v>
      </c>
      <c r="M230" s="131">
        <v>70746</v>
      </c>
      <c r="N230" s="131">
        <v>165249</v>
      </c>
      <c r="O230" s="104">
        <v>165249</v>
      </c>
      <c r="P230" s="105"/>
      <c r="Q230" s="91">
        <v>0.4</v>
      </c>
      <c r="R230" s="91"/>
      <c r="S230" s="104">
        <f t="shared" si="83"/>
        <v>33.049800000000005</v>
      </c>
      <c r="U230" s="93">
        <f t="shared" si="98"/>
        <v>23.921971023840022</v>
      </c>
      <c r="V230" s="93">
        <v>219</v>
      </c>
      <c r="W230" s="93">
        <f t="shared" si="84"/>
        <v>23.921971023840022</v>
      </c>
      <c r="X230" s="89">
        <f t="shared" si="85"/>
        <v>8.6141354611855717E-4</v>
      </c>
      <c r="Y230" s="93">
        <f t="shared" si="86"/>
        <v>2.3498560706295386</v>
      </c>
      <c r="Z230" s="92">
        <f t="shared" si="87"/>
        <v>26.271827094469561</v>
      </c>
      <c r="AA230" s="93">
        <f t="shared" si="88"/>
        <v>0.34029079687610153</v>
      </c>
      <c r="AB230" s="93">
        <f t="shared" si="89"/>
        <v>26.612117891345662</v>
      </c>
      <c r="AC230" s="93">
        <f t="shared" si="90"/>
        <v>4.9846955078776858E-2</v>
      </c>
      <c r="AD230" s="93">
        <f t="shared" si="91"/>
        <v>26.661964846424439</v>
      </c>
      <c r="AE230" s="93">
        <f t="shared" si="92"/>
        <v>7.3017517765662492E-3</v>
      </c>
      <c r="AF230" s="92">
        <f t="shared" si="93"/>
        <v>26.669266598201006</v>
      </c>
      <c r="AG230" s="93">
        <f t="shared" si="94"/>
        <v>1.0695854725868803E-3</v>
      </c>
      <c r="AH230" s="92">
        <f t="shared" si="95"/>
        <v>26.670336183673591</v>
      </c>
      <c r="AI230" s="93">
        <f t="shared" si="100"/>
        <v>1.5667652340655653E-4</v>
      </c>
      <c r="AJ230" s="92">
        <f t="shared" si="99"/>
        <v>26.670492860196997</v>
      </c>
      <c r="AK230" s="93">
        <f t="shared" si="101"/>
        <v>219</v>
      </c>
      <c r="AL230" s="89" t="str">
        <f t="shared" si="96"/>
        <v>'pass'</v>
      </c>
    </row>
    <row r="231" spans="1:38" x14ac:dyDescent="0.2">
      <c r="A231" s="79"/>
      <c r="B231" s="117" t="s">
        <v>2020</v>
      </c>
      <c r="C231" s="124">
        <v>150</v>
      </c>
      <c r="D231" s="119">
        <f t="shared" si="97"/>
        <v>3.5887743139459772E-3</v>
      </c>
      <c r="E231" s="121" t="s">
        <v>2021</v>
      </c>
      <c r="F231" s="120" t="s">
        <v>2022</v>
      </c>
      <c r="G231" s="122">
        <v>40</v>
      </c>
      <c r="H231" s="121" t="s">
        <v>1461</v>
      </c>
      <c r="I231" s="118" t="s">
        <v>2020</v>
      </c>
      <c r="J231" s="128">
        <v>100</v>
      </c>
      <c r="K231" s="131">
        <v>2584107</v>
      </c>
      <c r="L231" s="131">
        <v>1843606</v>
      </c>
      <c r="M231" s="131">
        <v>1793439</v>
      </c>
      <c r="N231" s="131">
        <v>2029299</v>
      </c>
      <c r="O231" s="104">
        <v>2584107</v>
      </c>
      <c r="P231" s="105"/>
      <c r="Q231" s="91">
        <f>IF(J231&gt;25,0.15,0)</f>
        <v>0.15</v>
      </c>
      <c r="R231" s="91"/>
      <c r="S231" s="104">
        <f t="shared" si="83"/>
        <v>193.80802499999999</v>
      </c>
      <c r="U231" s="93">
        <f t="shared" si="98"/>
        <v>140.2813317550382</v>
      </c>
      <c r="V231" s="93">
        <v>487</v>
      </c>
      <c r="W231" s="93">
        <f t="shared" si="84"/>
        <v>140.2813317550382</v>
      </c>
      <c r="X231" s="89">
        <f t="shared" si="85"/>
        <v>5.0514332335289151E-3</v>
      </c>
      <c r="Y231" s="93">
        <f t="shared" si="86"/>
        <v>13.77984024360121</v>
      </c>
      <c r="Z231" s="92">
        <f t="shared" si="87"/>
        <v>154.0611719986394</v>
      </c>
      <c r="AA231" s="93">
        <f t="shared" si="88"/>
        <v>1.9955063954466712</v>
      </c>
      <c r="AB231" s="93">
        <f t="shared" si="89"/>
        <v>156.05667839408608</v>
      </c>
      <c r="AC231" s="93">
        <f t="shared" si="90"/>
        <v>0.29230857421471412</v>
      </c>
      <c r="AD231" s="93">
        <f t="shared" si="91"/>
        <v>156.34898696830078</v>
      </c>
      <c r="AE231" s="93">
        <f t="shared" si="92"/>
        <v>4.2818355658931238E-2</v>
      </c>
      <c r="AF231" s="92">
        <f t="shared" si="93"/>
        <v>156.39180532395972</v>
      </c>
      <c r="AG231" s="93">
        <f t="shared" si="94"/>
        <v>6.2721785914212746E-3</v>
      </c>
      <c r="AH231" s="92">
        <f t="shared" si="95"/>
        <v>156.39807750255113</v>
      </c>
      <c r="AI231" s="93">
        <f t="shared" si="100"/>
        <v>9.1877008530432812E-4</v>
      </c>
      <c r="AJ231" s="92">
        <f t="shared" si="99"/>
        <v>156.39899627263642</v>
      </c>
      <c r="AK231" s="93">
        <f t="shared" si="101"/>
        <v>487</v>
      </c>
      <c r="AL231" s="89" t="str">
        <f t="shared" si="96"/>
        <v>'pass'</v>
      </c>
    </row>
    <row r="232" spans="1:38" x14ac:dyDescent="0.2">
      <c r="A232" s="79"/>
      <c r="B232" s="117" t="s">
        <v>2023</v>
      </c>
      <c r="C232" s="124">
        <v>0</v>
      </c>
      <c r="D232" s="119"/>
      <c r="E232" s="126" t="s">
        <v>2024</v>
      </c>
      <c r="F232" s="125" t="s">
        <v>2025</v>
      </c>
      <c r="G232" s="122" t="s">
        <v>2026</v>
      </c>
      <c r="H232" s="121"/>
      <c r="I232" s="118" t="s">
        <v>2027</v>
      </c>
      <c r="J232" s="128">
        <v>250</v>
      </c>
      <c r="K232" s="131">
        <v>3440</v>
      </c>
      <c r="L232" s="131">
        <v>8414</v>
      </c>
      <c r="M232" s="131">
        <v>7916</v>
      </c>
      <c r="N232" s="131">
        <v>8499</v>
      </c>
      <c r="O232" s="104">
        <v>8499</v>
      </c>
      <c r="P232" s="105"/>
      <c r="Q232" s="91">
        <v>0.4</v>
      </c>
      <c r="R232" s="91"/>
      <c r="S232" s="104">
        <f t="shared" si="83"/>
        <v>1.6998000000000002</v>
      </c>
      <c r="T232" s="93"/>
      <c r="U232" s="93">
        <f t="shared" si="98"/>
        <v>1.2303422818390208</v>
      </c>
      <c r="V232" s="93">
        <v>184</v>
      </c>
      <c r="W232" s="93">
        <f t="shared" si="84"/>
        <v>1.2303422818390208</v>
      </c>
      <c r="X232" s="89">
        <f t="shared" si="85"/>
        <v>4.4303770240434848E-5</v>
      </c>
      <c r="Y232" s="93">
        <f t="shared" si="86"/>
        <v>0.12085656641964823</v>
      </c>
      <c r="Z232" s="92">
        <f t="shared" si="87"/>
        <v>1.351198848258669</v>
      </c>
      <c r="AA232" s="93">
        <f t="shared" si="88"/>
        <v>1.750165799883804E-2</v>
      </c>
      <c r="AB232" s="93">
        <f t="shared" si="89"/>
        <v>1.3687005062575071</v>
      </c>
      <c r="AC232" s="93">
        <f t="shared" si="90"/>
        <v>2.5637024805870204E-3</v>
      </c>
      <c r="AD232" s="93">
        <f t="shared" si="91"/>
        <v>1.3712642087380942</v>
      </c>
      <c r="AE232" s="93">
        <f t="shared" si="92"/>
        <v>3.7553987224755704E-4</v>
      </c>
      <c r="AF232" s="92">
        <f t="shared" si="93"/>
        <v>1.3716397486103418</v>
      </c>
      <c r="AG232" s="93">
        <f t="shared" si="94"/>
        <v>5.5010359708778243E-5</v>
      </c>
      <c r="AH232" s="92">
        <f t="shared" si="95"/>
        <v>1.3716947589700506</v>
      </c>
      <c r="AI232" s="93">
        <f t="shared" si="100"/>
        <v>8.0581048746577826E-6</v>
      </c>
      <c r="AJ232" s="92">
        <f t="shared" si="99"/>
        <v>1.3717028170749253</v>
      </c>
      <c r="AK232" s="93">
        <f t="shared" si="101"/>
        <v>184</v>
      </c>
      <c r="AL232" s="89" t="str">
        <f t="shared" si="96"/>
        <v>'pass'</v>
      </c>
    </row>
    <row r="233" spans="1:38" x14ac:dyDescent="0.2">
      <c r="A233" s="79"/>
      <c r="B233" s="117" t="s">
        <v>2028</v>
      </c>
      <c r="C233" s="124">
        <v>300</v>
      </c>
      <c r="D233" s="119">
        <f t="shared" ref="D233:D271" si="102">C233/$C$6</f>
        <v>7.1775486278919543E-3</v>
      </c>
      <c r="E233" s="121" t="s">
        <v>2029</v>
      </c>
      <c r="F233" s="120" t="s">
        <v>2025</v>
      </c>
      <c r="G233" s="122">
        <v>40</v>
      </c>
      <c r="H233" s="121" t="s">
        <v>1461</v>
      </c>
      <c r="I233" s="118" t="s">
        <v>2028</v>
      </c>
      <c r="J233" s="128">
        <v>100</v>
      </c>
      <c r="K233" s="131">
        <v>2692405</v>
      </c>
      <c r="L233" s="131">
        <v>1678717</v>
      </c>
      <c r="M233" s="131">
        <v>2120053</v>
      </c>
      <c r="N233" s="131">
        <v>2361500</v>
      </c>
      <c r="O233" s="104">
        <v>2692405</v>
      </c>
      <c r="P233" s="105"/>
      <c r="Q233" s="91">
        <f>IF(J233&gt;25,0.15,0)</f>
        <v>0.15</v>
      </c>
      <c r="R233" s="91"/>
      <c r="S233" s="104">
        <f t="shared" si="83"/>
        <v>201.930375</v>
      </c>
      <c r="U233" s="93">
        <f t="shared" si="98"/>
        <v>146.16041790217034</v>
      </c>
      <c r="V233" s="93">
        <v>292</v>
      </c>
      <c r="W233" s="93">
        <f t="shared" si="84"/>
        <v>146.16041790217034</v>
      </c>
      <c r="X233" s="89">
        <f t="shared" si="85"/>
        <v>5.2631350385720956E-3</v>
      </c>
      <c r="Y233" s="93">
        <f t="shared" si="86"/>
        <v>14.357343086440741</v>
      </c>
      <c r="Z233" s="92">
        <f t="shared" si="87"/>
        <v>160.51776098861109</v>
      </c>
      <c r="AA233" s="93">
        <f t="shared" si="88"/>
        <v>2.0791365824374131</v>
      </c>
      <c r="AB233" s="93">
        <f t="shared" si="89"/>
        <v>162.59689757104849</v>
      </c>
      <c r="AC233" s="93">
        <f t="shared" si="90"/>
        <v>0.30455900887949594</v>
      </c>
      <c r="AD233" s="93">
        <f t="shared" si="91"/>
        <v>162.90145657992798</v>
      </c>
      <c r="AE233" s="93">
        <f t="shared" si="92"/>
        <v>4.4612841058007578E-2</v>
      </c>
      <c r="AF233" s="92">
        <f t="shared" si="93"/>
        <v>162.94606942098599</v>
      </c>
      <c r="AG233" s="93">
        <f t="shared" si="94"/>
        <v>6.5350409253314978E-3</v>
      </c>
      <c r="AH233" s="92">
        <f t="shared" si="95"/>
        <v>162.95260446191133</v>
      </c>
      <c r="AI233" s="93">
        <f t="shared" si="100"/>
        <v>9.5727505537649955E-4</v>
      </c>
      <c r="AJ233" s="92">
        <f t="shared" si="99"/>
        <v>162.95356173696672</v>
      </c>
      <c r="AK233" s="93">
        <f t="shared" si="101"/>
        <v>292</v>
      </c>
      <c r="AL233" s="89" t="str">
        <f t="shared" si="96"/>
        <v>'pass'</v>
      </c>
    </row>
    <row r="234" spans="1:38" x14ac:dyDescent="0.2">
      <c r="A234" s="79"/>
      <c r="B234" s="117" t="s">
        <v>2028</v>
      </c>
      <c r="C234" s="124"/>
      <c r="D234" s="119">
        <f t="shared" si="102"/>
        <v>0</v>
      </c>
      <c r="E234" s="121" t="s">
        <v>2030</v>
      </c>
      <c r="F234" s="120" t="s">
        <v>2025</v>
      </c>
      <c r="G234" s="122">
        <v>50</v>
      </c>
      <c r="H234" s="121" t="s">
        <v>1461</v>
      </c>
      <c r="I234" s="118" t="s">
        <v>2028</v>
      </c>
      <c r="J234" s="128">
        <v>114</v>
      </c>
      <c r="K234" s="131">
        <v>2298495</v>
      </c>
      <c r="L234" s="131">
        <v>1368262</v>
      </c>
      <c r="M234" s="131">
        <v>1425639</v>
      </c>
      <c r="N234" s="131">
        <v>1862892</v>
      </c>
      <c r="O234" s="104">
        <v>2298495</v>
      </c>
      <c r="P234" s="105"/>
      <c r="Q234" s="91">
        <f>IF(J234&gt;25,0.15,0)</f>
        <v>0.15</v>
      </c>
      <c r="R234" s="91"/>
      <c r="S234" s="104">
        <f t="shared" si="83"/>
        <v>172.387125</v>
      </c>
      <c r="U234" s="93">
        <f t="shared" si="98"/>
        <v>124.77654355345834</v>
      </c>
      <c r="V234" s="93">
        <v>292</v>
      </c>
      <c r="W234" s="93">
        <f t="shared" si="84"/>
        <v>124.77654355345834</v>
      </c>
      <c r="X234" s="89">
        <f t="shared" si="85"/>
        <v>4.4931165892511593E-3</v>
      </c>
      <c r="Y234" s="93">
        <f t="shared" si="86"/>
        <v>12.256804343131368</v>
      </c>
      <c r="Z234" s="92">
        <f t="shared" si="87"/>
        <v>137.0333478965897</v>
      </c>
      <c r="AA234" s="93">
        <f t="shared" si="88"/>
        <v>1.7749502913007074</v>
      </c>
      <c r="AB234" s="93">
        <f t="shared" si="89"/>
        <v>138.80829818789041</v>
      </c>
      <c r="AC234" s="93">
        <f t="shared" si="90"/>
        <v>0.26000076478630701</v>
      </c>
      <c r="AD234" s="93">
        <f t="shared" si="91"/>
        <v>139.06829895267671</v>
      </c>
      <c r="AE234" s="93">
        <f t="shared" si="92"/>
        <v>3.8085797681858831E-2</v>
      </c>
      <c r="AF234" s="92">
        <f t="shared" si="93"/>
        <v>139.10638475035856</v>
      </c>
      <c r="AG234" s="93">
        <f t="shared" si="94"/>
        <v>5.578937378169265E-3</v>
      </c>
      <c r="AH234" s="92">
        <f t="shared" si="95"/>
        <v>139.11196368773673</v>
      </c>
      <c r="AI234" s="93">
        <f t="shared" si="100"/>
        <v>8.1722175096525496E-4</v>
      </c>
      <c r="AJ234" s="92">
        <f t="shared" si="99"/>
        <v>139.1127809094877</v>
      </c>
      <c r="AK234" s="93">
        <f t="shared" si="101"/>
        <v>292</v>
      </c>
      <c r="AL234" s="89" t="str">
        <f t="shared" si="96"/>
        <v>'pass'</v>
      </c>
    </row>
    <row r="235" spans="1:38" x14ac:dyDescent="0.2">
      <c r="A235" s="79"/>
      <c r="B235" s="117" t="s">
        <v>2028</v>
      </c>
      <c r="C235" s="124"/>
      <c r="D235" s="119">
        <f t="shared" si="102"/>
        <v>0</v>
      </c>
      <c r="E235" s="121" t="s">
        <v>2031</v>
      </c>
      <c r="F235" s="120" t="s">
        <v>2025</v>
      </c>
      <c r="G235" s="122" t="s">
        <v>2032</v>
      </c>
      <c r="H235" s="121"/>
      <c r="I235" s="118" t="s">
        <v>2028</v>
      </c>
      <c r="J235" s="128">
        <v>50</v>
      </c>
      <c r="K235" s="131">
        <v>18944</v>
      </c>
      <c r="L235" s="131">
        <v>29483</v>
      </c>
      <c r="M235" s="131">
        <v>37031</v>
      </c>
      <c r="N235" s="131">
        <v>37124</v>
      </c>
      <c r="O235" s="104">
        <v>37124</v>
      </c>
      <c r="P235" s="105"/>
      <c r="Q235" s="91">
        <f>IF(J235&gt;25,0.15,0)</f>
        <v>0.15</v>
      </c>
      <c r="R235" s="91"/>
      <c r="S235" s="104">
        <f t="shared" si="83"/>
        <v>2.7842999999999996</v>
      </c>
      <c r="U235" s="93">
        <f t="shared" si="98"/>
        <v>2.0153206349713995</v>
      </c>
      <c r="V235" s="93">
        <v>486</v>
      </c>
      <c r="W235" s="93">
        <f t="shared" si="84"/>
        <v>2.0153206349713995</v>
      </c>
      <c r="X235" s="89">
        <f t="shared" si="85"/>
        <v>7.2570295023204317E-5</v>
      </c>
      <c r="Y235" s="93">
        <f t="shared" si="86"/>
        <v>0.19796501816815298</v>
      </c>
      <c r="Z235" s="92">
        <f t="shared" si="87"/>
        <v>2.2132856531395526</v>
      </c>
      <c r="AA235" s="93">
        <f t="shared" si="88"/>
        <v>2.8667999980094561E-2</v>
      </c>
      <c r="AB235" s="93">
        <f t="shared" si="89"/>
        <v>2.2419536531196473</v>
      </c>
      <c r="AC235" s="93">
        <f t="shared" si="90"/>
        <v>4.1993862905626766E-3</v>
      </c>
      <c r="AD235" s="93">
        <f t="shared" si="91"/>
        <v>2.2461530394102098</v>
      </c>
      <c r="AE235" s="93">
        <f t="shared" si="92"/>
        <v>6.1514040845915563E-4</v>
      </c>
      <c r="AF235" s="92">
        <f t="shared" si="93"/>
        <v>2.2467681798186692</v>
      </c>
      <c r="AG235" s="93">
        <f t="shared" si="94"/>
        <v>9.0107862417432169E-5</v>
      </c>
      <c r="AH235" s="92">
        <f t="shared" si="95"/>
        <v>2.2468582876810865</v>
      </c>
      <c r="AI235" s="93">
        <f t="shared" si="100"/>
        <v>1.3199306625785184E-5</v>
      </c>
      <c r="AJ235" s="92">
        <f t="shared" si="99"/>
        <v>2.2468714869877124</v>
      </c>
      <c r="AK235" s="93">
        <f t="shared" si="101"/>
        <v>486</v>
      </c>
      <c r="AL235" s="89" t="str">
        <f t="shared" si="96"/>
        <v>'pass'</v>
      </c>
    </row>
    <row r="236" spans="1:38" x14ac:dyDescent="0.2">
      <c r="A236" s="79"/>
      <c r="B236" s="117" t="s">
        <v>2028</v>
      </c>
      <c r="C236" s="124"/>
      <c r="D236" s="119">
        <f t="shared" si="102"/>
        <v>0</v>
      </c>
      <c r="E236" s="121" t="s">
        <v>2033</v>
      </c>
      <c r="F236" s="120" t="s">
        <v>2025</v>
      </c>
      <c r="G236" s="122" t="s">
        <v>2034</v>
      </c>
      <c r="H236" s="121"/>
      <c r="I236" s="118" t="s">
        <v>2028</v>
      </c>
      <c r="J236" s="128">
        <v>50</v>
      </c>
      <c r="K236" s="131">
        <v>18944</v>
      </c>
      <c r="L236" s="131">
        <v>29483</v>
      </c>
      <c r="M236" s="131">
        <v>37031</v>
      </c>
      <c r="N236" s="131">
        <v>37124</v>
      </c>
      <c r="O236" s="104">
        <v>37124</v>
      </c>
      <c r="P236" s="105"/>
      <c r="Q236" s="91">
        <f>IF(J236&gt;25,0.15,0)</f>
        <v>0.15</v>
      </c>
      <c r="R236" s="91"/>
      <c r="S236" s="104">
        <f t="shared" si="83"/>
        <v>2.7842999999999996</v>
      </c>
      <c r="U236" s="93">
        <f t="shared" si="98"/>
        <v>2.0153206349713995</v>
      </c>
      <c r="V236" s="93">
        <v>486</v>
      </c>
      <c r="W236" s="93">
        <f t="shared" si="84"/>
        <v>2.0153206349713995</v>
      </c>
      <c r="X236" s="89">
        <f t="shared" si="85"/>
        <v>7.2570295023204317E-5</v>
      </c>
      <c r="Y236" s="93">
        <f t="shared" si="86"/>
        <v>0.19796501816815298</v>
      </c>
      <c r="Z236" s="92">
        <f t="shared" si="87"/>
        <v>2.2132856531395526</v>
      </c>
      <c r="AA236" s="93">
        <f t="shared" si="88"/>
        <v>2.8667999980094561E-2</v>
      </c>
      <c r="AB236" s="93">
        <f t="shared" si="89"/>
        <v>2.2419536531196473</v>
      </c>
      <c r="AC236" s="93">
        <f t="shared" si="90"/>
        <v>4.1993862905626766E-3</v>
      </c>
      <c r="AD236" s="93">
        <f t="shared" si="91"/>
        <v>2.2461530394102098</v>
      </c>
      <c r="AE236" s="93">
        <f t="shared" si="92"/>
        <v>6.1514040845915563E-4</v>
      </c>
      <c r="AF236" s="92">
        <f t="shared" si="93"/>
        <v>2.2467681798186692</v>
      </c>
      <c r="AG236" s="93">
        <f t="shared" si="94"/>
        <v>9.0107862417432169E-5</v>
      </c>
      <c r="AH236" s="92">
        <f t="shared" si="95"/>
        <v>2.2468582876810865</v>
      </c>
      <c r="AI236" s="93">
        <f t="shared" si="100"/>
        <v>1.3199306625785184E-5</v>
      </c>
      <c r="AJ236" s="92">
        <f t="shared" si="99"/>
        <v>2.2468714869877124</v>
      </c>
      <c r="AK236" s="93">
        <f t="shared" si="101"/>
        <v>486</v>
      </c>
      <c r="AL236" s="89" t="str">
        <f t="shared" si="96"/>
        <v>'pass'</v>
      </c>
    </row>
    <row r="237" spans="1:38" x14ac:dyDescent="0.2">
      <c r="A237" s="79"/>
      <c r="B237" s="117" t="s">
        <v>2035</v>
      </c>
      <c r="C237" s="124">
        <v>370</v>
      </c>
      <c r="D237" s="119">
        <f t="shared" si="102"/>
        <v>8.8523099744000772E-3</v>
      </c>
      <c r="E237" s="121" t="s">
        <v>2036</v>
      </c>
      <c r="F237" s="120" t="s">
        <v>2037</v>
      </c>
      <c r="G237" s="122" t="s">
        <v>2038</v>
      </c>
      <c r="H237" s="121"/>
      <c r="I237" s="118" t="s">
        <v>2035</v>
      </c>
      <c r="J237" s="128">
        <v>25</v>
      </c>
      <c r="K237" s="131">
        <v>24769</v>
      </c>
      <c r="L237" s="131">
        <v>11671</v>
      </c>
      <c r="M237" s="131">
        <v>26197</v>
      </c>
      <c r="N237" s="131">
        <v>51577</v>
      </c>
      <c r="O237" s="131">
        <v>51577</v>
      </c>
      <c r="P237" s="105"/>
      <c r="Q237" s="91">
        <v>0.4</v>
      </c>
      <c r="R237" s="91"/>
      <c r="S237" s="104">
        <f t="shared" si="83"/>
        <v>10.315400000000002</v>
      </c>
      <c r="U237" s="93">
        <f t="shared" si="98"/>
        <v>7.4664506260043746</v>
      </c>
      <c r="V237" s="93">
        <v>306</v>
      </c>
      <c r="W237" s="93">
        <f t="shared" si="84"/>
        <v>7.4664506260043746</v>
      </c>
      <c r="X237" s="89">
        <f t="shared" si="85"/>
        <v>2.6886169639850664E-4</v>
      </c>
      <c r="Y237" s="93">
        <f t="shared" si="86"/>
        <v>0.73342971246337174</v>
      </c>
      <c r="Z237" s="92">
        <f t="shared" si="87"/>
        <v>8.1998803384677466</v>
      </c>
      <c r="AA237" s="93">
        <f t="shared" si="88"/>
        <v>0.1062104970709577</v>
      </c>
      <c r="AB237" s="93">
        <f t="shared" si="89"/>
        <v>8.3060908355387042</v>
      </c>
      <c r="AC237" s="93">
        <f t="shared" si="90"/>
        <v>1.5558075401957494E-2</v>
      </c>
      <c r="AD237" s="93">
        <f t="shared" si="91"/>
        <v>8.3216489109406613</v>
      </c>
      <c r="AE237" s="93">
        <f t="shared" si="92"/>
        <v>2.2789998812698256E-3</v>
      </c>
      <c r="AF237" s="92">
        <f t="shared" si="93"/>
        <v>8.3239279108219311</v>
      </c>
      <c r="AG237" s="93">
        <f t="shared" si="94"/>
        <v>3.3383566569004063E-4</v>
      </c>
      <c r="AH237" s="92">
        <f t="shared" si="95"/>
        <v>8.3242617464876218</v>
      </c>
      <c r="AI237" s="93">
        <f t="shared" si="100"/>
        <v>4.8901385471258318E-5</v>
      </c>
      <c r="AJ237" s="92">
        <f t="shared" si="99"/>
        <v>8.3243106478730926</v>
      </c>
      <c r="AK237" s="93">
        <f t="shared" si="101"/>
        <v>306</v>
      </c>
      <c r="AL237" s="89" t="str">
        <f t="shared" si="96"/>
        <v>'pass'</v>
      </c>
    </row>
    <row r="238" spans="1:38" x14ac:dyDescent="0.2">
      <c r="A238" s="79"/>
      <c r="B238" s="117" t="s">
        <v>2035</v>
      </c>
      <c r="C238" s="124">
        <v>0</v>
      </c>
      <c r="D238" s="119">
        <f t="shared" si="102"/>
        <v>0</v>
      </c>
      <c r="E238" s="121" t="s">
        <v>2039</v>
      </c>
      <c r="F238" s="120" t="s">
        <v>2037</v>
      </c>
      <c r="G238" s="122" t="s">
        <v>2040</v>
      </c>
      <c r="H238" s="121"/>
      <c r="I238" s="118" t="s">
        <v>2035</v>
      </c>
      <c r="J238" s="128">
        <v>25</v>
      </c>
      <c r="K238" s="131">
        <v>24769</v>
      </c>
      <c r="L238" s="131">
        <v>11671</v>
      </c>
      <c r="M238" s="131">
        <v>26197</v>
      </c>
      <c r="N238" s="131">
        <v>51577</v>
      </c>
      <c r="O238" s="131">
        <v>51577</v>
      </c>
      <c r="P238" s="105"/>
      <c r="Q238" s="91">
        <v>0.4</v>
      </c>
      <c r="R238" s="91"/>
      <c r="S238" s="104">
        <f t="shared" si="83"/>
        <v>10.315400000000002</v>
      </c>
      <c r="U238" s="93">
        <f t="shared" si="98"/>
        <v>7.4664506260043746</v>
      </c>
      <c r="V238" s="93">
        <v>306</v>
      </c>
      <c r="W238" s="93">
        <f t="shared" si="84"/>
        <v>7.4664506260043746</v>
      </c>
      <c r="X238" s="89">
        <f t="shared" si="85"/>
        <v>2.6886169639850664E-4</v>
      </c>
      <c r="Y238" s="93">
        <f t="shared" si="86"/>
        <v>0.73342971246337174</v>
      </c>
      <c r="Z238" s="92">
        <f t="shared" si="87"/>
        <v>8.1998803384677466</v>
      </c>
      <c r="AA238" s="93">
        <f t="shared" si="88"/>
        <v>0.1062104970709577</v>
      </c>
      <c r="AB238" s="93">
        <f t="shared" si="89"/>
        <v>8.3060908355387042</v>
      </c>
      <c r="AC238" s="93">
        <f t="shared" si="90"/>
        <v>1.5558075401957494E-2</v>
      </c>
      <c r="AD238" s="93">
        <f t="shared" si="91"/>
        <v>8.3216489109406613</v>
      </c>
      <c r="AE238" s="93">
        <f t="shared" si="92"/>
        <v>2.2789998812698256E-3</v>
      </c>
      <c r="AF238" s="92">
        <f t="shared" si="93"/>
        <v>8.3239279108219311</v>
      </c>
      <c r="AG238" s="93">
        <f t="shared" si="94"/>
        <v>3.3383566569004063E-4</v>
      </c>
      <c r="AH238" s="92">
        <f t="shared" si="95"/>
        <v>8.3242617464876218</v>
      </c>
      <c r="AI238" s="93">
        <f t="shared" si="100"/>
        <v>4.8901385471258318E-5</v>
      </c>
      <c r="AJ238" s="92">
        <f t="shared" si="99"/>
        <v>8.3243106478730926</v>
      </c>
      <c r="AK238" s="93">
        <f t="shared" si="101"/>
        <v>306</v>
      </c>
      <c r="AL238" s="89" t="str">
        <f t="shared" si="96"/>
        <v>'pass'</v>
      </c>
    </row>
    <row r="239" spans="1:38" x14ac:dyDescent="0.2">
      <c r="A239" s="79"/>
      <c r="B239" s="117" t="s">
        <v>2035</v>
      </c>
      <c r="C239" s="124">
        <v>0</v>
      </c>
      <c r="D239" s="119">
        <f t="shared" si="102"/>
        <v>0</v>
      </c>
      <c r="E239" s="121" t="s">
        <v>2041</v>
      </c>
      <c r="F239" s="120" t="s">
        <v>2037</v>
      </c>
      <c r="G239" s="122" t="s">
        <v>2042</v>
      </c>
      <c r="H239" s="121"/>
      <c r="I239" s="118" t="s">
        <v>2035</v>
      </c>
      <c r="J239" s="128">
        <v>25</v>
      </c>
      <c r="K239" s="131">
        <v>24769</v>
      </c>
      <c r="L239" s="131">
        <v>11671</v>
      </c>
      <c r="M239" s="131">
        <v>26197</v>
      </c>
      <c r="N239" s="131">
        <v>51577</v>
      </c>
      <c r="O239" s="131">
        <v>51577</v>
      </c>
      <c r="P239" s="105"/>
      <c r="Q239" s="91">
        <v>0.4</v>
      </c>
      <c r="R239" s="91"/>
      <c r="S239" s="104">
        <f t="shared" si="83"/>
        <v>10.315400000000002</v>
      </c>
      <c r="U239" s="93">
        <f t="shared" si="98"/>
        <v>7.4664506260043746</v>
      </c>
      <c r="V239" s="93">
        <v>306</v>
      </c>
      <c r="W239" s="93">
        <f t="shared" si="84"/>
        <v>7.4664506260043746</v>
      </c>
      <c r="X239" s="89">
        <f t="shared" si="85"/>
        <v>2.6886169639850664E-4</v>
      </c>
      <c r="Y239" s="93">
        <f t="shared" si="86"/>
        <v>0.73342971246337174</v>
      </c>
      <c r="Z239" s="92">
        <f t="shared" si="87"/>
        <v>8.1998803384677466</v>
      </c>
      <c r="AA239" s="93">
        <f t="shared" si="88"/>
        <v>0.1062104970709577</v>
      </c>
      <c r="AB239" s="93">
        <f t="shared" si="89"/>
        <v>8.3060908355387042</v>
      </c>
      <c r="AC239" s="93">
        <f t="shared" si="90"/>
        <v>1.5558075401957494E-2</v>
      </c>
      <c r="AD239" s="93">
        <f t="shared" si="91"/>
        <v>8.3216489109406613</v>
      </c>
      <c r="AE239" s="93">
        <f t="shared" si="92"/>
        <v>2.2789998812698256E-3</v>
      </c>
      <c r="AF239" s="92">
        <f t="shared" si="93"/>
        <v>8.3239279108219311</v>
      </c>
      <c r="AG239" s="93">
        <f t="shared" si="94"/>
        <v>3.3383566569004063E-4</v>
      </c>
      <c r="AH239" s="92">
        <f t="shared" si="95"/>
        <v>8.3242617464876218</v>
      </c>
      <c r="AI239" s="93">
        <f t="shared" si="100"/>
        <v>4.8901385471258318E-5</v>
      </c>
      <c r="AJ239" s="92">
        <f t="shared" si="99"/>
        <v>8.3243106478730926</v>
      </c>
      <c r="AK239" s="93">
        <f t="shared" si="101"/>
        <v>306</v>
      </c>
      <c r="AL239" s="89" t="str">
        <f t="shared" si="96"/>
        <v>'pass'</v>
      </c>
    </row>
    <row r="240" spans="1:38" x14ac:dyDescent="0.2">
      <c r="A240" s="79"/>
      <c r="B240" s="117" t="s">
        <v>2035</v>
      </c>
      <c r="C240" s="124">
        <v>0</v>
      </c>
      <c r="D240" s="119">
        <f t="shared" si="102"/>
        <v>0</v>
      </c>
      <c r="E240" s="121" t="s">
        <v>2043</v>
      </c>
      <c r="F240" s="120" t="s">
        <v>2037</v>
      </c>
      <c r="G240" s="122" t="s">
        <v>1985</v>
      </c>
      <c r="H240" s="121"/>
      <c r="I240" s="118" t="s">
        <v>2035</v>
      </c>
      <c r="J240" s="128">
        <v>25</v>
      </c>
      <c r="K240" s="131">
        <v>24769</v>
      </c>
      <c r="L240" s="131">
        <v>11671</v>
      </c>
      <c r="M240" s="131">
        <v>26197</v>
      </c>
      <c r="N240" s="131">
        <v>51577</v>
      </c>
      <c r="O240" s="131">
        <v>51577</v>
      </c>
      <c r="P240" s="105"/>
      <c r="Q240" s="91">
        <v>0.4</v>
      </c>
      <c r="R240" s="91"/>
      <c r="S240" s="104">
        <f t="shared" si="83"/>
        <v>10.315400000000002</v>
      </c>
      <c r="U240" s="93">
        <f t="shared" si="98"/>
        <v>7.4664506260043746</v>
      </c>
      <c r="V240" s="93">
        <v>306</v>
      </c>
      <c r="W240" s="93">
        <f t="shared" si="84"/>
        <v>7.4664506260043746</v>
      </c>
      <c r="X240" s="89">
        <f t="shared" si="85"/>
        <v>2.6886169639850664E-4</v>
      </c>
      <c r="Y240" s="93">
        <f t="shared" si="86"/>
        <v>0.73342971246337174</v>
      </c>
      <c r="Z240" s="92">
        <f t="shared" si="87"/>
        <v>8.1998803384677466</v>
      </c>
      <c r="AA240" s="93">
        <f t="shared" si="88"/>
        <v>0.1062104970709577</v>
      </c>
      <c r="AB240" s="93">
        <f t="shared" si="89"/>
        <v>8.3060908355387042</v>
      </c>
      <c r="AC240" s="93">
        <f t="shared" si="90"/>
        <v>1.5558075401957494E-2</v>
      </c>
      <c r="AD240" s="93">
        <f t="shared" si="91"/>
        <v>8.3216489109406613</v>
      </c>
      <c r="AE240" s="93">
        <f t="shared" si="92"/>
        <v>2.2789998812698256E-3</v>
      </c>
      <c r="AF240" s="92">
        <f t="shared" si="93"/>
        <v>8.3239279108219311</v>
      </c>
      <c r="AG240" s="93">
        <f t="shared" si="94"/>
        <v>3.3383566569004063E-4</v>
      </c>
      <c r="AH240" s="92">
        <f t="shared" si="95"/>
        <v>8.3242617464876218</v>
      </c>
      <c r="AI240" s="93">
        <f t="shared" si="100"/>
        <v>4.8901385471258318E-5</v>
      </c>
      <c r="AJ240" s="92">
        <f t="shared" si="99"/>
        <v>8.3243106478730926</v>
      </c>
      <c r="AK240" s="93">
        <f t="shared" si="101"/>
        <v>306</v>
      </c>
      <c r="AL240" s="89" t="str">
        <f t="shared" si="96"/>
        <v>'pass'</v>
      </c>
    </row>
    <row r="241" spans="1:38" x14ac:dyDescent="0.2">
      <c r="A241" s="79"/>
      <c r="B241" s="117" t="s">
        <v>2035</v>
      </c>
      <c r="C241" s="124">
        <v>0</v>
      </c>
      <c r="D241" s="119">
        <f t="shared" si="102"/>
        <v>0</v>
      </c>
      <c r="E241" s="121" t="s">
        <v>2044</v>
      </c>
      <c r="F241" s="120" t="s">
        <v>2037</v>
      </c>
      <c r="G241" s="122" t="s">
        <v>1987</v>
      </c>
      <c r="H241" s="121"/>
      <c r="I241" s="118" t="s">
        <v>2035</v>
      </c>
      <c r="J241" s="128">
        <v>25</v>
      </c>
      <c r="K241" s="131">
        <v>24769</v>
      </c>
      <c r="L241" s="131">
        <v>11671</v>
      </c>
      <c r="M241" s="131">
        <v>26197</v>
      </c>
      <c r="N241" s="131">
        <v>51577</v>
      </c>
      <c r="O241" s="131">
        <v>51577</v>
      </c>
      <c r="P241" s="105"/>
      <c r="Q241" s="91">
        <v>0.4</v>
      </c>
      <c r="R241" s="91"/>
      <c r="S241" s="104">
        <f t="shared" si="83"/>
        <v>10.315400000000002</v>
      </c>
      <c r="U241" s="93">
        <f t="shared" si="98"/>
        <v>7.4664506260043746</v>
      </c>
      <c r="V241" s="93">
        <v>306</v>
      </c>
      <c r="W241" s="93">
        <f t="shared" si="84"/>
        <v>7.4664506260043746</v>
      </c>
      <c r="X241" s="89">
        <f t="shared" si="85"/>
        <v>2.6886169639850664E-4</v>
      </c>
      <c r="Y241" s="93">
        <f t="shared" si="86"/>
        <v>0.73342971246337174</v>
      </c>
      <c r="Z241" s="92">
        <f t="shared" si="87"/>
        <v>8.1998803384677466</v>
      </c>
      <c r="AA241" s="93">
        <f t="shared" si="88"/>
        <v>0.1062104970709577</v>
      </c>
      <c r="AB241" s="93">
        <f t="shared" si="89"/>
        <v>8.3060908355387042</v>
      </c>
      <c r="AC241" s="93">
        <f t="shared" si="90"/>
        <v>1.5558075401957494E-2</v>
      </c>
      <c r="AD241" s="93">
        <f t="shared" si="91"/>
        <v>8.3216489109406613</v>
      </c>
      <c r="AE241" s="93">
        <f t="shared" si="92"/>
        <v>2.2789998812698256E-3</v>
      </c>
      <c r="AF241" s="92">
        <f t="shared" si="93"/>
        <v>8.3239279108219311</v>
      </c>
      <c r="AG241" s="93">
        <f t="shared" si="94"/>
        <v>3.3383566569004063E-4</v>
      </c>
      <c r="AH241" s="92">
        <f t="shared" si="95"/>
        <v>8.3242617464876218</v>
      </c>
      <c r="AI241" s="93">
        <f t="shared" si="100"/>
        <v>4.8901385471258318E-5</v>
      </c>
      <c r="AJ241" s="92">
        <f t="shared" si="99"/>
        <v>8.3243106478730926</v>
      </c>
      <c r="AK241" s="93">
        <f t="shared" si="101"/>
        <v>306</v>
      </c>
      <c r="AL241" s="89" t="str">
        <f t="shared" si="96"/>
        <v>'pass'</v>
      </c>
    </row>
    <row r="242" spans="1:38" x14ac:dyDescent="0.2">
      <c r="A242" s="79"/>
      <c r="B242" s="117" t="s">
        <v>2035</v>
      </c>
      <c r="C242" s="124">
        <v>0</v>
      </c>
      <c r="D242" s="119">
        <f t="shared" si="102"/>
        <v>0</v>
      </c>
      <c r="E242" s="121" t="s">
        <v>2045</v>
      </c>
      <c r="F242" s="120" t="s">
        <v>2037</v>
      </c>
      <c r="G242" s="122" t="s">
        <v>1989</v>
      </c>
      <c r="H242" s="121"/>
      <c r="I242" s="118" t="s">
        <v>2035</v>
      </c>
      <c r="J242" s="128">
        <v>25</v>
      </c>
      <c r="K242" s="131">
        <v>24769</v>
      </c>
      <c r="L242" s="131">
        <v>11671</v>
      </c>
      <c r="M242" s="131">
        <v>26197</v>
      </c>
      <c r="N242" s="131">
        <v>51577</v>
      </c>
      <c r="O242" s="131">
        <v>51577</v>
      </c>
      <c r="P242" s="105"/>
      <c r="Q242" s="91">
        <v>0.4</v>
      </c>
      <c r="R242" s="91"/>
      <c r="S242" s="104">
        <f t="shared" si="83"/>
        <v>10.315400000000002</v>
      </c>
      <c r="U242" s="93">
        <f t="shared" si="98"/>
        <v>7.4664506260043746</v>
      </c>
      <c r="V242" s="93">
        <v>306</v>
      </c>
      <c r="W242" s="93">
        <f t="shared" si="84"/>
        <v>7.4664506260043746</v>
      </c>
      <c r="X242" s="89">
        <f t="shared" si="85"/>
        <v>2.6886169639850664E-4</v>
      </c>
      <c r="Y242" s="93">
        <f t="shared" si="86"/>
        <v>0.73342971246337174</v>
      </c>
      <c r="Z242" s="92">
        <f t="shared" si="87"/>
        <v>8.1998803384677466</v>
      </c>
      <c r="AA242" s="93">
        <f t="shared" si="88"/>
        <v>0.1062104970709577</v>
      </c>
      <c r="AB242" s="93">
        <f t="shared" si="89"/>
        <v>8.3060908355387042</v>
      </c>
      <c r="AC242" s="93">
        <f t="shared" si="90"/>
        <v>1.5558075401957494E-2</v>
      </c>
      <c r="AD242" s="93">
        <f t="shared" si="91"/>
        <v>8.3216489109406613</v>
      </c>
      <c r="AE242" s="93">
        <f t="shared" si="92"/>
        <v>2.2789998812698256E-3</v>
      </c>
      <c r="AF242" s="92">
        <f t="shared" si="93"/>
        <v>8.3239279108219311</v>
      </c>
      <c r="AG242" s="93">
        <f t="shared" si="94"/>
        <v>3.3383566569004063E-4</v>
      </c>
      <c r="AH242" s="92">
        <f t="shared" si="95"/>
        <v>8.3242617464876218</v>
      </c>
      <c r="AI242" s="93">
        <f t="shared" si="100"/>
        <v>4.8901385471258318E-5</v>
      </c>
      <c r="AJ242" s="92">
        <f t="shared" si="99"/>
        <v>8.3243106478730926</v>
      </c>
      <c r="AK242" s="93">
        <f t="shared" si="101"/>
        <v>306</v>
      </c>
      <c r="AL242" s="89" t="str">
        <f t="shared" si="96"/>
        <v>'pass'</v>
      </c>
    </row>
    <row r="243" spans="1:38" x14ac:dyDescent="0.2">
      <c r="A243" s="79"/>
      <c r="B243" s="117" t="s">
        <v>2035</v>
      </c>
      <c r="C243" s="124">
        <v>0</v>
      </c>
      <c r="D243" s="119">
        <f t="shared" si="102"/>
        <v>0</v>
      </c>
      <c r="E243" s="121" t="s">
        <v>2046</v>
      </c>
      <c r="F243" s="120" t="s">
        <v>2037</v>
      </c>
      <c r="G243" s="122" t="s">
        <v>1991</v>
      </c>
      <c r="H243" s="121"/>
      <c r="I243" s="118" t="s">
        <v>2035</v>
      </c>
      <c r="J243" s="128">
        <v>25</v>
      </c>
      <c r="K243" s="131">
        <v>24769</v>
      </c>
      <c r="L243" s="131">
        <v>11671</v>
      </c>
      <c r="M243" s="131">
        <v>26197</v>
      </c>
      <c r="N243" s="131">
        <v>51577</v>
      </c>
      <c r="O243" s="131">
        <v>51577</v>
      </c>
      <c r="P243" s="105"/>
      <c r="Q243" s="91">
        <v>0.4</v>
      </c>
      <c r="R243" s="91"/>
      <c r="S243" s="104">
        <f t="shared" si="83"/>
        <v>10.315400000000002</v>
      </c>
      <c r="U243" s="93">
        <f t="shared" si="98"/>
        <v>7.4664506260043746</v>
      </c>
      <c r="V243" s="93">
        <v>306</v>
      </c>
      <c r="W243" s="93">
        <f t="shared" si="84"/>
        <v>7.4664506260043746</v>
      </c>
      <c r="X243" s="89">
        <f t="shared" si="85"/>
        <v>2.6886169639850664E-4</v>
      </c>
      <c r="Y243" s="93">
        <f t="shared" si="86"/>
        <v>0.73342971246337174</v>
      </c>
      <c r="Z243" s="92">
        <f t="shared" si="87"/>
        <v>8.1998803384677466</v>
      </c>
      <c r="AA243" s="93">
        <f t="shared" si="88"/>
        <v>0.1062104970709577</v>
      </c>
      <c r="AB243" s="93">
        <f t="shared" si="89"/>
        <v>8.3060908355387042</v>
      </c>
      <c r="AC243" s="93">
        <f t="shared" si="90"/>
        <v>1.5558075401957494E-2</v>
      </c>
      <c r="AD243" s="93">
        <f t="shared" si="91"/>
        <v>8.3216489109406613</v>
      </c>
      <c r="AE243" s="93">
        <f t="shared" si="92"/>
        <v>2.2789998812698256E-3</v>
      </c>
      <c r="AF243" s="92">
        <f t="shared" si="93"/>
        <v>8.3239279108219311</v>
      </c>
      <c r="AG243" s="93">
        <f t="shared" si="94"/>
        <v>3.3383566569004063E-4</v>
      </c>
      <c r="AH243" s="92">
        <f t="shared" si="95"/>
        <v>8.3242617464876218</v>
      </c>
      <c r="AI243" s="93">
        <f t="shared" si="100"/>
        <v>4.8901385471258318E-5</v>
      </c>
      <c r="AJ243" s="92">
        <f t="shared" si="99"/>
        <v>8.3243106478730926</v>
      </c>
      <c r="AK243" s="93">
        <f t="shared" si="101"/>
        <v>306</v>
      </c>
      <c r="AL243" s="89" t="str">
        <f t="shared" si="96"/>
        <v>'pass'</v>
      </c>
    </row>
    <row r="244" spans="1:38" x14ac:dyDescent="0.2">
      <c r="A244" s="79"/>
      <c r="B244" s="117" t="s">
        <v>2035</v>
      </c>
      <c r="C244" s="124">
        <v>0</v>
      </c>
      <c r="D244" s="119">
        <f t="shared" si="102"/>
        <v>0</v>
      </c>
      <c r="E244" s="121" t="s">
        <v>2047</v>
      </c>
      <c r="F244" s="120" t="s">
        <v>2037</v>
      </c>
      <c r="G244" s="122" t="s">
        <v>1993</v>
      </c>
      <c r="H244" s="121"/>
      <c r="I244" s="118" t="s">
        <v>2035</v>
      </c>
      <c r="J244" s="128">
        <v>25</v>
      </c>
      <c r="K244" s="131">
        <v>24769</v>
      </c>
      <c r="L244" s="131">
        <v>11671</v>
      </c>
      <c r="M244" s="131">
        <v>26197</v>
      </c>
      <c r="N244" s="131">
        <v>51577</v>
      </c>
      <c r="O244" s="131">
        <v>51577</v>
      </c>
      <c r="P244" s="105"/>
      <c r="Q244" s="91">
        <v>0.4</v>
      </c>
      <c r="R244" s="91"/>
      <c r="S244" s="104">
        <f t="shared" si="83"/>
        <v>10.315400000000002</v>
      </c>
      <c r="U244" s="93">
        <f t="shared" ref="U244:U272" si="103">+S244*$T$15</f>
        <v>7.4664506260043746</v>
      </c>
      <c r="V244" s="93">
        <v>306</v>
      </c>
      <c r="W244" s="93">
        <f t="shared" si="84"/>
        <v>7.4664506260043746</v>
      </c>
      <c r="X244" s="89">
        <f t="shared" si="85"/>
        <v>2.6886169639850664E-4</v>
      </c>
      <c r="Y244" s="93">
        <f t="shared" si="86"/>
        <v>0.73342971246337174</v>
      </c>
      <c r="Z244" s="92">
        <f t="shared" si="87"/>
        <v>8.1998803384677466</v>
      </c>
      <c r="AA244" s="93">
        <f t="shared" si="88"/>
        <v>0.1062104970709577</v>
      </c>
      <c r="AB244" s="93">
        <f t="shared" si="89"/>
        <v>8.3060908355387042</v>
      </c>
      <c r="AC244" s="93">
        <f t="shared" si="90"/>
        <v>1.5558075401957494E-2</v>
      </c>
      <c r="AD244" s="93">
        <f t="shared" si="91"/>
        <v>8.3216489109406613</v>
      </c>
      <c r="AE244" s="93">
        <f t="shared" si="92"/>
        <v>2.2789998812698256E-3</v>
      </c>
      <c r="AF244" s="92">
        <f t="shared" si="93"/>
        <v>8.3239279108219311</v>
      </c>
      <c r="AG244" s="93">
        <f t="shared" si="94"/>
        <v>3.3383566569004063E-4</v>
      </c>
      <c r="AH244" s="92">
        <f t="shared" si="95"/>
        <v>8.3242617464876218</v>
      </c>
      <c r="AI244" s="93">
        <f t="shared" si="100"/>
        <v>4.8901385471258318E-5</v>
      </c>
      <c r="AJ244" s="92">
        <f t="shared" ref="AJ244:AJ272" si="104">IF(AH244+AI244&gt;V244,V244,AH244+AI244)</f>
        <v>8.3243106478730926</v>
      </c>
      <c r="AK244" s="93">
        <f t="shared" si="101"/>
        <v>306</v>
      </c>
      <c r="AL244" s="89" t="str">
        <f t="shared" si="96"/>
        <v>'pass'</v>
      </c>
    </row>
    <row r="245" spans="1:38" x14ac:dyDescent="0.2">
      <c r="A245" s="79"/>
      <c r="B245" s="117" t="s">
        <v>2035</v>
      </c>
      <c r="C245" s="124">
        <v>0</v>
      </c>
      <c r="D245" s="119">
        <f t="shared" si="102"/>
        <v>0</v>
      </c>
      <c r="E245" s="121" t="s">
        <v>2048</v>
      </c>
      <c r="F245" s="120" t="s">
        <v>2037</v>
      </c>
      <c r="G245" s="122" t="s">
        <v>1995</v>
      </c>
      <c r="H245" s="121"/>
      <c r="I245" s="118" t="s">
        <v>2035</v>
      </c>
      <c r="J245" s="128">
        <v>25</v>
      </c>
      <c r="K245" s="131">
        <v>24769</v>
      </c>
      <c r="L245" s="131">
        <v>11671</v>
      </c>
      <c r="M245" s="131">
        <v>26197</v>
      </c>
      <c r="N245" s="131">
        <v>51577</v>
      </c>
      <c r="O245" s="131">
        <v>51577</v>
      </c>
      <c r="P245" s="105"/>
      <c r="Q245" s="91">
        <v>0.4</v>
      </c>
      <c r="R245" s="91"/>
      <c r="S245" s="104">
        <f t="shared" si="83"/>
        <v>10.315400000000002</v>
      </c>
      <c r="U245" s="93">
        <f t="shared" si="103"/>
        <v>7.4664506260043746</v>
      </c>
      <c r="V245" s="93">
        <v>306</v>
      </c>
      <c r="W245" s="93">
        <f t="shared" si="84"/>
        <v>7.4664506260043746</v>
      </c>
      <c r="X245" s="89">
        <f t="shared" si="85"/>
        <v>2.6886169639850664E-4</v>
      </c>
      <c r="Y245" s="93">
        <f t="shared" si="86"/>
        <v>0.73342971246337174</v>
      </c>
      <c r="Z245" s="92">
        <f t="shared" si="87"/>
        <v>8.1998803384677466</v>
      </c>
      <c r="AA245" s="93">
        <f t="shared" si="88"/>
        <v>0.1062104970709577</v>
      </c>
      <c r="AB245" s="93">
        <f t="shared" si="89"/>
        <v>8.3060908355387042</v>
      </c>
      <c r="AC245" s="93">
        <f t="shared" si="90"/>
        <v>1.5558075401957494E-2</v>
      </c>
      <c r="AD245" s="93">
        <f t="shared" si="91"/>
        <v>8.3216489109406613</v>
      </c>
      <c r="AE245" s="93">
        <f t="shared" si="92"/>
        <v>2.2789998812698256E-3</v>
      </c>
      <c r="AF245" s="92">
        <f t="shared" si="93"/>
        <v>8.3239279108219311</v>
      </c>
      <c r="AG245" s="93">
        <f t="shared" si="94"/>
        <v>3.3383566569004063E-4</v>
      </c>
      <c r="AH245" s="92">
        <f t="shared" si="95"/>
        <v>8.3242617464876218</v>
      </c>
      <c r="AI245" s="93">
        <f t="shared" si="100"/>
        <v>4.8901385471258318E-5</v>
      </c>
      <c r="AJ245" s="92">
        <f t="shared" si="104"/>
        <v>8.3243106478730926</v>
      </c>
      <c r="AK245" s="93">
        <f t="shared" si="101"/>
        <v>306</v>
      </c>
      <c r="AL245" s="89" t="str">
        <f t="shared" si="96"/>
        <v>'pass'</v>
      </c>
    </row>
    <row r="246" spans="1:38" x14ac:dyDescent="0.2">
      <c r="A246" s="79"/>
      <c r="B246" s="117" t="s">
        <v>2035</v>
      </c>
      <c r="C246" s="124">
        <v>0</v>
      </c>
      <c r="D246" s="119">
        <f t="shared" si="102"/>
        <v>0</v>
      </c>
      <c r="E246" s="121" t="s">
        <v>2049</v>
      </c>
      <c r="F246" s="120" t="s">
        <v>2037</v>
      </c>
      <c r="G246" s="122" t="s">
        <v>1997</v>
      </c>
      <c r="H246" s="121"/>
      <c r="I246" s="118" t="s">
        <v>2035</v>
      </c>
      <c r="J246" s="128">
        <v>25</v>
      </c>
      <c r="K246" s="131">
        <v>24769</v>
      </c>
      <c r="L246" s="131">
        <v>11671</v>
      </c>
      <c r="M246" s="131">
        <v>26197</v>
      </c>
      <c r="N246" s="131">
        <v>51577</v>
      </c>
      <c r="O246" s="131">
        <v>51577</v>
      </c>
      <c r="P246" s="105"/>
      <c r="Q246" s="91">
        <v>0.4</v>
      </c>
      <c r="R246" s="91"/>
      <c r="S246" s="104">
        <f t="shared" si="83"/>
        <v>10.315400000000002</v>
      </c>
      <c r="U246" s="93">
        <f t="shared" si="103"/>
        <v>7.4664506260043746</v>
      </c>
      <c r="V246" s="93">
        <v>306</v>
      </c>
      <c r="W246" s="93">
        <f t="shared" si="84"/>
        <v>7.4664506260043746</v>
      </c>
      <c r="X246" s="89">
        <f t="shared" si="85"/>
        <v>2.6886169639850664E-4</v>
      </c>
      <c r="Y246" s="93">
        <f t="shared" si="86"/>
        <v>0.73342971246337174</v>
      </c>
      <c r="Z246" s="92">
        <f t="shared" si="87"/>
        <v>8.1998803384677466</v>
      </c>
      <c r="AA246" s="93">
        <f t="shared" si="88"/>
        <v>0.1062104970709577</v>
      </c>
      <c r="AB246" s="93">
        <f t="shared" si="89"/>
        <v>8.3060908355387042</v>
      </c>
      <c r="AC246" s="93">
        <f t="shared" si="90"/>
        <v>1.5558075401957494E-2</v>
      </c>
      <c r="AD246" s="93">
        <f t="shared" si="91"/>
        <v>8.3216489109406613</v>
      </c>
      <c r="AE246" s="93">
        <f t="shared" si="92"/>
        <v>2.2789998812698256E-3</v>
      </c>
      <c r="AF246" s="92">
        <f t="shared" si="93"/>
        <v>8.3239279108219311</v>
      </c>
      <c r="AG246" s="93">
        <f t="shared" si="94"/>
        <v>3.3383566569004063E-4</v>
      </c>
      <c r="AH246" s="92">
        <f t="shared" si="95"/>
        <v>8.3242617464876218</v>
      </c>
      <c r="AI246" s="93">
        <f t="shared" si="100"/>
        <v>4.8901385471258318E-5</v>
      </c>
      <c r="AJ246" s="92">
        <f t="shared" si="104"/>
        <v>8.3243106478730926</v>
      </c>
      <c r="AK246" s="93">
        <f t="shared" si="101"/>
        <v>306</v>
      </c>
      <c r="AL246" s="89" t="str">
        <f t="shared" si="96"/>
        <v>'pass'</v>
      </c>
    </row>
    <row r="247" spans="1:38" x14ac:dyDescent="0.2">
      <c r="A247" s="79"/>
      <c r="B247" s="117" t="s">
        <v>2035</v>
      </c>
      <c r="C247" s="124">
        <v>0</v>
      </c>
      <c r="D247" s="119">
        <f t="shared" si="102"/>
        <v>0</v>
      </c>
      <c r="E247" s="121" t="s">
        <v>2050</v>
      </c>
      <c r="F247" s="120" t="s">
        <v>2037</v>
      </c>
      <c r="G247" s="122" t="s">
        <v>1999</v>
      </c>
      <c r="H247" s="121"/>
      <c r="I247" s="118" t="s">
        <v>2035</v>
      </c>
      <c r="J247" s="128">
        <v>25</v>
      </c>
      <c r="K247" s="131">
        <v>24769</v>
      </c>
      <c r="L247" s="131">
        <v>11671</v>
      </c>
      <c r="M247" s="131">
        <v>26197</v>
      </c>
      <c r="N247" s="131">
        <v>51577</v>
      </c>
      <c r="O247" s="131">
        <v>51577</v>
      </c>
      <c r="P247" s="105"/>
      <c r="Q247" s="91">
        <v>0.4</v>
      </c>
      <c r="R247" s="91"/>
      <c r="S247" s="104">
        <f t="shared" si="83"/>
        <v>10.315400000000002</v>
      </c>
      <c r="U247" s="93">
        <f t="shared" si="103"/>
        <v>7.4664506260043746</v>
      </c>
      <c r="V247" s="93">
        <v>306</v>
      </c>
      <c r="W247" s="93">
        <f t="shared" si="84"/>
        <v>7.4664506260043746</v>
      </c>
      <c r="X247" s="89">
        <f t="shared" si="85"/>
        <v>2.6886169639850664E-4</v>
      </c>
      <c r="Y247" s="93">
        <f t="shared" si="86"/>
        <v>0.73342971246337174</v>
      </c>
      <c r="Z247" s="92">
        <f t="shared" si="87"/>
        <v>8.1998803384677466</v>
      </c>
      <c r="AA247" s="93">
        <f t="shared" si="88"/>
        <v>0.1062104970709577</v>
      </c>
      <c r="AB247" s="93">
        <f t="shared" si="89"/>
        <v>8.3060908355387042</v>
      </c>
      <c r="AC247" s="93">
        <f t="shared" si="90"/>
        <v>1.5558075401957494E-2</v>
      </c>
      <c r="AD247" s="93">
        <f t="shared" si="91"/>
        <v>8.3216489109406613</v>
      </c>
      <c r="AE247" s="93">
        <f t="shared" si="92"/>
        <v>2.2789998812698256E-3</v>
      </c>
      <c r="AF247" s="92">
        <f t="shared" si="93"/>
        <v>8.3239279108219311</v>
      </c>
      <c r="AG247" s="93">
        <f t="shared" si="94"/>
        <v>3.3383566569004063E-4</v>
      </c>
      <c r="AH247" s="92">
        <f t="shared" si="95"/>
        <v>8.3242617464876218</v>
      </c>
      <c r="AI247" s="93">
        <f t="shared" si="100"/>
        <v>4.8901385471258318E-5</v>
      </c>
      <c r="AJ247" s="92">
        <f t="shared" si="104"/>
        <v>8.3243106478730926</v>
      </c>
      <c r="AK247" s="93">
        <f t="shared" si="101"/>
        <v>306</v>
      </c>
      <c r="AL247" s="89" t="str">
        <f t="shared" si="96"/>
        <v>'pass'</v>
      </c>
    </row>
    <row r="248" spans="1:38" x14ac:dyDescent="0.2">
      <c r="A248" s="79"/>
      <c r="B248" s="117" t="s">
        <v>2035</v>
      </c>
      <c r="C248" s="124">
        <v>0</v>
      </c>
      <c r="D248" s="119">
        <f t="shared" si="102"/>
        <v>0</v>
      </c>
      <c r="E248" s="121" t="s">
        <v>2051</v>
      </c>
      <c r="F248" s="120" t="s">
        <v>2037</v>
      </c>
      <c r="G248" s="122" t="s">
        <v>2001</v>
      </c>
      <c r="H248" s="121"/>
      <c r="I248" s="118" t="s">
        <v>2035</v>
      </c>
      <c r="J248" s="128">
        <v>25</v>
      </c>
      <c r="K248" s="131">
        <v>24769</v>
      </c>
      <c r="L248" s="131">
        <v>11671</v>
      </c>
      <c r="M248" s="131">
        <v>26197</v>
      </c>
      <c r="N248" s="131">
        <v>51577</v>
      </c>
      <c r="O248" s="131">
        <v>51577</v>
      </c>
      <c r="P248" s="105"/>
      <c r="Q248" s="91">
        <v>0.4</v>
      </c>
      <c r="R248" s="91"/>
      <c r="S248" s="104">
        <f t="shared" si="83"/>
        <v>10.315400000000002</v>
      </c>
      <c r="U248" s="93">
        <f t="shared" si="103"/>
        <v>7.4664506260043746</v>
      </c>
      <c r="V248" s="93">
        <v>306</v>
      </c>
      <c r="W248" s="93">
        <f t="shared" si="84"/>
        <v>7.4664506260043746</v>
      </c>
      <c r="X248" s="89">
        <f t="shared" si="85"/>
        <v>2.6886169639850664E-4</v>
      </c>
      <c r="Y248" s="93">
        <f t="shared" si="86"/>
        <v>0.73342971246337174</v>
      </c>
      <c r="Z248" s="92">
        <f t="shared" si="87"/>
        <v>8.1998803384677466</v>
      </c>
      <c r="AA248" s="93">
        <f t="shared" si="88"/>
        <v>0.1062104970709577</v>
      </c>
      <c r="AB248" s="93">
        <f t="shared" si="89"/>
        <v>8.3060908355387042</v>
      </c>
      <c r="AC248" s="93">
        <f t="shared" si="90"/>
        <v>1.5558075401957494E-2</v>
      </c>
      <c r="AD248" s="93">
        <f t="shared" si="91"/>
        <v>8.3216489109406613</v>
      </c>
      <c r="AE248" s="93">
        <f t="shared" si="92"/>
        <v>2.2789998812698256E-3</v>
      </c>
      <c r="AF248" s="92">
        <f t="shared" si="93"/>
        <v>8.3239279108219311</v>
      </c>
      <c r="AG248" s="93">
        <f t="shared" si="94"/>
        <v>3.3383566569004063E-4</v>
      </c>
      <c r="AH248" s="92">
        <f t="shared" si="95"/>
        <v>8.3242617464876218</v>
      </c>
      <c r="AI248" s="93">
        <f t="shared" si="100"/>
        <v>4.8901385471258318E-5</v>
      </c>
      <c r="AJ248" s="92">
        <f t="shared" si="104"/>
        <v>8.3243106478730926</v>
      </c>
      <c r="AK248" s="93">
        <f t="shared" si="101"/>
        <v>306</v>
      </c>
      <c r="AL248" s="89" t="str">
        <f t="shared" si="96"/>
        <v>'pass'</v>
      </c>
    </row>
    <row r="249" spans="1:38" x14ac:dyDescent="0.2">
      <c r="A249" s="79"/>
      <c r="B249" s="117" t="s">
        <v>2035</v>
      </c>
      <c r="C249" s="124">
        <v>0</v>
      </c>
      <c r="D249" s="119">
        <f t="shared" si="102"/>
        <v>0</v>
      </c>
      <c r="E249" s="121" t="s">
        <v>2052</v>
      </c>
      <c r="F249" s="120" t="s">
        <v>2037</v>
      </c>
      <c r="G249" s="122" t="s">
        <v>2003</v>
      </c>
      <c r="H249" s="121"/>
      <c r="I249" s="118" t="s">
        <v>2035</v>
      </c>
      <c r="J249" s="128">
        <v>25</v>
      </c>
      <c r="K249" s="131">
        <v>24769</v>
      </c>
      <c r="L249" s="131">
        <v>11671</v>
      </c>
      <c r="M249" s="131">
        <v>26197</v>
      </c>
      <c r="N249" s="131">
        <v>51577</v>
      </c>
      <c r="O249" s="131">
        <v>51577</v>
      </c>
      <c r="P249" s="105"/>
      <c r="Q249" s="91">
        <v>0.4</v>
      </c>
      <c r="R249" s="91"/>
      <c r="S249" s="104">
        <f t="shared" si="83"/>
        <v>10.315400000000002</v>
      </c>
      <c r="U249" s="93">
        <f t="shared" si="103"/>
        <v>7.4664506260043746</v>
      </c>
      <c r="V249" s="93">
        <v>306</v>
      </c>
      <c r="W249" s="93">
        <f t="shared" si="84"/>
        <v>7.4664506260043746</v>
      </c>
      <c r="X249" s="89">
        <f t="shared" si="85"/>
        <v>2.6886169639850664E-4</v>
      </c>
      <c r="Y249" s="93">
        <f t="shared" si="86"/>
        <v>0.73342971246337174</v>
      </c>
      <c r="Z249" s="92">
        <f t="shared" si="87"/>
        <v>8.1998803384677466</v>
      </c>
      <c r="AA249" s="93">
        <f t="shared" si="88"/>
        <v>0.1062104970709577</v>
      </c>
      <c r="AB249" s="93">
        <f t="shared" si="89"/>
        <v>8.3060908355387042</v>
      </c>
      <c r="AC249" s="93">
        <f t="shared" si="90"/>
        <v>1.5558075401957494E-2</v>
      </c>
      <c r="AD249" s="93">
        <f t="shared" si="91"/>
        <v>8.3216489109406613</v>
      </c>
      <c r="AE249" s="93">
        <f t="shared" si="92"/>
        <v>2.2789998812698256E-3</v>
      </c>
      <c r="AF249" s="92">
        <f t="shared" si="93"/>
        <v>8.3239279108219311</v>
      </c>
      <c r="AG249" s="93">
        <f t="shared" si="94"/>
        <v>3.3383566569004063E-4</v>
      </c>
      <c r="AH249" s="92">
        <f t="shared" si="95"/>
        <v>8.3242617464876218</v>
      </c>
      <c r="AI249" s="93">
        <f t="shared" si="100"/>
        <v>4.8901385471258318E-5</v>
      </c>
      <c r="AJ249" s="92">
        <f t="shared" si="104"/>
        <v>8.3243106478730926</v>
      </c>
      <c r="AK249" s="93">
        <f t="shared" si="101"/>
        <v>306</v>
      </c>
      <c r="AL249" s="89" t="str">
        <f t="shared" si="96"/>
        <v>'pass'</v>
      </c>
    </row>
    <row r="250" spans="1:38" x14ac:dyDescent="0.2">
      <c r="A250" s="79"/>
      <c r="B250" s="117" t="s">
        <v>2035</v>
      </c>
      <c r="C250" s="124">
        <v>0</v>
      </c>
      <c r="D250" s="119">
        <f t="shared" si="102"/>
        <v>0</v>
      </c>
      <c r="E250" s="121" t="s">
        <v>2053</v>
      </c>
      <c r="F250" s="120" t="s">
        <v>2037</v>
      </c>
      <c r="G250" s="122" t="s">
        <v>2005</v>
      </c>
      <c r="H250" s="121"/>
      <c r="I250" s="118" t="s">
        <v>2035</v>
      </c>
      <c r="J250" s="128">
        <v>25</v>
      </c>
      <c r="K250" s="131">
        <v>24769</v>
      </c>
      <c r="L250" s="131">
        <v>11671</v>
      </c>
      <c r="M250" s="131">
        <v>26197</v>
      </c>
      <c r="N250" s="131">
        <v>51577</v>
      </c>
      <c r="O250" s="131">
        <v>51577</v>
      </c>
      <c r="P250" s="105"/>
      <c r="Q250" s="91">
        <v>0.4</v>
      </c>
      <c r="R250" s="91"/>
      <c r="S250" s="104">
        <f t="shared" si="83"/>
        <v>10.315400000000002</v>
      </c>
      <c r="U250" s="93">
        <f t="shared" si="103"/>
        <v>7.4664506260043746</v>
      </c>
      <c r="V250" s="93">
        <v>306</v>
      </c>
      <c r="W250" s="93">
        <f t="shared" si="84"/>
        <v>7.4664506260043746</v>
      </c>
      <c r="X250" s="89">
        <f t="shared" si="85"/>
        <v>2.6886169639850664E-4</v>
      </c>
      <c r="Y250" s="93">
        <f t="shared" si="86"/>
        <v>0.73342971246337174</v>
      </c>
      <c r="Z250" s="92">
        <f t="shared" si="87"/>
        <v>8.1998803384677466</v>
      </c>
      <c r="AA250" s="93">
        <f t="shared" si="88"/>
        <v>0.1062104970709577</v>
      </c>
      <c r="AB250" s="93">
        <f t="shared" si="89"/>
        <v>8.3060908355387042</v>
      </c>
      <c r="AC250" s="93">
        <f t="shared" si="90"/>
        <v>1.5558075401957494E-2</v>
      </c>
      <c r="AD250" s="93">
        <f t="shared" si="91"/>
        <v>8.3216489109406613</v>
      </c>
      <c r="AE250" s="93">
        <f t="shared" si="92"/>
        <v>2.2789998812698256E-3</v>
      </c>
      <c r="AF250" s="92">
        <f t="shared" si="93"/>
        <v>8.3239279108219311</v>
      </c>
      <c r="AG250" s="93">
        <f t="shared" si="94"/>
        <v>3.3383566569004063E-4</v>
      </c>
      <c r="AH250" s="92">
        <f t="shared" si="95"/>
        <v>8.3242617464876218</v>
      </c>
      <c r="AI250" s="93">
        <f t="shared" si="100"/>
        <v>4.8901385471258318E-5</v>
      </c>
      <c r="AJ250" s="92">
        <f t="shared" si="104"/>
        <v>8.3243106478730926</v>
      </c>
      <c r="AK250" s="93">
        <f t="shared" si="101"/>
        <v>306</v>
      </c>
      <c r="AL250" s="89" t="str">
        <f t="shared" si="96"/>
        <v>'pass'</v>
      </c>
    </row>
    <row r="251" spans="1:38" x14ac:dyDescent="0.2">
      <c r="A251" s="79"/>
      <c r="B251" s="117" t="s">
        <v>2035</v>
      </c>
      <c r="C251" s="124">
        <v>0</v>
      </c>
      <c r="D251" s="119">
        <f t="shared" si="102"/>
        <v>0</v>
      </c>
      <c r="E251" s="121" t="s">
        <v>2054</v>
      </c>
      <c r="F251" s="120" t="s">
        <v>2037</v>
      </c>
      <c r="G251" s="122" t="s">
        <v>2007</v>
      </c>
      <c r="H251" s="121"/>
      <c r="I251" s="118" t="s">
        <v>2035</v>
      </c>
      <c r="J251" s="128">
        <v>25</v>
      </c>
      <c r="K251" s="131">
        <v>24769</v>
      </c>
      <c r="L251" s="131">
        <v>11671</v>
      </c>
      <c r="M251" s="131">
        <v>26197</v>
      </c>
      <c r="N251" s="131">
        <v>51577</v>
      </c>
      <c r="O251" s="131">
        <v>51577</v>
      </c>
      <c r="P251" s="105"/>
      <c r="Q251" s="91">
        <v>0.4</v>
      </c>
      <c r="R251" s="91"/>
      <c r="S251" s="104">
        <f t="shared" si="83"/>
        <v>10.315400000000002</v>
      </c>
      <c r="U251" s="93">
        <f t="shared" si="103"/>
        <v>7.4664506260043746</v>
      </c>
      <c r="V251" s="93">
        <v>306</v>
      </c>
      <c r="W251" s="93">
        <f t="shared" si="84"/>
        <v>7.4664506260043746</v>
      </c>
      <c r="X251" s="89">
        <f t="shared" si="85"/>
        <v>2.6886169639850664E-4</v>
      </c>
      <c r="Y251" s="93">
        <f t="shared" si="86"/>
        <v>0.73342971246337174</v>
      </c>
      <c r="Z251" s="92">
        <f t="shared" si="87"/>
        <v>8.1998803384677466</v>
      </c>
      <c r="AA251" s="93">
        <f t="shared" si="88"/>
        <v>0.1062104970709577</v>
      </c>
      <c r="AB251" s="93">
        <f t="shared" si="89"/>
        <v>8.3060908355387042</v>
      </c>
      <c r="AC251" s="93">
        <f t="shared" si="90"/>
        <v>1.5558075401957494E-2</v>
      </c>
      <c r="AD251" s="93">
        <f t="shared" si="91"/>
        <v>8.3216489109406613</v>
      </c>
      <c r="AE251" s="93">
        <f t="shared" si="92"/>
        <v>2.2789998812698256E-3</v>
      </c>
      <c r="AF251" s="92">
        <f t="shared" si="93"/>
        <v>8.3239279108219311</v>
      </c>
      <c r="AG251" s="93">
        <f t="shared" si="94"/>
        <v>3.3383566569004063E-4</v>
      </c>
      <c r="AH251" s="92">
        <f t="shared" si="95"/>
        <v>8.3242617464876218</v>
      </c>
      <c r="AI251" s="93">
        <f t="shared" si="100"/>
        <v>4.8901385471258318E-5</v>
      </c>
      <c r="AJ251" s="92">
        <f t="shared" si="104"/>
        <v>8.3243106478730926</v>
      </c>
      <c r="AK251" s="93">
        <f t="shared" si="101"/>
        <v>306</v>
      </c>
      <c r="AL251" s="89" t="str">
        <f t="shared" si="96"/>
        <v>'pass'</v>
      </c>
    </row>
    <row r="252" spans="1:38" x14ac:dyDescent="0.2">
      <c r="A252" s="79"/>
      <c r="B252" s="117" t="s">
        <v>2035</v>
      </c>
      <c r="C252" s="124">
        <v>0</v>
      </c>
      <c r="D252" s="119">
        <f t="shared" si="102"/>
        <v>0</v>
      </c>
      <c r="E252" s="121" t="s">
        <v>2055</v>
      </c>
      <c r="F252" s="120" t="s">
        <v>2037</v>
      </c>
      <c r="G252" s="122" t="s">
        <v>2009</v>
      </c>
      <c r="H252" s="121"/>
      <c r="I252" s="118" t="s">
        <v>2035</v>
      </c>
      <c r="J252" s="128">
        <v>25</v>
      </c>
      <c r="K252" s="131">
        <v>24769</v>
      </c>
      <c r="L252" s="131">
        <v>11671</v>
      </c>
      <c r="M252" s="131">
        <v>26197</v>
      </c>
      <c r="N252" s="131">
        <v>51577</v>
      </c>
      <c r="O252" s="131">
        <v>51577</v>
      </c>
      <c r="P252" s="105"/>
      <c r="Q252" s="91">
        <v>0.4</v>
      </c>
      <c r="R252" s="91"/>
      <c r="S252" s="104">
        <f t="shared" si="83"/>
        <v>10.315400000000002</v>
      </c>
      <c r="U252" s="93">
        <f t="shared" si="103"/>
        <v>7.4664506260043746</v>
      </c>
      <c r="V252" s="93">
        <v>306</v>
      </c>
      <c r="W252" s="93">
        <f t="shared" si="84"/>
        <v>7.4664506260043746</v>
      </c>
      <c r="X252" s="89">
        <f t="shared" si="85"/>
        <v>2.6886169639850664E-4</v>
      </c>
      <c r="Y252" s="93">
        <f t="shared" si="86"/>
        <v>0.73342971246337174</v>
      </c>
      <c r="Z252" s="92">
        <f t="shared" si="87"/>
        <v>8.1998803384677466</v>
      </c>
      <c r="AA252" s="93">
        <f t="shared" si="88"/>
        <v>0.1062104970709577</v>
      </c>
      <c r="AB252" s="93">
        <f t="shared" si="89"/>
        <v>8.3060908355387042</v>
      </c>
      <c r="AC252" s="93">
        <f t="shared" si="90"/>
        <v>1.5558075401957494E-2</v>
      </c>
      <c r="AD252" s="93">
        <f t="shared" si="91"/>
        <v>8.3216489109406613</v>
      </c>
      <c r="AE252" s="93">
        <f t="shared" si="92"/>
        <v>2.2789998812698256E-3</v>
      </c>
      <c r="AF252" s="92">
        <f t="shared" si="93"/>
        <v>8.3239279108219311</v>
      </c>
      <c r="AG252" s="93">
        <f t="shared" si="94"/>
        <v>3.3383566569004063E-4</v>
      </c>
      <c r="AH252" s="92">
        <f t="shared" si="95"/>
        <v>8.3242617464876218</v>
      </c>
      <c r="AI252" s="93">
        <f t="shared" ref="AI252:AI288" si="105">+X252*$AI$16</f>
        <v>4.8901385471258318E-5</v>
      </c>
      <c r="AJ252" s="92">
        <f t="shared" si="104"/>
        <v>8.3243106478730926</v>
      </c>
      <c r="AK252" s="93">
        <f t="shared" ref="AK252:AK288" si="106">+V252</f>
        <v>306</v>
      </c>
      <c r="AL252" s="89" t="str">
        <f t="shared" si="96"/>
        <v>'pass'</v>
      </c>
    </row>
    <row r="253" spans="1:38" x14ac:dyDescent="0.2">
      <c r="A253" s="79"/>
      <c r="B253" s="117" t="s">
        <v>2035</v>
      </c>
      <c r="C253" s="124">
        <v>0</v>
      </c>
      <c r="D253" s="119">
        <f t="shared" si="102"/>
        <v>0</v>
      </c>
      <c r="E253" s="121" t="s">
        <v>2056</v>
      </c>
      <c r="F253" s="120" t="s">
        <v>2037</v>
      </c>
      <c r="G253" s="122" t="s">
        <v>2011</v>
      </c>
      <c r="H253" s="121"/>
      <c r="I253" s="118" t="s">
        <v>2035</v>
      </c>
      <c r="J253" s="128">
        <v>25</v>
      </c>
      <c r="K253" s="131">
        <v>24769</v>
      </c>
      <c r="L253" s="131">
        <v>11671</v>
      </c>
      <c r="M253" s="131">
        <v>26197</v>
      </c>
      <c r="N253" s="131">
        <v>51577</v>
      </c>
      <c r="O253" s="131">
        <v>51577</v>
      </c>
      <c r="P253" s="105"/>
      <c r="Q253" s="91">
        <v>0.4</v>
      </c>
      <c r="R253" s="91"/>
      <c r="S253" s="104">
        <f t="shared" si="83"/>
        <v>10.315400000000002</v>
      </c>
      <c r="U253" s="93">
        <f t="shared" si="103"/>
        <v>7.4664506260043746</v>
      </c>
      <c r="V253" s="93">
        <v>306</v>
      </c>
      <c r="W253" s="93">
        <f t="shared" si="84"/>
        <v>7.4664506260043746</v>
      </c>
      <c r="X253" s="89">
        <f t="shared" si="85"/>
        <v>2.6886169639850664E-4</v>
      </c>
      <c r="Y253" s="93">
        <f t="shared" si="86"/>
        <v>0.73342971246337174</v>
      </c>
      <c r="Z253" s="92">
        <f t="shared" si="87"/>
        <v>8.1998803384677466</v>
      </c>
      <c r="AA253" s="93">
        <f t="shared" si="88"/>
        <v>0.1062104970709577</v>
      </c>
      <c r="AB253" s="93">
        <f t="shared" si="89"/>
        <v>8.3060908355387042</v>
      </c>
      <c r="AC253" s="93">
        <f t="shared" si="90"/>
        <v>1.5558075401957494E-2</v>
      </c>
      <c r="AD253" s="93">
        <f t="shared" si="91"/>
        <v>8.3216489109406613</v>
      </c>
      <c r="AE253" s="93">
        <f t="shared" si="92"/>
        <v>2.2789998812698256E-3</v>
      </c>
      <c r="AF253" s="92">
        <f t="shared" si="93"/>
        <v>8.3239279108219311</v>
      </c>
      <c r="AG253" s="93">
        <f t="shared" si="94"/>
        <v>3.3383566569004063E-4</v>
      </c>
      <c r="AH253" s="92">
        <f t="shared" si="95"/>
        <v>8.3242617464876218</v>
      </c>
      <c r="AI253" s="93">
        <f t="shared" si="105"/>
        <v>4.8901385471258318E-5</v>
      </c>
      <c r="AJ253" s="92">
        <f t="shared" si="104"/>
        <v>8.3243106478730926</v>
      </c>
      <c r="AK253" s="93">
        <f t="shared" si="106"/>
        <v>306</v>
      </c>
      <c r="AL253" s="89" t="str">
        <f t="shared" si="96"/>
        <v>'pass'</v>
      </c>
    </row>
    <row r="254" spans="1:38" x14ac:dyDescent="0.2">
      <c r="A254" s="79"/>
      <c r="B254" s="117" t="s">
        <v>2035</v>
      </c>
      <c r="C254" s="124">
        <v>0</v>
      </c>
      <c r="D254" s="119">
        <f t="shared" si="102"/>
        <v>0</v>
      </c>
      <c r="E254" s="121" t="s">
        <v>2057</v>
      </c>
      <c r="F254" s="120" t="s">
        <v>2037</v>
      </c>
      <c r="G254" s="122" t="s">
        <v>2013</v>
      </c>
      <c r="H254" s="121"/>
      <c r="I254" s="118" t="s">
        <v>2035</v>
      </c>
      <c r="J254" s="128">
        <v>25</v>
      </c>
      <c r="K254" s="131">
        <v>24769</v>
      </c>
      <c r="L254" s="131">
        <v>11671</v>
      </c>
      <c r="M254" s="131">
        <v>26197</v>
      </c>
      <c r="N254" s="131">
        <v>51577</v>
      </c>
      <c r="O254" s="131">
        <v>51577</v>
      </c>
      <c r="P254" s="105"/>
      <c r="Q254" s="91">
        <v>0.4</v>
      </c>
      <c r="R254" s="91"/>
      <c r="S254" s="104">
        <f t="shared" si="83"/>
        <v>10.315400000000002</v>
      </c>
      <c r="U254" s="93">
        <f t="shared" si="103"/>
        <v>7.4664506260043746</v>
      </c>
      <c r="V254" s="93">
        <v>306</v>
      </c>
      <c r="W254" s="93">
        <f t="shared" si="84"/>
        <v>7.4664506260043746</v>
      </c>
      <c r="X254" s="89">
        <f t="shared" si="85"/>
        <v>2.6886169639850664E-4</v>
      </c>
      <c r="Y254" s="93">
        <f t="shared" si="86"/>
        <v>0.73342971246337174</v>
      </c>
      <c r="Z254" s="92">
        <f t="shared" si="87"/>
        <v>8.1998803384677466</v>
      </c>
      <c r="AA254" s="93">
        <f t="shared" si="88"/>
        <v>0.1062104970709577</v>
      </c>
      <c r="AB254" s="93">
        <f t="shared" si="89"/>
        <v>8.3060908355387042</v>
      </c>
      <c r="AC254" s="93">
        <f t="shared" si="90"/>
        <v>1.5558075401957494E-2</v>
      </c>
      <c r="AD254" s="93">
        <f t="shared" si="91"/>
        <v>8.3216489109406613</v>
      </c>
      <c r="AE254" s="93">
        <f t="shared" si="92"/>
        <v>2.2789998812698256E-3</v>
      </c>
      <c r="AF254" s="92">
        <f t="shared" si="93"/>
        <v>8.3239279108219311</v>
      </c>
      <c r="AG254" s="93">
        <f t="shared" si="94"/>
        <v>3.3383566569004063E-4</v>
      </c>
      <c r="AH254" s="92">
        <f t="shared" si="95"/>
        <v>8.3242617464876218</v>
      </c>
      <c r="AI254" s="93">
        <f t="shared" si="105"/>
        <v>4.8901385471258318E-5</v>
      </c>
      <c r="AJ254" s="92">
        <f t="shared" si="104"/>
        <v>8.3243106478730926</v>
      </c>
      <c r="AK254" s="93">
        <f t="shared" si="106"/>
        <v>306</v>
      </c>
      <c r="AL254" s="89" t="str">
        <f t="shared" si="96"/>
        <v>'pass'</v>
      </c>
    </row>
    <row r="255" spans="1:38" x14ac:dyDescent="0.2">
      <c r="A255" s="79"/>
      <c r="B255" s="117" t="s">
        <v>2035</v>
      </c>
      <c r="C255" s="124">
        <v>0</v>
      </c>
      <c r="D255" s="119">
        <f t="shared" si="102"/>
        <v>0</v>
      </c>
      <c r="E255" s="121" t="s">
        <v>2058</v>
      </c>
      <c r="F255" s="120" t="s">
        <v>2037</v>
      </c>
      <c r="G255" s="122" t="s">
        <v>2015</v>
      </c>
      <c r="H255" s="121"/>
      <c r="I255" s="118" t="s">
        <v>2035</v>
      </c>
      <c r="J255" s="128">
        <v>25</v>
      </c>
      <c r="K255" s="131">
        <v>24769</v>
      </c>
      <c r="L255" s="131">
        <v>11671</v>
      </c>
      <c r="M255" s="131">
        <v>26197</v>
      </c>
      <c r="N255" s="131">
        <v>51577</v>
      </c>
      <c r="O255" s="131">
        <v>51577</v>
      </c>
      <c r="P255" s="105"/>
      <c r="Q255" s="91">
        <v>0.4</v>
      </c>
      <c r="R255" s="91"/>
      <c r="S255" s="104">
        <f t="shared" si="83"/>
        <v>10.315400000000002</v>
      </c>
      <c r="U255" s="93">
        <f t="shared" si="103"/>
        <v>7.4664506260043746</v>
      </c>
      <c r="V255" s="93">
        <v>306</v>
      </c>
      <c r="W255" s="93">
        <f t="shared" si="84"/>
        <v>7.4664506260043746</v>
      </c>
      <c r="X255" s="89">
        <f t="shared" si="85"/>
        <v>2.6886169639850664E-4</v>
      </c>
      <c r="Y255" s="93">
        <f t="shared" si="86"/>
        <v>0.73342971246337174</v>
      </c>
      <c r="Z255" s="92">
        <f t="shared" si="87"/>
        <v>8.1998803384677466</v>
      </c>
      <c r="AA255" s="93">
        <f t="shared" si="88"/>
        <v>0.1062104970709577</v>
      </c>
      <c r="AB255" s="93">
        <f t="shared" si="89"/>
        <v>8.3060908355387042</v>
      </c>
      <c r="AC255" s="93">
        <f t="shared" si="90"/>
        <v>1.5558075401957494E-2</v>
      </c>
      <c r="AD255" s="93">
        <f t="shared" si="91"/>
        <v>8.3216489109406613</v>
      </c>
      <c r="AE255" s="93">
        <f t="shared" si="92"/>
        <v>2.2789998812698256E-3</v>
      </c>
      <c r="AF255" s="92">
        <f t="shared" si="93"/>
        <v>8.3239279108219311</v>
      </c>
      <c r="AG255" s="93">
        <f t="shared" si="94"/>
        <v>3.3383566569004063E-4</v>
      </c>
      <c r="AH255" s="92">
        <f t="shared" si="95"/>
        <v>8.3242617464876218</v>
      </c>
      <c r="AI255" s="93">
        <f t="shared" si="105"/>
        <v>4.8901385471258318E-5</v>
      </c>
      <c r="AJ255" s="92">
        <f t="shared" si="104"/>
        <v>8.3243106478730926</v>
      </c>
      <c r="AK255" s="93">
        <f t="shared" si="106"/>
        <v>306</v>
      </c>
      <c r="AL255" s="89" t="str">
        <f t="shared" si="96"/>
        <v>'pass'</v>
      </c>
    </row>
    <row r="256" spans="1:38" x14ac:dyDescent="0.2">
      <c r="A256" s="79"/>
      <c r="B256" s="117" t="s">
        <v>2035</v>
      </c>
      <c r="C256" s="124">
        <v>0</v>
      </c>
      <c r="D256" s="119">
        <f t="shared" si="102"/>
        <v>0</v>
      </c>
      <c r="E256" s="121" t="s">
        <v>2059</v>
      </c>
      <c r="F256" s="120" t="s">
        <v>2037</v>
      </c>
      <c r="G256" s="122" t="s">
        <v>2032</v>
      </c>
      <c r="H256" s="121"/>
      <c r="I256" s="118" t="s">
        <v>2035</v>
      </c>
      <c r="J256" s="128">
        <v>25</v>
      </c>
      <c r="K256" s="131">
        <v>24769</v>
      </c>
      <c r="L256" s="131">
        <v>11671</v>
      </c>
      <c r="M256" s="131">
        <v>26197</v>
      </c>
      <c r="N256" s="131">
        <v>51577</v>
      </c>
      <c r="O256" s="131">
        <v>51577</v>
      </c>
      <c r="P256" s="105"/>
      <c r="Q256" s="91">
        <v>0.4</v>
      </c>
      <c r="R256" s="91"/>
      <c r="S256" s="104">
        <f t="shared" si="83"/>
        <v>10.315400000000002</v>
      </c>
      <c r="U256" s="93">
        <f t="shared" si="103"/>
        <v>7.4664506260043746</v>
      </c>
      <c r="V256" s="93">
        <v>306</v>
      </c>
      <c r="W256" s="93">
        <f t="shared" si="84"/>
        <v>7.4664506260043746</v>
      </c>
      <c r="X256" s="89">
        <f t="shared" si="85"/>
        <v>2.6886169639850664E-4</v>
      </c>
      <c r="Y256" s="93">
        <f t="shared" si="86"/>
        <v>0.73342971246337174</v>
      </c>
      <c r="Z256" s="92">
        <f t="shared" si="87"/>
        <v>8.1998803384677466</v>
      </c>
      <c r="AA256" s="93">
        <f t="shared" si="88"/>
        <v>0.1062104970709577</v>
      </c>
      <c r="AB256" s="93">
        <f t="shared" si="89"/>
        <v>8.3060908355387042</v>
      </c>
      <c r="AC256" s="93">
        <f t="shared" si="90"/>
        <v>1.5558075401957494E-2</v>
      </c>
      <c r="AD256" s="93">
        <f t="shared" si="91"/>
        <v>8.3216489109406613</v>
      </c>
      <c r="AE256" s="93">
        <f t="shared" si="92"/>
        <v>2.2789998812698256E-3</v>
      </c>
      <c r="AF256" s="92">
        <f t="shared" si="93"/>
        <v>8.3239279108219311</v>
      </c>
      <c r="AG256" s="93">
        <f t="shared" si="94"/>
        <v>3.3383566569004063E-4</v>
      </c>
      <c r="AH256" s="92">
        <f t="shared" si="95"/>
        <v>8.3242617464876218</v>
      </c>
      <c r="AI256" s="93">
        <f t="shared" si="105"/>
        <v>4.8901385471258318E-5</v>
      </c>
      <c r="AJ256" s="92">
        <f t="shared" si="104"/>
        <v>8.3243106478730926</v>
      </c>
      <c r="AK256" s="93">
        <f t="shared" si="106"/>
        <v>306</v>
      </c>
      <c r="AL256" s="89" t="str">
        <f t="shared" si="96"/>
        <v>'pass'</v>
      </c>
    </row>
    <row r="257" spans="1:38" x14ac:dyDescent="0.2">
      <c r="A257" s="79"/>
      <c r="B257" s="117" t="s">
        <v>2060</v>
      </c>
      <c r="C257" s="124">
        <v>0</v>
      </c>
      <c r="D257" s="119">
        <f t="shared" si="102"/>
        <v>0</v>
      </c>
      <c r="E257" s="121" t="s">
        <v>2061</v>
      </c>
      <c r="F257" s="120" t="s">
        <v>2062</v>
      </c>
      <c r="G257" s="122" t="s">
        <v>2019</v>
      </c>
      <c r="H257" s="121"/>
      <c r="I257" s="118" t="s">
        <v>2060</v>
      </c>
      <c r="J257" s="128">
        <v>15</v>
      </c>
      <c r="K257" s="131">
        <v>1346</v>
      </c>
      <c r="L257" s="131">
        <v>1600</v>
      </c>
      <c r="M257" s="131">
        <v>9001</v>
      </c>
      <c r="N257" s="131">
        <v>7000</v>
      </c>
      <c r="O257" s="104">
        <v>9001</v>
      </c>
      <c r="P257" s="105"/>
      <c r="Q257" s="91">
        <v>0.4</v>
      </c>
      <c r="R257" s="91"/>
      <c r="S257" s="104">
        <f t="shared" si="83"/>
        <v>1.8002</v>
      </c>
      <c r="U257" s="93">
        <f t="shared" si="103"/>
        <v>1.3030133990861308</v>
      </c>
      <c r="V257" s="93">
        <v>195</v>
      </c>
      <c r="W257" s="93">
        <f t="shared" si="84"/>
        <v>1.3030133990861308</v>
      </c>
      <c r="X257" s="89">
        <f t="shared" si="85"/>
        <v>4.6920606651859516E-5</v>
      </c>
      <c r="Y257" s="93">
        <f t="shared" si="86"/>
        <v>0.12799505287013221</v>
      </c>
      <c r="Z257" s="92">
        <f t="shared" si="87"/>
        <v>1.4310084519562629</v>
      </c>
      <c r="AA257" s="93">
        <f t="shared" si="88"/>
        <v>1.8535406947586913E-2</v>
      </c>
      <c r="AB257" s="93">
        <f t="shared" si="89"/>
        <v>1.4495438589038498</v>
      </c>
      <c r="AC257" s="93">
        <f t="shared" si="90"/>
        <v>2.7151295479190219E-3</v>
      </c>
      <c r="AD257" s="93">
        <f t="shared" si="91"/>
        <v>1.4522589884517689</v>
      </c>
      <c r="AE257" s="93">
        <f t="shared" si="92"/>
        <v>3.9772142488531131E-4</v>
      </c>
      <c r="AF257" s="92">
        <f t="shared" si="93"/>
        <v>1.4526567098766543</v>
      </c>
      <c r="AG257" s="93">
        <f t="shared" si="94"/>
        <v>5.8259589097389446E-5</v>
      </c>
      <c r="AH257" s="92">
        <f t="shared" si="95"/>
        <v>1.4527149694657517</v>
      </c>
      <c r="AI257" s="93">
        <f t="shared" si="105"/>
        <v>8.5340630635127316E-6</v>
      </c>
      <c r="AJ257" s="92">
        <f t="shared" si="104"/>
        <v>1.4527235035288153</v>
      </c>
      <c r="AK257" s="93">
        <f t="shared" si="106"/>
        <v>195</v>
      </c>
      <c r="AL257" s="89" t="str">
        <f t="shared" si="96"/>
        <v>'pass'</v>
      </c>
    </row>
    <row r="258" spans="1:38" x14ac:dyDescent="0.2">
      <c r="A258" s="79"/>
      <c r="B258" s="117" t="s">
        <v>2060</v>
      </c>
      <c r="C258" s="124">
        <v>625</v>
      </c>
      <c r="D258" s="119">
        <f t="shared" si="102"/>
        <v>1.4953226308108237E-2</v>
      </c>
      <c r="E258" s="121" t="s">
        <v>2063</v>
      </c>
      <c r="F258" s="120" t="s">
        <v>2062</v>
      </c>
      <c r="G258" s="122">
        <v>1</v>
      </c>
      <c r="H258" s="121"/>
      <c r="I258" s="118" t="s">
        <v>2060</v>
      </c>
      <c r="J258" s="128">
        <v>370</v>
      </c>
      <c r="K258" s="131">
        <v>3274176</v>
      </c>
      <c r="L258" s="131">
        <v>3598300</v>
      </c>
      <c r="M258" s="131">
        <v>4809347</v>
      </c>
      <c r="N258" s="131">
        <v>6665646</v>
      </c>
      <c r="O258" s="104">
        <v>6665646</v>
      </c>
      <c r="P258" s="105"/>
      <c r="Q258" s="91">
        <f>IF(J258&gt;25,0.15,0)</f>
        <v>0.15</v>
      </c>
      <c r="R258" s="91"/>
      <c r="S258" s="104">
        <f t="shared" si="83"/>
        <v>499.92344999999995</v>
      </c>
      <c r="U258" s="93">
        <f t="shared" si="103"/>
        <v>361.85254631005733</v>
      </c>
      <c r="V258" s="93">
        <v>1577</v>
      </c>
      <c r="W258" s="93">
        <f t="shared" si="84"/>
        <v>361.85254631005733</v>
      </c>
      <c r="X258" s="89">
        <f t="shared" si="85"/>
        <v>1.3030058634313162E-2</v>
      </c>
      <c r="Y258" s="93">
        <f t="shared" si="86"/>
        <v>35.544788586695304</v>
      </c>
      <c r="Z258" s="92">
        <f t="shared" si="87"/>
        <v>397.39733489675262</v>
      </c>
      <c r="AA258" s="93">
        <f t="shared" si="88"/>
        <v>5.1473639531116637</v>
      </c>
      <c r="AB258" s="93">
        <f t="shared" si="89"/>
        <v>402.54469884986429</v>
      </c>
      <c r="AC258" s="93">
        <f t="shared" si="90"/>
        <v>0.75400340561749668</v>
      </c>
      <c r="AD258" s="93">
        <f t="shared" si="91"/>
        <v>403.29870225548177</v>
      </c>
      <c r="AE258" s="93">
        <f t="shared" si="92"/>
        <v>0.11044898726118245</v>
      </c>
      <c r="AF258" s="92">
        <f t="shared" si="93"/>
        <v>403.40915124274295</v>
      </c>
      <c r="AG258" s="93">
        <f t="shared" si="94"/>
        <v>1.617894388242935E-2</v>
      </c>
      <c r="AH258" s="92">
        <f t="shared" si="95"/>
        <v>403.42533018662539</v>
      </c>
      <c r="AI258" s="93">
        <f t="shared" si="105"/>
        <v>2.3699468110370252E-3</v>
      </c>
      <c r="AJ258" s="92">
        <f t="shared" si="104"/>
        <v>403.42770013343642</v>
      </c>
      <c r="AK258" s="93">
        <f t="shared" si="106"/>
        <v>1577</v>
      </c>
      <c r="AL258" s="89" t="str">
        <f t="shared" si="96"/>
        <v>'pass'</v>
      </c>
    </row>
    <row r="259" spans="1:38" x14ac:dyDescent="0.2">
      <c r="A259" s="79"/>
      <c r="B259" s="117" t="s">
        <v>2060</v>
      </c>
      <c r="C259" s="124">
        <v>625</v>
      </c>
      <c r="D259" s="119">
        <f t="shared" si="102"/>
        <v>1.4953226308108237E-2</v>
      </c>
      <c r="E259" s="121" t="s">
        <v>2064</v>
      </c>
      <c r="F259" s="120" t="s">
        <v>2062</v>
      </c>
      <c r="G259" s="122">
        <v>2</v>
      </c>
      <c r="H259" s="121"/>
      <c r="I259" s="118" t="s">
        <v>2060</v>
      </c>
      <c r="J259" s="128">
        <v>370</v>
      </c>
      <c r="K259" s="131">
        <v>7572916</v>
      </c>
      <c r="L259" s="131">
        <v>7255589</v>
      </c>
      <c r="M259" s="131">
        <v>9303494</v>
      </c>
      <c r="N259" s="131">
        <v>8515690</v>
      </c>
      <c r="O259" s="104">
        <v>9303494</v>
      </c>
      <c r="P259" s="105"/>
      <c r="Q259" s="91">
        <f>IF(J259&gt;25,0.15,0)</f>
        <v>0.15</v>
      </c>
      <c r="R259" s="91"/>
      <c r="S259" s="104">
        <f t="shared" si="83"/>
        <v>697.76204999999993</v>
      </c>
      <c r="U259" s="93">
        <f t="shared" si="103"/>
        <v>505.05127237185121</v>
      </c>
      <c r="V259" s="93">
        <v>1577</v>
      </c>
      <c r="W259" s="93">
        <f t="shared" si="84"/>
        <v>505.05127237185121</v>
      </c>
      <c r="X259" s="89">
        <f t="shared" si="85"/>
        <v>1.818654520866855E-2</v>
      </c>
      <c r="Y259" s="93">
        <f t="shared" si="86"/>
        <v>49.611204577559057</v>
      </c>
      <c r="Z259" s="92">
        <f t="shared" si="87"/>
        <v>554.66247694941023</v>
      </c>
      <c r="AA259" s="93">
        <f t="shared" si="88"/>
        <v>7.1843703751430308</v>
      </c>
      <c r="AB259" s="93">
        <f t="shared" si="89"/>
        <v>561.84684732455321</v>
      </c>
      <c r="AC259" s="93">
        <f t="shared" si="90"/>
        <v>1.0523910450902954</v>
      </c>
      <c r="AD259" s="93">
        <f t="shared" si="91"/>
        <v>562.89923836964351</v>
      </c>
      <c r="AE259" s="93">
        <f t="shared" si="92"/>
        <v>0.1541578251065969</v>
      </c>
      <c r="AF259" s="92">
        <f t="shared" si="93"/>
        <v>563.05339619475012</v>
      </c>
      <c r="AG259" s="93">
        <f t="shared" si="94"/>
        <v>2.2581563337824739E-2</v>
      </c>
      <c r="AH259" s="92">
        <f t="shared" si="95"/>
        <v>563.0759777580879</v>
      </c>
      <c r="AI259" s="93">
        <f t="shared" si="105"/>
        <v>3.3078243184234651E-3</v>
      </c>
      <c r="AJ259" s="92">
        <f t="shared" si="104"/>
        <v>563.07928558240633</v>
      </c>
      <c r="AK259" s="93">
        <f t="shared" si="106"/>
        <v>1577</v>
      </c>
      <c r="AL259" s="89" t="str">
        <f t="shared" si="96"/>
        <v>'pass'</v>
      </c>
    </row>
    <row r="260" spans="1:38" x14ac:dyDescent="0.2">
      <c r="A260" s="79"/>
      <c r="B260" s="117" t="s">
        <v>2060</v>
      </c>
      <c r="C260" s="124">
        <v>600</v>
      </c>
      <c r="D260" s="119">
        <f t="shared" si="102"/>
        <v>1.4355097255783909E-2</v>
      </c>
      <c r="E260" s="121" t="s">
        <v>2065</v>
      </c>
      <c r="F260" s="120" t="s">
        <v>2062</v>
      </c>
      <c r="G260" s="122">
        <v>3</v>
      </c>
      <c r="H260" s="121"/>
      <c r="I260" s="118" t="s">
        <v>2060</v>
      </c>
      <c r="J260" s="128">
        <v>370</v>
      </c>
      <c r="K260" s="131">
        <v>3371649</v>
      </c>
      <c r="L260" s="131">
        <v>3634957</v>
      </c>
      <c r="M260" s="131">
        <v>4793623</v>
      </c>
      <c r="N260" s="131">
        <v>7759562</v>
      </c>
      <c r="O260" s="104">
        <v>7759562</v>
      </c>
      <c r="P260" s="105"/>
      <c r="Q260" s="91">
        <f>IF(J260&gt;25,0.15,0)</f>
        <v>0.15</v>
      </c>
      <c r="R260" s="91"/>
      <c r="S260" s="104">
        <f t="shared" si="83"/>
        <v>581.96715000000006</v>
      </c>
      <c r="U260" s="93">
        <f t="shared" si="103"/>
        <v>421.23708158980565</v>
      </c>
      <c r="V260" s="93">
        <v>1577</v>
      </c>
      <c r="W260" s="93">
        <f t="shared" si="84"/>
        <v>421.23708158980565</v>
      </c>
      <c r="X260" s="89">
        <f t="shared" si="85"/>
        <v>1.5168454465866973E-2</v>
      </c>
      <c r="Y260" s="93">
        <f t="shared" si="86"/>
        <v>41.378133614559587</v>
      </c>
      <c r="Z260" s="92">
        <f t="shared" si="87"/>
        <v>462.61521520436526</v>
      </c>
      <c r="AA260" s="93">
        <f t="shared" si="88"/>
        <v>5.9921108517816668</v>
      </c>
      <c r="AB260" s="93">
        <f t="shared" si="89"/>
        <v>468.60732605614692</v>
      </c>
      <c r="AC260" s="93">
        <f t="shared" si="90"/>
        <v>0.87774480884525152</v>
      </c>
      <c r="AD260" s="93">
        <f t="shared" si="91"/>
        <v>469.48507086499217</v>
      </c>
      <c r="AE260" s="93">
        <f t="shared" si="92"/>
        <v>0.12857504951363388</v>
      </c>
      <c r="AF260" s="92">
        <f t="shared" si="93"/>
        <v>469.61364591450581</v>
      </c>
      <c r="AG260" s="93">
        <f t="shared" si="94"/>
        <v>1.8834111224963233E-2</v>
      </c>
      <c r="AH260" s="92">
        <f t="shared" si="95"/>
        <v>469.63248002573079</v>
      </c>
      <c r="AI260" s="93">
        <f t="shared" si="105"/>
        <v>2.7588847677995627E-3</v>
      </c>
      <c r="AJ260" s="92">
        <f t="shared" si="104"/>
        <v>469.63523891049857</v>
      </c>
      <c r="AK260" s="93">
        <f t="shared" si="106"/>
        <v>1577</v>
      </c>
      <c r="AL260" s="89" t="str">
        <f t="shared" si="96"/>
        <v>'pass'</v>
      </c>
    </row>
    <row r="261" spans="1:38" x14ac:dyDescent="0.2">
      <c r="A261" s="79"/>
      <c r="B261" s="117" t="s">
        <v>2060</v>
      </c>
      <c r="C261" s="124">
        <v>625</v>
      </c>
      <c r="D261" s="119">
        <f t="shared" si="102"/>
        <v>1.4953226308108237E-2</v>
      </c>
      <c r="E261" s="121" t="s">
        <v>2066</v>
      </c>
      <c r="F261" s="120" t="s">
        <v>2062</v>
      </c>
      <c r="G261" s="122">
        <v>4</v>
      </c>
      <c r="H261" s="121"/>
      <c r="I261" s="118" t="s">
        <v>2060</v>
      </c>
      <c r="J261" s="128">
        <v>370</v>
      </c>
      <c r="K261" s="131">
        <v>10350955</v>
      </c>
      <c r="L261" s="131">
        <v>8139552</v>
      </c>
      <c r="M261" s="131">
        <v>9130415</v>
      </c>
      <c r="N261" s="131">
        <v>7869466</v>
      </c>
      <c r="O261" s="104">
        <v>10350955</v>
      </c>
      <c r="P261" s="105"/>
      <c r="Q261" s="91">
        <f>IF(J261&gt;25,0.15,0)</f>
        <v>0.15</v>
      </c>
      <c r="R261" s="91"/>
      <c r="S261" s="104">
        <f t="shared" si="83"/>
        <v>776.32162500000004</v>
      </c>
      <c r="U261" s="93">
        <f t="shared" si="103"/>
        <v>561.91394254822717</v>
      </c>
      <c r="V261" s="93">
        <v>1577</v>
      </c>
      <c r="W261" s="93">
        <f t="shared" si="84"/>
        <v>561.91394254822717</v>
      </c>
      <c r="X261" s="89">
        <f t="shared" si="85"/>
        <v>2.0234130431039544E-2</v>
      </c>
      <c r="Y261" s="93">
        <f t="shared" si="86"/>
        <v>55.196826705978197</v>
      </c>
      <c r="Z261" s="92">
        <f t="shared" si="87"/>
        <v>617.11076925420537</v>
      </c>
      <c r="AA261" s="93">
        <f t="shared" si="88"/>
        <v>7.9932436626969015</v>
      </c>
      <c r="AB261" s="93">
        <f t="shared" si="89"/>
        <v>625.10401291690232</v>
      </c>
      <c r="AC261" s="93">
        <f t="shared" si="90"/>
        <v>1.1708775595633878</v>
      </c>
      <c r="AD261" s="93">
        <f t="shared" si="91"/>
        <v>626.27489047646566</v>
      </c>
      <c r="AE261" s="93">
        <f t="shared" si="92"/>
        <v>0.17151413335422747</v>
      </c>
      <c r="AF261" s="92">
        <f t="shared" si="93"/>
        <v>626.44640460981987</v>
      </c>
      <c r="AG261" s="93">
        <f t="shared" si="94"/>
        <v>2.51239744916774E-2</v>
      </c>
      <c r="AH261" s="92">
        <f t="shared" si="95"/>
        <v>626.4715285843115</v>
      </c>
      <c r="AI261" s="93">
        <f t="shared" si="105"/>
        <v>3.6802453645809804E-3</v>
      </c>
      <c r="AJ261" s="92">
        <f t="shared" si="104"/>
        <v>626.47520882967603</v>
      </c>
      <c r="AK261" s="93">
        <f t="shared" si="106"/>
        <v>1577</v>
      </c>
      <c r="AL261" s="89" t="str">
        <f t="shared" si="96"/>
        <v>'pass'</v>
      </c>
    </row>
    <row r="262" spans="1:38" x14ac:dyDescent="0.2">
      <c r="A262" s="79"/>
      <c r="B262" s="117" t="s">
        <v>2067</v>
      </c>
      <c r="C262" s="124">
        <v>375</v>
      </c>
      <c r="D262" s="119">
        <f t="shared" si="102"/>
        <v>8.9719357848649425E-3</v>
      </c>
      <c r="E262" s="121" t="s">
        <v>2068</v>
      </c>
      <c r="F262" s="120" t="s">
        <v>2069</v>
      </c>
      <c r="G262" s="122">
        <v>1</v>
      </c>
      <c r="H262" s="121"/>
      <c r="I262" s="118" t="s">
        <v>2067</v>
      </c>
      <c r="J262" s="128">
        <v>0</v>
      </c>
      <c r="K262" s="131">
        <v>0</v>
      </c>
      <c r="L262" s="131">
        <v>0</v>
      </c>
      <c r="M262" s="131">
        <v>0</v>
      </c>
      <c r="N262" s="131">
        <v>0</v>
      </c>
      <c r="O262" s="104">
        <v>0</v>
      </c>
      <c r="P262" s="105"/>
      <c r="Q262" s="91">
        <v>0</v>
      </c>
      <c r="R262" s="91" t="s">
        <v>2070</v>
      </c>
      <c r="S262" s="104">
        <f t="shared" si="83"/>
        <v>0</v>
      </c>
      <c r="U262" s="93">
        <f t="shared" si="103"/>
        <v>0</v>
      </c>
      <c r="V262" s="93">
        <v>0</v>
      </c>
      <c r="W262" s="93">
        <f t="shared" si="84"/>
        <v>0</v>
      </c>
      <c r="X262" s="89">
        <f t="shared" si="85"/>
        <v>0</v>
      </c>
      <c r="Y262" s="93">
        <f t="shared" si="86"/>
        <v>0</v>
      </c>
      <c r="Z262" s="92">
        <f t="shared" si="87"/>
        <v>0</v>
      </c>
      <c r="AA262" s="93">
        <f t="shared" si="88"/>
        <v>0</v>
      </c>
      <c r="AB262" s="93">
        <f t="shared" si="89"/>
        <v>0</v>
      </c>
      <c r="AC262" s="93">
        <f t="shared" si="90"/>
        <v>0</v>
      </c>
      <c r="AD262" s="93">
        <f t="shared" si="91"/>
        <v>0</v>
      </c>
      <c r="AE262" s="93">
        <f t="shared" si="92"/>
        <v>0</v>
      </c>
      <c r="AF262" s="92">
        <f t="shared" si="93"/>
        <v>0</v>
      </c>
      <c r="AG262" s="93">
        <f t="shared" si="94"/>
        <v>0</v>
      </c>
      <c r="AH262" s="92">
        <f t="shared" si="95"/>
        <v>0</v>
      </c>
      <c r="AI262" s="93">
        <f t="shared" si="105"/>
        <v>0</v>
      </c>
      <c r="AJ262" s="92">
        <f t="shared" si="104"/>
        <v>0</v>
      </c>
      <c r="AK262" s="93">
        <f t="shared" si="106"/>
        <v>0</v>
      </c>
      <c r="AL262" s="89" t="str">
        <f t="shared" si="96"/>
        <v>'pass'</v>
      </c>
    </row>
    <row r="263" spans="1:38" x14ac:dyDescent="0.2">
      <c r="A263" s="79"/>
      <c r="B263" s="117" t="s">
        <v>2067</v>
      </c>
      <c r="C263" s="124">
        <v>375</v>
      </c>
      <c r="D263" s="119">
        <f t="shared" si="102"/>
        <v>8.9719357848649425E-3</v>
      </c>
      <c r="E263" s="121" t="s">
        <v>2071</v>
      </c>
      <c r="F263" s="120" t="s">
        <v>2069</v>
      </c>
      <c r="G263" s="122">
        <v>2</v>
      </c>
      <c r="H263" s="121"/>
      <c r="I263" s="118" t="s">
        <v>2067</v>
      </c>
      <c r="J263" s="128">
        <v>0</v>
      </c>
      <c r="K263" s="131">
        <v>0</v>
      </c>
      <c r="L263" s="131">
        <v>0</v>
      </c>
      <c r="M263" s="131">
        <v>0</v>
      </c>
      <c r="N263" s="131">
        <v>0</v>
      </c>
      <c r="O263" s="104">
        <v>0</v>
      </c>
      <c r="P263" s="105"/>
      <c r="Q263" s="91">
        <f>IF(J263&gt;25,0.15,0)</f>
        <v>0</v>
      </c>
      <c r="R263" s="91" t="s">
        <v>2070</v>
      </c>
      <c r="S263" s="104">
        <f t="shared" si="83"/>
        <v>0</v>
      </c>
      <c r="U263" s="93">
        <f t="shared" si="103"/>
        <v>0</v>
      </c>
      <c r="V263" s="93">
        <v>0</v>
      </c>
      <c r="W263" s="93">
        <f t="shared" si="84"/>
        <v>0</v>
      </c>
      <c r="X263" s="89">
        <f t="shared" si="85"/>
        <v>0</v>
      </c>
      <c r="Y263" s="93">
        <f t="shared" si="86"/>
        <v>0</v>
      </c>
      <c r="Z263" s="92">
        <f t="shared" si="87"/>
        <v>0</v>
      </c>
      <c r="AA263" s="93">
        <f t="shared" si="88"/>
        <v>0</v>
      </c>
      <c r="AB263" s="93">
        <f t="shared" si="89"/>
        <v>0</v>
      </c>
      <c r="AC263" s="93">
        <f t="shared" si="90"/>
        <v>0</v>
      </c>
      <c r="AD263" s="93">
        <f t="shared" si="91"/>
        <v>0</v>
      </c>
      <c r="AE263" s="93">
        <f t="shared" si="92"/>
        <v>0</v>
      </c>
      <c r="AF263" s="92">
        <f t="shared" si="93"/>
        <v>0</v>
      </c>
      <c r="AG263" s="93">
        <f t="shared" si="94"/>
        <v>0</v>
      </c>
      <c r="AH263" s="92">
        <f t="shared" si="95"/>
        <v>0</v>
      </c>
      <c r="AI263" s="93">
        <f t="shared" si="105"/>
        <v>0</v>
      </c>
      <c r="AJ263" s="92">
        <f t="shared" si="104"/>
        <v>0</v>
      </c>
      <c r="AK263" s="93">
        <f t="shared" si="106"/>
        <v>0</v>
      </c>
      <c r="AL263" s="89" t="str">
        <f t="shared" si="96"/>
        <v>'pass'</v>
      </c>
    </row>
    <row r="264" spans="1:38" x14ac:dyDescent="0.2">
      <c r="A264" s="79"/>
      <c r="B264" s="117" t="s">
        <v>2067</v>
      </c>
      <c r="C264" s="124">
        <v>0</v>
      </c>
      <c r="D264" s="119">
        <f t="shared" si="102"/>
        <v>0</v>
      </c>
      <c r="E264" s="121" t="s">
        <v>2072</v>
      </c>
      <c r="F264" s="120" t="s">
        <v>2069</v>
      </c>
      <c r="G264" s="122">
        <v>3</v>
      </c>
      <c r="H264" s="121"/>
      <c r="I264" s="118" t="s">
        <v>2067</v>
      </c>
      <c r="J264" s="128">
        <v>185</v>
      </c>
      <c r="K264" s="131">
        <v>2687290</v>
      </c>
      <c r="L264" s="131">
        <v>2149467</v>
      </c>
      <c r="M264" s="131">
        <v>4915468</v>
      </c>
      <c r="N264" s="131">
        <v>4115803</v>
      </c>
      <c r="O264" s="104">
        <v>4915468</v>
      </c>
      <c r="P264" s="105"/>
      <c r="Q264" s="91">
        <f>IF(J264&gt;25,0.15,0)</f>
        <v>0.15</v>
      </c>
      <c r="R264" s="91"/>
      <c r="S264" s="104">
        <f t="shared" si="83"/>
        <v>368.6601</v>
      </c>
      <c r="U264" s="93">
        <f t="shared" si="103"/>
        <v>266.84204533298123</v>
      </c>
      <c r="V264" s="93">
        <v>791</v>
      </c>
      <c r="W264" s="93">
        <f t="shared" si="84"/>
        <v>266.84204533298123</v>
      </c>
      <c r="X264" s="89">
        <f t="shared" si="85"/>
        <v>9.6087965450145484E-3</v>
      </c>
      <c r="Y264" s="93">
        <f t="shared" si="86"/>
        <v>26.211903672152104</v>
      </c>
      <c r="Z264" s="92">
        <f t="shared" si="87"/>
        <v>293.05394900513335</v>
      </c>
      <c r="AA264" s="93">
        <f t="shared" si="88"/>
        <v>3.7958365619587182</v>
      </c>
      <c r="AB264" s="93">
        <f t="shared" si="89"/>
        <v>296.84978556709206</v>
      </c>
      <c r="AC264" s="93">
        <f t="shared" si="90"/>
        <v>0.55602706957492565</v>
      </c>
      <c r="AD264" s="93">
        <f t="shared" si="91"/>
        <v>297.40581263666701</v>
      </c>
      <c r="AE264" s="93">
        <f t="shared" si="92"/>
        <v>8.1448739179180829E-2</v>
      </c>
      <c r="AF264" s="92">
        <f t="shared" si="93"/>
        <v>297.48726137584617</v>
      </c>
      <c r="AG264" s="93">
        <f t="shared" si="94"/>
        <v>1.1930888758250472E-2</v>
      </c>
      <c r="AH264" s="92">
        <f t="shared" si="95"/>
        <v>297.4991922646044</v>
      </c>
      <c r="AI264" s="93">
        <f t="shared" si="105"/>
        <v>1.7476772260864954E-3</v>
      </c>
      <c r="AJ264" s="92">
        <f t="shared" si="104"/>
        <v>297.5009399418305</v>
      </c>
      <c r="AK264" s="93">
        <f t="shared" si="106"/>
        <v>791</v>
      </c>
      <c r="AL264" s="89" t="str">
        <f t="shared" si="96"/>
        <v>'pass'</v>
      </c>
    </row>
    <row r="265" spans="1:38" x14ac:dyDescent="0.2">
      <c r="A265" s="79"/>
      <c r="B265" s="117" t="s">
        <v>2067</v>
      </c>
      <c r="C265" s="124">
        <v>0</v>
      </c>
      <c r="D265" s="119">
        <f t="shared" si="102"/>
        <v>0</v>
      </c>
      <c r="E265" s="121" t="s">
        <v>2073</v>
      </c>
      <c r="F265" s="120" t="s">
        <v>2069</v>
      </c>
      <c r="G265" s="122">
        <v>4</v>
      </c>
      <c r="H265" s="121"/>
      <c r="I265" s="118" t="s">
        <v>2067</v>
      </c>
      <c r="J265" s="128">
        <v>185</v>
      </c>
      <c r="K265" s="131">
        <v>2642331</v>
      </c>
      <c r="L265" s="131">
        <v>3411722</v>
      </c>
      <c r="M265" s="131">
        <v>3634219</v>
      </c>
      <c r="N265" s="131">
        <v>4818022</v>
      </c>
      <c r="O265" s="104">
        <v>4818022</v>
      </c>
      <c r="P265" s="105"/>
      <c r="Q265" s="91">
        <f>IF(J265&gt;25,0.15,0)</f>
        <v>0.15</v>
      </c>
      <c r="R265" s="91"/>
      <c r="S265" s="104">
        <f t="shared" si="83"/>
        <v>361.35164999999995</v>
      </c>
      <c r="U265" s="93">
        <f t="shared" si="103"/>
        <v>261.55207295405052</v>
      </c>
      <c r="V265" s="93">
        <v>791</v>
      </c>
      <c r="W265" s="93">
        <f t="shared" si="84"/>
        <v>261.55207295405052</v>
      </c>
      <c r="X265" s="89">
        <f t="shared" si="85"/>
        <v>9.4183083172149802E-3</v>
      </c>
      <c r="Y265" s="93">
        <f t="shared" si="86"/>
        <v>25.692269495866846</v>
      </c>
      <c r="Z265" s="92">
        <f t="shared" si="87"/>
        <v>287.24434244991738</v>
      </c>
      <c r="AA265" s="93">
        <f t="shared" si="88"/>
        <v>3.7205865370136615</v>
      </c>
      <c r="AB265" s="93">
        <f t="shared" si="89"/>
        <v>290.96492898693106</v>
      </c>
      <c r="AC265" s="93">
        <f t="shared" si="90"/>
        <v>0.54500418959243002</v>
      </c>
      <c r="AD265" s="93">
        <f t="shared" si="91"/>
        <v>291.50993317652348</v>
      </c>
      <c r="AE265" s="93">
        <f t="shared" si="92"/>
        <v>7.9834070171457758E-2</v>
      </c>
      <c r="AF265" s="92">
        <f t="shared" si="93"/>
        <v>291.58976724669492</v>
      </c>
      <c r="AG265" s="93">
        <f t="shared" si="94"/>
        <v>1.169436654186406E-2</v>
      </c>
      <c r="AH265" s="92">
        <f t="shared" si="95"/>
        <v>291.60146161323678</v>
      </c>
      <c r="AI265" s="93">
        <f t="shared" si="105"/>
        <v>1.7130306461528603E-3</v>
      </c>
      <c r="AJ265" s="92">
        <f t="shared" si="104"/>
        <v>291.60317464388294</v>
      </c>
      <c r="AK265" s="93">
        <f t="shared" si="106"/>
        <v>791</v>
      </c>
      <c r="AL265" s="89" t="str">
        <f t="shared" si="96"/>
        <v>'pass'</v>
      </c>
    </row>
    <row r="266" spans="1:38" x14ac:dyDescent="0.2">
      <c r="A266" s="79"/>
      <c r="B266" s="117" t="s">
        <v>2067</v>
      </c>
      <c r="C266" s="124">
        <v>0</v>
      </c>
      <c r="D266" s="119">
        <f t="shared" si="102"/>
        <v>0</v>
      </c>
      <c r="E266" s="121" t="s">
        <v>2074</v>
      </c>
      <c r="F266" s="120" t="s">
        <v>2069</v>
      </c>
      <c r="G266" s="122" t="s">
        <v>2019</v>
      </c>
      <c r="H266" s="121"/>
      <c r="I266" s="118" t="s">
        <v>2067</v>
      </c>
      <c r="J266" s="128">
        <v>15</v>
      </c>
      <c r="K266" s="131">
        <v>3702</v>
      </c>
      <c r="L266" s="131">
        <v>5357</v>
      </c>
      <c r="M266" s="131">
        <v>7675</v>
      </c>
      <c r="N266" s="131">
        <v>7829</v>
      </c>
      <c r="O266" s="104">
        <v>7829</v>
      </c>
      <c r="P266" s="105"/>
      <c r="Q266" s="91">
        <v>0.4</v>
      </c>
      <c r="R266" s="91"/>
      <c r="S266" s="104">
        <f t="shared" si="83"/>
        <v>1.5658000000000001</v>
      </c>
      <c r="U266" s="93">
        <f t="shared" si="103"/>
        <v>1.1333509500550292</v>
      </c>
      <c r="V266" s="93">
        <v>195</v>
      </c>
      <c r="W266" s="93">
        <f t="shared" si="84"/>
        <v>1.1333509500550292</v>
      </c>
      <c r="X266" s="89">
        <f t="shared" si="85"/>
        <v>4.0811179810844145E-5</v>
      </c>
      <c r="Y266" s="93">
        <f t="shared" si="86"/>
        <v>0.11132910442398235</v>
      </c>
      <c r="Z266" s="92">
        <f t="shared" si="87"/>
        <v>1.2446800544790115</v>
      </c>
      <c r="AA266" s="93">
        <f t="shared" si="88"/>
        <v>1.6121953226603484E-2</v>
      </c>
      <c r="AB266" s="93">
        <f t="shared" si="89"/>
        <v>1.260802007705615</v>
      </c>
      <c r="AC266" s="93">
        <f t="shared" si="90"/>
        <v>2.3615986257813602E-3</v>
      </c>
      <c r="AD266" s="93">
        <f t="shared" si="91"/>
        <v>1.2631636063313965</v>
      </c>
      <c r="AE266" s="93">
        <f t="shared" si="92"/>
        <v>3.4593501115732719E-4</v>
      </c>
      <c r="AF266" s="92">
        <f t="shared" si="93"/>
        <v>1.2635095413425539</v>
      </c>
      <c r="AG266" s="93">
        <f t="shared" si="94"/>
        <v>5.0673738811627817E-5</v>
      </c>
      <c r="AH266" s="92">
        <f t="shared" si="95"/>
        <v>1.2635602150813656</v>
      </c>
      <c r="AI266" s="93">
        <f t="shared" si="105"/>
        <v>7.4228618735963965E-6</v>
      </c>
      <c r="AJ266" s="92">
        <f t="shared" si="104"/>
        <v>1.2635676379432392</v>
      </c>
      <c r="AK266" s="93">
        <f t="shared" si="106"/>
        <v>195</v>
      </c>
      <c r="AL266" s="89" t="str">
        <f t="shared" si="96"/>
        <v>'pass'</v>
      </c>
    </row>
    <row r="267" spans="1:38" x14ac:dyDescent="0.2">
      <c r="A267" s="79"/>
      <c r="B267" s="117" t="s">
        <v>2075</v>
      </c>
      <c r="C267" s="124">
        <v>10</v>
      </c>
      <c r="D267" s="119">
        <f t="shared" si="102"/>
        <v>2.3925162092973179E-4</v>
      </c>
      <c r="E267" s="121" t="s">
        <v>2076</v>
      </c>
      <c r="F267" s="120" t="s">
        <v>2077</v>
      </c>
      <c r="G267" s="122" t="s">
        <v>2078</v>
      </c>
      <c r="H267" s="121"/>
      <c r="I267" s="118" t="s">
        <v>2075</v>
      </c>
      <c r="J267" s="128">
        <v>50</v>
      </c>
      <c r="K267" s="131">
        <v>16852</v>
      </c>
      <c r="L267" s="131">
        <v>20080</v>
      </c>
      <c r="M267" s="131">
        <v>42544</v>
      </c>
      <c r="N267" s="131">
        <v>19643</v>
      </c>
      <c r="O267" s="104">
        <v>42544</v>
      </c>
      <c r="P267" s="105"/>
      <c r="Q267" s="91">
        <f>IF(J267&gt;25,0.15,0)</f>
        <v>0.15</v>
      </c>
      <c r="R267" s="91"/>
      <c r="S267" s="104">
        <f t="shared" si="83"/>
        <v>3.1907999999999999</v>
      </c>
      <c r="U267" s="93">
        <f t="shared" si="103"/>
        <v>2.3095518019131349</v>
      </c>
      <c r="V267" s="93">
        <v>504</v>
      </c>
      <c r="W267" s="93">
        <f t="shared" si="84"/>
        <v>2.3095518019131349</v>
      </c>
      <c r="X267" s="89">
        <f t="shared" si="85"/>
        <v>8.3165354796552226E-5</v>
      </c>
      <c r="Y267" s="93">
        <f t="shared" si="86"/>
        <v>0.22686735623709464</v>
      </c>
      <c r="Z267" s="92">
        <f t="shared" si="87"/>
        <v>2.5364191581502293</v>
      </c>
      <c r="AA267" s="93">
        <f t="shared" si="88"/>
        <v>3.2853447666015063E-2</v>
      </c>
      <c r="AB267" s="93">
        <f t="shared" si="89"/>
        <v>2.5692726058162445</v>
      </c>
      <c r="AC267" s="93">
        <f t="shared" si="90"/>
        <v>4.812484924730593E-3</v>
      </c>
      <c r="AD267" s="93">
        <f t="shared" si="91"/>
        <v>2.5740850907409749</v>
      </c>
      <c r="AE267" s="93">
        <f t="shared" si="92"/>
        <v>7.0494918482615879E-4</v>
      </c>
      <c r="AF267" s="92">
        <f t="shared" si="93"/>
        <v>2.574790039925801</v>
      </c>
      <c r="AG267" s="93">
        <f t="shared" si="94"/>
        <v>1.0326335790020565E-4</v>
      </c>
      <c r="AH267" s="92">
        <f t="shared" si="95"/>
        <v>2.5748933032837011</v>
      </c>
      <c r="AI267" s="93">
        <f t="shared" si="105"/>
        <v>1.5126368416318419E-5</v>
      </c>
      <c r="AJ267" s="92">
        <f t="shared" si="104"/>
        <v>2.5749084296521176</v>
      </c>
      <c r="AK267" s="93">
        <f t="shared" si="106"/>
        <v>504</v>
      </c>
      <c r="AL267" s="89" t="str">
        <f t="shared" si="96"/>
        <v>'pass'</v>
      </c>
    </row>
    <row r="268" spans="1:38" x14ac:dyDescent="0.2">
      <c r="A268" s="79"/>
      <c r="B268" s="117" t="s">
        <v>2075</v>
      </c>
      <c r="C268" s="124">
        <v>4</v>
      </c>
      <c r="D268" s="119">
        <f t="shared" si="102"/>
        <v>9.5700648371892724E-5</v>
      </c>
      <c r="E268" s="121" t="s">
        <v>2079</v>
      </c>
      <c r="F268" s="120" t="s">
        <v>2077</v>
      </c>
      <c r="G268" s="122" t="s">
        <v>2080</v>
      </c>
      <c r="H268" s="121"/>
      <c r="I268" s="118" t="s">
        <v>2075</v>
      </c>
      <c r="J268" s="128">
        <v>18</v>
      </c>
      <c r="K268" s="131">
        <v>378</v>
      </c>
      <c r="L268" s="131">
        <v>4850</v>
      </c>
      <c r="M268" s="131">
        <v>1458</v>
      </c>
      <c r="N268" s="131">
        <v>5144</v>
      </c>
      <c r="O268" s="104">
        <v>5144</v>
      </c>
      <c r="P268" s="105"/>
      <c r="Q268" s="91">
        <v>0.4</v>
      </c>
      <c r="R268" s="91"/>
      <c r="S268" s="104">
        <f t="shared" si="83"/>
        <v>1.0287999999999999</v>
      </c>
      <c r="U268" s="93">
        <f t="shared" si="103"/>
        <v>0.74466180701022733</v>
      </c>
      <c r="V268" s="93">
        <v>40</v>
      </c>
      <c r="W268" s="93">
        <f t="shared" si="84"/>
        <v>0.74466180701022733</v>
      </c>
      <c r="X268" s="89">
        <f t="shared" si="85"/>
        <v>2.6814753984797836E-5</v>
      </c>
      <c r="Y268" s="93">
        <f t="shared" si="86"/>
        <v>7.31481559786646E-2</v>
      </c>
      <c r="Z268" s="92">
        <f t="shared" si="87"/>
        <v>0.81780996298889197</v>
      </c>
      <c r="AA268" s="93">
        <f t="shared" si="88"/>
        <v>1.0592837833394854E-2</v>
      </c>
      <c r="AB268" s="93">
        <f t="shared" si="89"/>
        <v>0.82840280082228679</v>
      </c>
      <c r="AC268" s="93">
        <f t="shared" si="90"/>
        <v>1.5516749688362901E-3</v>
      </c>
      <c r="AD268" s="93">
        <f t="shared" si="91"/>
        <v>0.82995447579112303</v>
      </c>
      <c r="AE268" s="93">
        <f t="shared" si="92"/>
        <v>2.2729463499722709E-4</v>
      </c>
      <c r="AF268" s="92">
        <f t="shared" si="93"/>
        <v>0.83018177042612029</v>
      </c>
      <c r="AG268" s="93">
        <f t="shared" si="94"/>
        <v>3.3294892380510087E-5</v>
      </c>
      <c r="AH268" s="92">
        <f t="shared" si="95"/>
        <v>0.83021506531850076</v>
      </c>
      <c r="AI268" s="93">
        <f t="shared" si="105"/>
        <v>4.8771492499399488E-6</v>
      </c>
      <c r="AJ268" s="92">
        <f t="shared" si="104"/>
        <v>0.83021994246775066</v>
      </c>
      <c r="AK268" s="93">
        <f t="shared" si="106"/>
        <v>40</v>
      </c>
      <c r="AL268" s="89" t="str">
        <f t="shared" si="96"/>
        <v>'pass'</v>
      </c>
    </row>
    <row r="269" spans="1:38" x14ac:dyDescent="0.2">
      <c r="A269" s="79"/>
      <c r="B269" s="117" t="s">
        <v>2075</v>
      </c>
      <c r="C269" s="124">
        <v>100</v>
      </c>
      <c r="D269" s="119">
        <f t="shared" si="102"/>
        <v>2.3925162092973181E-3</v>
      </c>
      <c r="E269" s="121" t="s">
        <v>2081</v>
      </c>
      <c r="F269" s="120" t="s">
        <v>2077</v>
      </c>
      <c r="G269" s="122" t="s">
        <v>2082</v>
      </c>
      <c r="H269" s="121"/>
      <c r="I269" s="118" t="s">
        <v>2075</v>
      </c>
      <c r="J269" s="128">
        <v>80</v>
      </c>
      <c r="K269" s="131">
        <v>133601</v>
      </c>
      <c r="L269" s="131">
        <v>121179</v>
      </c>
      <c r="M269" s="131">
        <v>203508</v>
      </c>
      <c r="N269" s="131">
        <v>258160</v>
      </c>
      <c r="O269" s="131">
        <v>258160</v>
      </c>
      <c r="P269" s="105"/>
      <c r="Q269" s="91">
        <f>IF(J269&gt;25,0.15,0)</f>
        <v>0.15</v>
      </c>
      <c r="R269" s="91"/>
      <c r="S269" s="104">
        <f t="shared" si="83"/>
        <v>19.361999999999998</v>
      </c>
      <c r="U269" s="93">
        <f t="shared" si="103"/>
        <v>14.014523626877937</v>
      </c>
      <c r="V269" s="93">
        <v>577</v>
      </c>
      <c r="W269" s="93">
        <f t="shared" si="84"/>
        <v>14.014523626877937</v>
      </c>
      <c r="X269" s="89">
        <f t="shared" si="85"/>
        <v>5.0465325296817232E-4</v>
      </c>
      <c r="Y269" s="93">
        <f t="shared" si="86"/>
        <v>1.3766471579110651</v>
      </c>
      <c r="Z269" s="92">
        <f t="shared" si="87"/>
        <v>15.391170784789002</v>
      </c>
      <c r="AA269" s="93">
        <f t="shared" si="88"/>
        <v>0.1993570432836228</v>
      </c>
      <c r="AB269" s="93">
        <f t="shared" si="89"/>
        <v>15.590527828072625</v>
      </c>
      <c r="AC269" s="93">
        <f t="shared" si="90"/>
        <v>2.9202498781695421E-2</v>
      </c>
      <c r="AD269" s="93">
        <f t="shared" si="91"/>
        <v>15.61973032685432</v>
      </c>
      <c r="AE269" s="93">
        <f t="shared" si="92"/>
        <v>4.2776814957390273E-3</v>
      </c>
      <c r="AF269" s="92">
        <f t="shared" si="93"/>
        <v>15.624008008350058</v>
      </c>
      <c r="AG269" s="93">
        <f t="shared" si="94"/>
        <v>6.2660935679571957E-4</v>
      </c>
      <c r="AH269" s="92">
        <f t="shared" si="95"/>
        <v>15.624634617706855</v>
      </c>
      <c r="AI269" s="93">
        <f t="shared" si="105"/>
        <v>9.1787873033959261E-5</v>
      </c>
      <c r="AJ269" s="92">
        <f t="shared" si="104"/>
        <v>15.624726405579889</v>
      </c>
      <c r="AK269" s="93">
        <f t="shared" si="106"/>
        <v>577</v>
      </c>
      <c r="AL269" s="89" t="str">
        <f t="shared" si="96"/>
        <v>'pass'</v>
      </c>
    </row>
    <row r="270" spans="1:38" x14ac:dyDescent="0.2">
      <c r="A270" s="79"/>
      <c r="B270" s="117" t="s">
        <v>2075</v>
      </c>
      <c r="C270" s="124">
        <v>0</v>
      </c>
      <c r="D270" s="119">
        <f t="shared" si="102"/>
        <v>0</v>
      </c>
      <c r="E270" s="121" t="s">
        <v>2083</v>
      </c>
      <c r="F270" s="120" t="s">
        <v>2077</v>
      </c>
      <c r="G270" s="122" t="s">
        <v>2084</v>
      </c>
      <c r="H270" s="121"/>
      <c r="I270" s="118" t="s">
        <v>2075</v>
      </c>
      <c r="J270" s="128">
        <v>80</v>
      </c>
      <c r="K270" s="131">
        <v>133601</v>
      </c>
      <c r="L270" s="131">
        <v>121179</v>
      </c>
      <c r="M270" s="131">
        <v>203508</v>
      </c>
      <c r="N270" s="131">
        <v>258160</v>
      </c>
      <c r="O270" s="131">
        <v>258160</v>
      </c>
      <c r="P270" s="105"/>
      <c r="Q270" s="91">
        <f>IF(J270&gt;25,0.15,0)</f>
        <v>0.15</v>
      </c>
      <c r="R270" s="91"/>
      <c r="S270" s="104">
        <f t="shared" si="83"/>
        <v>19.361999999999998</v>
      </c>
      <c r="U270" s="93">
        <f t="shared" si="103"/>
        <v>14.014523626877937</v>
      </c>
      <c r="V270" s="93">
        <v>577</v>
      </c>
      <c r="W270" s="93">
        <f t="shared" si="84"/>
        <v>14.014523626877937</v>
      </c>
      <c r="X270" s="89">
        <f t="shared" si="85"/>
        <v>5.0465325296817232E-4</v>
      </c>
      <c r="Y270" s="93">
        <f t="shared" si="86"/>
        <v>1.3766471579110651</v>
      </c>
      <c r="Z270" s="92">
        <f t="shared" si="87"/>
        <v>15.391170784789002</v>
      </c>
      <c r="AA270" s="93">
        <f t="shared" si="88"/>
        <v>0.1993570432836228</v>
      </c>
      <c r="AB270" s="93">
        <f t="shared" si="89"/>
        <v>15.590527828072625</v>
      </c>
      <c r="AC270" s="93">
        <f t="shared" si="90"/>
        <v>2.9202498781695421E-2</v>
      </c>
      <c r="AD270" s="93">
        <f t="shared" si="91"/>
        <v>15.61973032685432</v>
      </c>
      <c r="AE270" s="93">
        <f t="shared" si="92"/>
        <v>4.2776814957390273E-3</v>
      </c>
      <c r="AF270" s="92">
        <f t="shared" si="93"/>
        <v>15.624008008350058</v>
      </c>
      <c r="AG270" s="93">
        <f t="shared" si="94"/>
        <v>6.2660935679571957E-4</v>
      </c>
      <c r="AH270" s="92">
        <f t="shared" si="95"/>
        <v>15.624634617706855</v>
      </c>
      <c r="AI270" s="93">
        <f t="shared" si="105"/>
        <v>9.1787873033959261E-5</v>
      </c>
      <c r="AJ270" s="92">
        <f t="shared" si="104"/>
        <v>15.624726405579889</v>
      </c>
      <c r="AK270" s="93">
        <f t="shared" si="106"/>
        <v>577</v>
      </c>
      <c r="AL270" s="89" t="str">
        <f t="shared" si="96"/>
        <v>'pass'</v>
      </c>
    </row>
    <row r="271" spans="1:38" x14ac:dyDescent="0.2">
      <c r="A271" s="79"/>
      <c r="B271" s="117" t="s">
        <v>2075</v>
      </c>
      <c r="C271" s="124">
        <v>0</v>
      </c>
      <c r="D271" s="119">
        <f t="shared" si="102"/>
        <v>0</v>
      </c>
      <c r="E271" s="121" t="s">
        <v>2085</v>
      </c>
      <c r="F271" s="120" t="s">
        <v>2077</v>
      </c>
      <c r="G271" s="122" t="s">
        <v>2086</v>
      </c>
      <c r="H271" s="121"/>
      <c r="I271" s="118" t="s">
        <v>2075</v>
      </c>
      <c r="J271" s="128">
        <v>80</v>
      </c>
      <c r="K271" s="131">
        <v>133601</v>
      </c>
      <c r="L271" s="131">
        <v>121179</v>
      </c>
      <c r="M271" s="131">
        <v>203508</v>
      </c>
      <c r="N271" s="131">
        <v>258160</v>
      </c>
      <c r="O271" s="131">
        <v>258160</v>
      </c>
      <c r="P271" s="105"/>
      <c r="Q271" s="91">
        <f>IF(J271&gt;25,0.15,0)</f>
        <v>0.15</v>
      </c>
      <c r="R271" s="91"/>
      <c r="S271" s="104">
        <f t="shared" si="83"/>
        <v>19.361999999999998</v>
      </c>
      <c r="U271" s="93">
        <f t="shared" si="103"/>
        <v>14.014523626877937</v>
      </c>
      <c r="V271" s="93">
        <v>577</v>
      </c>
      <c r="W271" s="93">
        <f t="shared" si="84"/>
        <v>14.014523626877937</v>
      </c>
      <c r="X271" s="89">
        <f t="shared" si="85"/>
        <v>5.0465325296817232E-4</v>
      </c>
      <c r="Y271" s="93">
        <f t="shared" si="86"/>
        <v>1.3766471579110651</v>
      </c>
      <c r="Z271" s="92">
        <f t="shared" si="87"/>
        <v>15.391170784789002</v>
      </c>
      <c r="AA271" s="93">
        <f t="shared" si="88"/>
        <v>0.1993570432836228</v>
      </c>
      <c r="AB271" s="93">
        <f t="shared" si="89"/>
        <v>15.590527828072625</v>
      </c>
      <c r="AC271" s="93">
        <f t="shared" si="90"/>
        <v>2.9202498781695421E-2</v>
      </c>
      <c r="AD271" s="93">
        <f t="shared" si="91"/>
        <v>15.61973032685432</v>
      </c>
      <c r="AE271" s="93">
        <f t="shared" si="92"/>
        <v>4.2776814957390273E-3</v>
      </c>
      <c r="AF271" s="92">
        <f t="shared" si="93"/>
        <v>15.624008008350058</v>
      </c>
      <c r="AG271" s="93">
        <f t="shared" si="94"/>
        <v>6.2660935679571957E-4</v>
      </c>
      <c r="AH271" s="92">
        <f t="shared" si="95"/>
        <v>15.624634617706855</v>
      </c>
      <c r="AI271" s="93">
        <f t="shared" si="105"/>
        <v>9.1787873033959261E-5</v>
      </c>
      <c r="AJ271" s="92">
        <f t="shared" si="104"/>
        <v>15.624726405579889</v>
      </c>
      <c r="AK271" s="93">
        <f t="shared" si="106"/>
        <v>577</v>
      </c>
      <c r="AL271" s="89" t="str">
        <f t="shared" si="96"/>
        <v>'pass'</v>
      </c>
    </row>
    <row r="272" spans="1:38" x14ac:dyDescent="0.2">
      <c r="A272" s="79"/>
      <c r="B272" s="117" t="s">
        <v>2087</v>
      </c>
      <c r="C272" s="124">
        <v>0</v>
      </c>
      <c r="D272" s="119"/>
      <c r="E272" s="126" t="s">
        <v>2088</v>
      </c>
      <c r="F272" s="120"/>
      <c r="G272" s="122"/>
      <c r="H272" s="121"/>
      <c r="I272" s="118" t="s">
        <v>2087</v>
      </c>
      <c r="J272" s="128">
        <v>723</v>
      </c>
      <c r="K272" s="131">
        <v>36806</v>
      </c>
      <c r="L272" s="131">
        <v>16762</v>
      </c>
      <c r="M272" s="131">
        <v>28902</v>
      </c>
      <c r="N272" s="131">
        <v>51966</v>
      </c>
      <c r="O272" s="132">
        <v>51966</v>
      </c>
      <c r="P272" s="105"/>
      <c r="Q272" s="91">
        <v>0.4</v>
      </c>
      <c r="R272" s="91"/>
      <c r="S272" s="104">
        <f t="shared" si="83"/>
        <v>10.3932</v>
      </c>
      <c r="U272" s="93">
        <f t="shared" si="103"/>
        <v>7.5227635037117953</v>
      </c>
      <c r="V272" s="93">
        <v>531</v>
      </c>
      <c r="W272" s="93">
        <f t="shared" si="84"/>
        <v>7.5227635037117953</v>
      </c>
      <c r="X272" s="89">
        <f t="shared" si="85"/>
        <v>2.7088948397628392E-4</v>
      </c>
      <c r="Y272" s="93">
        <f t="shared" si="86"/>
        <v>0.73896132845787033</v>
      </c>
      <c r="Z272" s="92">
        <f t="shared" si="87"/>
        <v>8.2617248321696657</v>
      </c>
      <c r="AA272" s="93">
        <f t="shared" si="88"/>
        <v>0.10701154954319538</v>
      </c>
      <c r="AB272" s="93">
        <f t="shared" si="89"/>
        <v>8.3687363817128606</v>
      </c>
      <c r="AC272" s="93">
        <f t="shared" si="90"/>
        <v>1.567541629676257E-2</v>
      </c>
      <c r="AD272" s="93">
        <f t="shared" si="91"/>
        <v>8.3844117980096229</v>
      </c>
      <c r="AE272" s="93">
        <f t="shared" si="92"/>
        <v>2.2961883752460935E-3</v>
      </c>
      <c r="AF272" s="92">
        <f t="shared" si="93"/>
        <v>8.3867079863848684</v>
      </c>
      <c r="AG272" s="93">
        <f t="shared" si="94"/>
        <v>3.3635349483778914E-4</v>
      </c>
      <c r="AH272" s="92">
        <f t="shared" si="95"/>
        <v>8.3870443398797061</v>
      </c>
      <c r="AI272" s="93">
        <f t="shared" si="105"/>
        <v>4.9270205661426793E-5</v>
      </c>
      <c r="AJ272" s="92">
        <f t="shared" si="104"/>
        <v>8.3870936100853672</v>
      </c>
      <c r="AK272" s="93">
        <f t="shared" si="106"/>
        <v>531</v>
      </c>
      <c r="AL272" s="89" t="str">
        <f t="shared" si="96"/>
        <v>'pass'</v>
      </c>
    </row>
    <row r="273" spans="1:38" x14ac:dyDescent="0.2">
      <c r="A273" s="79"/>
      <c r="B273" s="117"/>
      <c r="C273" s="124"/>
      <c r="D273" s="119"/>
      <c r="E273" s="121"/>
      <c r="F273" s="120"/>
      <c r="G273" s="122"/>
      <c r="H273" s="121"/>
      <c r="I273" s="118"/>
      <c r="J273" s="121"/>
      <c r="K273" s="123"/>
      <c r="L273" s="123"/>
      <c r="M273" s="123"/>
      <c r="N273" s="123"/>
      <c r="O273" s="104"/>
      <c r="P273" s="105"/>
      <c r="Q273" s="91"/>
      <c r="R273" s="91"/>
      <c r="S273" s="104">
        <f t="shared" si="83"/>
        <v>0</v>
      </c>
      <c r="W273" s="93">
        <f t="shared" si="84"/>
        <v>0</v>
      </c>
      <c r="X273" s="89">
        <f t="shared" si="85"/>
        <v>0</v>
      </c>
      <c r="Y273" s="93">
        <f t="shared" si="86"/>
        <v>0</v>
      </c>
      <c r="Z273" s="92">
        <f t="shared" si="87"/>
        <v>0</v>
      </c>
      <c r="AA273" s="93">
        <f t="shared" si="88"/>
        <v>0</v>
      </c>
      <c r="AB273" s="93">
        <f t="shared" si="89"/>
        <v>0</v>
      </c>
      <c r="AC273" s="93">
        <f t="shared" si="90"/>
        <v>0</v>
      </c>
      <c r="AD273" s="93">
        <f t="shared" si="91"/>
        <v>0</v>
      </c>
      <c r="AE273" s="93">
        <f t="shared" si="92"/>
        <v>0</v>
      </c>
      <c r="AF273" s="92">
        <f t="shared" si="93"/>
        <v>0</v>
      </c>
      <c r="AG273" s="93">
        <f t="shared" si="94"/>
        <v>0</v>
      </c>
      <c r="AH273" s="92">
        <f t="shared" si="95"/>
        <v>0</v>
      </c>
      <c r="AI273" s="93">
        <f t="shared" si="105"/>
        <v>0</v>
      </c>
      <c r="AJ273" s="92"/>
      <c r="AK273" s="93">
        <f t="shared" si="106"/>
        <v>0</v>
      </c>
      <c r="AL273" s="89" t="str">
        <f t="shared" si="96"/>
        <v>'pass'</v>
      </c>
    </row>
    <row r="274" spans="1:38" x14ac:dyDescent="0.2">
      <c r="A274" s="79" t="s">
        <v>2089</v>
      </c>
      <c r="B274" s="79"/>
      <c r="C274" s="106"/>
      <c r="D274" s="107"/>
      <c r="E274" s="105"/>
      <c r="F274" s="108"/>
      <c r="G274" s="109"/>
      <c r="H274" s="105"/>
      <c r="I274" s="110"/>
      <c r="J274" s="105"/>
      <c r="K274" s="104"/>
      <c r="L274" s="104"/>
      <c r="M274" s="104"/>
      <c r="N274" s="104"/>
      <c r="O274" s="104"/>
      <c r="P274" s="105"/>
      <c r="Q274" s="91"/>
      <c r="R274" s="91"/>
      <c r="S274" s="104">
        <f t="shared" si="83"/>
        <v>0</v>
      </c>
      <c r="W274" s="93">
        <f t="shared" si="84"/>
        <v>0</v>
      </c>
      <c r="X274" s="89">
        <f t="shared" si="85"/>
        <v>0</v>
      </c>
      <c r="Y274" s="93">
        <f t="shared" si="86"/>
        <v>0</v>
      </c>
      <c r="Z274" s="92">
        <f t="shared" si="87"/>
        <v>0</v>
      </c>
      <c r="AA274" s="93">
        <f t="shared" si="88"/>
        <v>0</v>
      </c>
      <c r="AB274" s="93">
        <f t="shared" si="89"/>
        <v>0</v>
      </c>
      <c r="AC274" s="93">
        <f t="shared" si="90"/>
        <v>0</v>
      </c>
      <c r="AD274" s="93">
        <f t="shared" si="91"/>
        <v>0</v>
      </c>
      <c r="AE274" s="93">
        <f t="shared" si="92"/>
        <v>0</v>
      </c>
      <c r="AF274" s="92">
        <f t="shared" si="93"/>
        <v>0</v>
      </c>
      <c r="AG274" s="93">
        <f t="shared" si="94"/>
        <v>0</v>
      </c>
      <c r="AH274" s="92">
        <f t="shared" si="95"/>
        <v>0</v>
      </c>
      <c r="AI274" s="93">
        <f t="shared" si="105"/>
        <v>0</v>
      </c>
      <c r="AJ274" s="92"/>
      <c r="AK274" s="93">
        <f t="shared" si="106"/>
        <v>0</v>
      </c>
      <c r="AL274" s="89" t="str">
        <f t="shared" si="96"/>
        <v>'pass'</v>
      </c>
    </row>
    <row r="275" spans="1:38" x14ac:dyDescent="0.2">
      <c r="A275" s="117"/>
      <c r="B275" s="117" t="s">
        <v>2090</v>
      </c>
      <c r="C275" s="124">
        <v>70</v>
      </c>
      <c r="D275" s="119">
        <f t="shared" ref="D275:D280" si="107">C275/$C$6</f>
        <v>1.6747613465081226E-3</v>
      </c>
      <c r="E275" s="121" t="s">
        <v>2091</v>
      </c>
      <c r="F275" s="120" t="s">
        <v>2092</v>
      </c>
      <c r="G275" s="122">
        <v>1</v>
      </c>
      <c r="H275" s="121" t="s">
        <v>1461</v>
      </c>
      <c r="I275" s="118" t="s">
        <v>2093</v>
      </c>
      <c r="J275" s="121">
        <v>100</v>
      </c>
      <c r="K275" s="123">
        <v>861382</v>
      </c>
      <c r="L275" s="123">
        <v>886193</v>
      </c>
      <c r="M275" s="123">
        <v>652292</v>
      </c>
      <c r="N275" s="123">
        <v>1797982</v>
      </c>
      <c r="O275" s="104">
        <v>1797982</v>
      </c>
      <c r="P275" s="105"/>
      <c r="Q275" s="91">
        <f t="shared" ref="Q275:Q288" si="108">IF(J275&gt;25,0.15,0)</f>
        <v>0.15</v>
      </c>
      <c r="R275" s="91"/>
      <c r="S275" s="104">
        <f t="shared" ref="S275:S288" si="109">+O275*Q275/2000</f>
        <v>134.84864999999999</v>
      </c>
      <c r="U275" s="93">
        <f t="shared" ref="U275:U288" si="110">+S275*$T$15</f>
        <v>97.605598155024964</v>
      </c>
      <c r="V275" s="93">
        <v>302.89999999999998</v>
      </c>
      <c r="W275" s="93">
        <f t="shared" ref="W275:W288" si="111">IF(U275&gt;V275,V275,U275)</f>
        <v>97.605598155024964</v>
      </c>
      <c r="X275" s="89">
        <f t="shared" ref="X275:X288" si="112">+U275/$U$16</f>
        <v>3.5147097345763108E-3</v>
      </c>
      <c r="Y275" s="93">
        <f t="shared" ref="Y275:Y288" si="113">+X275*$Y$16</f>
        <v>9.5878014032973837</v>
      </c>
      <c r="Z275" s="92">
        <f t="shared" ref="Z275:Z333" si="114">IF(W275+Y275&gt;V275,V275,W275+Y275)</f>
        <v>107.19339955832234</v>
      </c>
      <c r="AA275" s="93">
        <f t="shared" ref="AA275:AA288" si="115">+$AA$16*X275</f>
        <v>1.388442730853636</v>
      </c>
      <c r="AB275" s="93">
        <f t="shared" ref="AB275:AB333" si="116">IF(Z275+AA275&gt;V275,V275,Z275+AA275)</f>
        <v>108.58184228917598</v>
      </c>
      <c r="AC275" s="93">
        <f t="shared" ref="AC275:AC288" si="117">+X275*$AC$16</f>
        <v>0.20338382074880035</v>
      </c>
      <c r="AD275" s="93">
        <f t="shared" ref="AD275:AD333" si="118">IF(AB275+AC275&gt;V275,V275,AB275+AC275)</f>
        <v>108.78522610992478</v>
      </c>
      <c r="AE275" s="93">
        <f t="shared" ref="AE275:AE288" si="119">+X275*$AE$16</f>
        <v>2.9792354861604614E-2</v>
      </c>
      <c r="AF275" s="92">
        <f t="shared" ref="AF275:AF333" si="120">IF(AD275+AE275&gt;V275,V275,AD275+AE275)</f>
        <v>108.81501846478638</v>
      </c>
      <c r="AG275" s="93">
        <f t="shared" ref="AG275:AG288" si="121">+X275*$AG$16</f>
        <v>4.3640856234516629E-3</v>
      </c>
      <c r="AH275" s="92">
        <f t="shared" ref="AH275:AH333" si="122">IF(AF275+AG275&gt;V275,V275,AF275+AG275)</f>
        <v>108.81938255040983</v>
      </c>
      <c r="AI275" s="93">
        <f t="shared" si="105"/>
        <v>6.3926612772445047E-4</v>
      </c>
      <c r="AJ275" s="92">
        <f t="shared" ref="AJ275:AJ292" si="123">IF(AH275+AI275&gt;V275,V275,AH275+AI275)</f>
        <v>108.82002181653755</v>
      </c>
      <c r="AK275" s="93">
        <f t="shared" si="106"/>
        <v>302.89999999999998</v>
      </c>
      <c r="AL275" s="89" t="str">
        <f t="shared" ref="AL275:AL333" si="124">IF(AJ275&gt;V275,"'fail'","'pass'")</f>
        <v>'pass'</v>
      </c>
    </row>
    <row r="276" spans="1:38" x14ac:dyDescent="0.2">
      <c r="A276" s="79"/>
      <c r="B276" s="117" t="s">
        <v>2094</v>
      </c>
      <c r="C276" s="124">
        <v>70</v>
      </c>
      <c r="D276" s="119">
        <f t="shared" si="107"/>
        <v>1.6747613465081226E-3</v>
      </c>
      <c r="E276" s="121" t="s">
        <v>2095</v>
      </c>
      <c r="F276" s="120" t="s">
        <v>2092</v>
      </c>
      <c r="G276" s="122">
        <v>2</v>
      </c>
      <c r="H276" s="121" t="s">
        <v>1461</v>
      </c>
      <c r="I276" s="118" t="s">
        <v>2093</v>
      </c>
      <c r="J276" s="121">
        <v>100</v>
      </c>
      <c r="K276" s="123">
        <v>1495339</v>
      </c>
      <c r="L276" s="123">
        <v>958414</v>
      </c>
      <c r="M276" s="123">
        <v>612127</v>
      </c>
      <c r="N276" s="123">
        <v>1474752</v>
      </c>
      <c r="O276" s="104">
        <v>1495339</v>
      </c>
      <c r="P276" s="105"/>
      <c r="Q276" s="91">
        <f t="shared" si="108"/>
        <v>0.15</v>
      </c>
      <c r="R276" s="91"/>
      <c r="S276" s="104">
        <f t="shared" si="109"/>
        <v>112.150425</v>
      </c>
      <c r="U276" s="93">
        <f t="shared" si="110"/>
        <v>81.176261797691467</v>
      </c>
      <c r="V276" s="93">
        <v>302.89999999999998</v>
      </c>
      <c r="W276" s="93">
        <f t="shared" si="111"/>
        <v>81.176261797691467</v>
      </c>
      <c r="X276" s="89">
        <f t="shared" si="112"/>
        <v>2.9231007539517119E-3</v>
      </c>
      <c r="Y276" s="93">
        <f t="shared" si="113"/>
        <v>7.9739471043677357</v>
      </c>
      <c r="Z276" s="92">
        <f t="shared" si="114"/>
        <v>89.150208902059205</v>
      </c>
      <c r="AA276" s="93">
        <f t="shared" si="115"/>
        <v>1.1547348998554745</v>
      </c>
      <c r="AB276" s="93">
        <f t="shared" si="116"/>
        <v>90.304943801914675</v>
      </c>
      <c r="AC276" s="93">
        <f t="shared" si="117"/>
        <v>0.16914950157158992</v>
      </c>
      <c r="AD276" s="93">
        <f t="shared" si="118"/>
        <v>90.474093303486271</v>
      </c>
      <c r="AE276" s="93">
        <f t="shared" si="119"/>
        <v>2.477759517414356E-2</v>
      </c>
      <c r="AF276" s="92">
        <f t="shared" si="120"/>
        <v>90.498870898660414</v>
      </c>
      <c r="AG276" s="93">
        <f t="shared" si="121"/>
        <v>3.6295065423828424E-3</v>
      </c>
      <c r="AH276" s="92">
        <f t="shared" si="122"/>
        <v>90.502500405202795</v>
      </c>
      <c r="AI276" s="93">
        <f t="shared" si="105"/>
        <v>5.3166248169634191E-4</v>
      </c>
      <c r="AJ276" s="92">
        <f t="shared" si="123"/>
        <v>90.503032067684487</v>
      </c>
      <c r="AK276" s="93">
        <f t="shared" si="106"/>
        <v>302.89999999999998</v>
      </c>
      <c r="AL276" s="89" t="str">
        <f t="shared" si="124"/>
        <v>'pass'</v>
      </c>
    </row>
    <row r="277" spans="1:38" x14ac:dyDescent="0.2">
      <c r="A277" s="79"/>
      <c r="B277" s="117" t="s">
        <v>2096</v>
      </c>
      <c r="C277" s="124">
        <v>70</v>
      </c>
      <c r="D277" s="119">
        <f t="shared" si="107"/>
        <v>1.6747613465081226E-3</v>
      </c>
      <c r="E277" s="121" t="s">
        <v>2097</v>
      </c>
      <c r="F277" s="120" t="s">
        <v>2092</v>
      </c>
      <c r="G277" s="122">
        <v>3</v>
      </c>
      <c r="H277" s="121" t="s">
        <v>1461</v>
      </c>
      <c r="I277" s="118" t="s">
        <v>2093</v>
      </c>
      <c r="J277" s="121">
        <v>100</v>
      </c>
      <c r="K277" s="123">
        <v>2056638</v>
      </c>
      <c r="L277" s="123">
        <v>576088</v>
      </c>
      <c r="M277" s="123">
        <v>824374</v>
      </c>
      <c r="N277" s="123">
        <v>2369792</v>
      </c>
      <c r="O277" s="104">
        <v>2369792</v>
      </c>
      <c r="P277" s="105"/>
      <c r="Q277" s="91">
        <f t="shared" si="108"/>
        <v>0.15</v>
      </c>
      <c r="R277" s="91"/>
      <c r="S277" s="104">
        <f t="shared" si="109"/>
        <v>177.73439999999999</v>
      </c>
      <c r="U277" s="93">
        <f t="shared" si="110"/>
        <v>128.64698626737805</v>
      </c>
      <c r="V277" s="93">
        <v>302.89999999999998</v>
      </c>
      <c r="W277" s="93">
        <f t="shared" si="111"/>
        <v>128.64698626737805</v>
      </c>
      <c r="X277" s="89">
        <f t="shared" si="112"/>
        <v>4.6324885406645146E-3</v>
      </c>
      <c r="Y277" s="93">
        <f t="shared" si="113"/>
        <v>12.636998069570728</v>
      </c>
      <c r="Z277" s="92">
        <f t="shared" si="114"/>
        <v>141.28398433694878</v>
      </c>
      <c r="AA277" s="93">
        <f t="shared" si="115"/>
        <v>1.8300074617182487</v>
      </c>
      <c r="AB277" s="93">
        <f t="shared" si="116"/>
        <v>143.11399179866703</v>
      </c>
      <c r="AC277" s="93">
        <f t="shared" si="117"/>
        <v>0.26806572665351552</v>
      </c>
      <c r="AD277" s="93">
        <f t="shared" si="118"/>
        <v>143.38205752532053</v>
      </c>
      <c r="AE277" s="93">
        <f t="shared" si="119"/>
        <v>3.9267180768323445E-2</v>
      </c>
      <c r="AF277" s="92">
        <f t="shared" si="120"/>
        <v>143.42132470608885</v>
      </c>
      <c r="AG277" s="93">
        <f t="shared" si="121"/>
        <v>5.7519903968842653E-3</v>
      </c>
      <c r="AH277" s="92">
        <f t="shared" si="122"/>
        <v>143.42707669648573</v>
      </c>
      <c r="AI277" s="93">
        <f t="shared" si="105"/>
        <v>8.4257114662570655E-4</v>
      </c>
      <c r="AJ277" s="92">
        <f t="shared" si="123"/>
        <v>143.42791926763235</v>
      </c>
      <c r="AK277" s="93">
        <f t="shared" si="106"/>
        <v>302.89999999999998</v>
      </c>
      <c r="AL277" s="89" t="str">
        <f t="shared" si="124"/>
        <v>'pass'</v>
      </c>
    </row>
    <row r="278" spans="1:38" x14ac:dyDescent="0.2">
      <c r="A278" s="79"/>
      <c r="B278" s="117" t="s">
        <v>2098</v>
      </c>
      <c r="C278" s="124">
        <v>70</v>
      </c>
      <c r="D278" s="119">
        <f t="shared" si="107"/>
        <v>1.6747613465081226E-3</v>
      </c>
      <c r="E278" s="121" t="s">
        <v>2099</v>
      </c>
      <c r="F278" s="120" t="s">
        <v>2092</v>
      </c>
      <c r="G278" s="122">
        <v>4</v>
      </c>
      <c r="H278" s="121" t="s">
        <v>1461</v>
      </c>
      <c r="I278" s="118" t="s">
        <v>2093</v>
      </c>
      <c r="J278" s="121">
        <v>100</v>
      </c>
      <c r="K278" s="123">
        <v>827970</v>
      </c>
      <c r="L278" s="123">
        <v>638071</v>
      </c>
      <c r="M278" s="123">
        <v>526155</v>
      </c>
      <c r="N278" s="123">
        <v>2011956</v>
      </c>
      <c r="O278" s="104">
        <v>2011956</v>
      </c>
      <c r="P278" s="105"/>
      <c r="Q278" s="91">
        <f t="shared" si="108"/>
        <v>0.15</v>
      </c>
      <c r="R278" s="91"/>
      <c r="S278" s="104">
        <f t="shared" si="109"/>
        <v>150.89669999999998</v>
      </c>
      <c r="U278" s="93">
        <f t="shared" si="110"/>
        <v>109.22143205081665</v>
      </c>
      <c r="V278" s="93">
        <v>302.89999999999998</v>
      </c>
      <c r="W278" s="93">
        <f t="shared" si="111"/>
        <v>109.22143205081665</v>
      </c>
      <c r="X278" s="89">
        <f t="shared" si="112"/>
        <v>3.932987837886706E-3</v>
      </c>
      <c r="Y278" s="93">
        <f t="shared" si="113"/>
        <v>10.728825182995486</v>
      </c>
      <c r="Z278" s="92">
        <f t="shared" si="114"/>
        <v>119.95025723381212</v>
      </c>
      <c r="AA278" s="93">
        <f t="shared" si="115"/>
        <v>1.553678336600343</v>
      </c>
      <c r="AB278" s="93">
        <f t="shared" si="116"/>
        <v>121.50393557041247</v>
      </c>
      <c r="AC278" s="93">
        <f t="shared" si="117"/>
        <v>0.22758809513024786</v>
      </c>
      <c r="AD278" s="93">
        <f t="shared" si="118"/>
        <v>121.73152366554271</v>
      </c>
      <c r="AE278" s="93">
        <f t="shared" si="119"/>
        <v>3.3337879421448363E-2</v>
      </c>
      <c r="AF278" s="92">
        <f t="shared" si="120"/>
        <v>121.76486154496416</v>
      </c>
      <c r="AG278" s="93">
        <f t="shared" si="121"/>
        <v>4.8834461382913251E-3</v>
      </c>
      <c r="AH278" s="92">
        <f t="shared" si="122"/>
        <v>121.76974499110246</v>
      </c>
      <c r="AI278" s="93">
        <f t="shared" si="105"/>
        <v>7.1534382506163827E-4</v>
      </c>
      <c r="AJ278" s="92">
        <f t="shared" si="123"/>
        <v>121.77046033492752</v>
      </c>
      <c r="AK278" s="93">
        <f t="shared" si="106"/>
        <v>302.89999999999998</v>
      </c>
      <c r="AL278" s="89" t="str">
        <f t="shared" si="124"/>
        <v>'pass'</v>
      </c>
    </row>
    <row r="279" spans="1:38" x14ac:dyDescent="0.2">
      <c r="A279" s="79"/>
      <c r="B279" s="117" t="s">
        <v>2100</v>
      </c>
      <c r="C279" s="124">
        <v>510</v>
      </c>
      <c r="D279" s="119">
        <f t="shared" si="107"/>
        <v>1.2201832667416321E-2</v>
      </c>
      <c r="E279" s="121" t="s">
        <v>2101</v>
      </c>
      <c r="F279" s="120" t="s">
        <v>2102</v>
      </c>
      <c r="G279" s="122">
        <v>1</v>
      </c>
      <c r="H279" s="121" t="s">
        <v>1461</v>
      </c>
      <c r="I279" s="118" t="s">
        <v>2103</v>
      </c>
      <c r="J279" s="121">
        <v>100</v>
      </c>
      <c r="K279" s="123">
        <v>2911426</v>
      </c>
      <c r="L279" s="123">
        <v>2796654</v>
      </c>
      <c r="M279" s="123">
        <v>3505269</v>
      </c>
      <c r="N279" s="123">
        <v>1762328</v>
      </c>
      <c r="O279" s="104">
        <v>3505269</v>
      </c>
      <c r="P279" s="105"/>
      <c r="Q279" s="91">
        <f t="shared" si="108"/>
        <v>0.15</v>
      </c>
      <c r="R279" s="91"/>
      <c r="S279" s="104">
        <f t="shared" si="109"/>
        <v>262.89517499999999</v>
      </c>
      <c r="U279" s="93">
        <f t="shared" si="110"/>
        <v>190.28771002116051</v>
      </c>
      <c r="V279" s="93">
        <v>254</v>
      </c>
      <c r="W279" s="93">
        <f t="shared" si="111"/>
        <v>190.28771002116051</v>
      </c>
      <c r="X279" s="89">
        <f t="shared" si="112"/>
        <v>6.8521281506759082E-3</v>
      </c>
      <c r="Y279" s="93">
        <f t="shared" si="113"/>
        <v>18.691968572062912</v>
      </c>
      <c r="Z279" s="92">
        <f t="shared" si="114"/>
        <v>208.97967859322341</v>
      </c>
      <c r="AA279" s="93">
        <f t="shared" si="115"/>
        <v>2.7068487130219294</v>
      </c>
      <c r="AB279" s="93">
        <f t="shared" si="116"/>
        <v>211.68652730624535</v>
      </c>
      <c r="AC279" s="93">
        <f t="shared" si="117"/>
        <v>0.39650841997991454</v>
      </c>
      <c r="AD279" s="93">
        <f t="shared" si="118"/>
        <v>212.08303572622526</v>
      </c>
      <c r="AE279" s="93">
        <f t="shared" si="119"/>
        <v>5.80819040087064E-2</v>
      </c>
      <c r="AF279" s="92">
        <f t="shared" si="120"/>
        <v>212.14111763023396</v>
      </c>
      <c r="AG279" s="93">
        <f t="shared" si="121"/>
        <v>8.5080351467538545E-3</v>
      </c>
      <c r="AH279" s="92">
        <f t="shared" si="122"/>
        <v>212.14962566538071</v>
      </c>
      <c r="AI279" s="93">
        <f t="shared" si="105"/>
        <v>1.2462859696384932E-3</v>
      </c>
      <c r="AJ279" s="92">
        <f t="shared" si="123"/>
        <v>212.15087195135035</v>
      </c>
      <c r="AK279" s="93">
        <f t="shared" si="106"/>
        <v>254</v>
      </c>
      <c r="AL279" s="89" t="str">
        <f t="shared" si="124"/>
        <v>'pass'</v>
      </c>
    </row>
    <row r="280" spans="1:38" x14ac:dyDescent="0.2">
      <c r="A280" s="79"/>
      <c r="B280" s="117" t="s">
        <v>2104</v>
      </c>
      <c r="C280" s="124">
        <v>482</v>
      </c>
      <c r="D280" s="119">
        <f t="shared" si="107"/>
        <v>1.1531928128813073E-2</v>
      </c>
      <c r="E280" s="121" t="s">
        <v>2105</v>
      </c>
      <c r="F280" s="120" t="s">
        <v>2102</v>
      </c>
      <c r="G280" s="122">
        <v>2</v>
      </c>
      <c r="H280" s="121" t="s">
        <v>1461</v>
      </c>
      <c r="I280" s="118" t="s">
        <v>2103</v>
      </c>
      <c r="J280" s="121">
        <v>100</v>
      </c>
      <c r="K280" s="123">
        <v>2773541</v>
      </c>
      <c r="L280" s="123">
        <v>2881122</v>
      </c>
      <c r="M280" s="123">
        <v>1536447</v>
      </c>
      <c r="N280" s="123">
        <v>3144687</v>
      </c>
      <c r="O280" s="104">
        <v>3144687</v>
      </c>
      <c r="P280" s="105"/>
      <c r="Q280" s="91">
        <f t="shared" si="108"/>
        <v>0.15</v>
      </c>
      <c r="R280" s="91"/>
      <c r="S280" s="104">
        <f t="shared" si="109"/>
        <v>235.85152499999998</v>
      </c>
      <c r="U280" s="93">
        <f t="shared" si="110"/>
        <v>170.71308591817439</v>
      </c>
      <c r="V280" s="93">
        <v>254</v>
      </c>
      <c r="W280" s="93">
        <f t="shared" si="111"/>
        <v>170.71308591817439</v>
      </c>
      <c r="X280" s="89">
        <f t="shared" si="112"/>
        <v>6.147259544920681E-3</v>
      </c>
      <c r="Y280" s="93">
        <f t="shared" si="113"/>
        <v>16.769152545204037</v>
      </c>
      <c r="Z280" s="92">
        <f t="shared" si="114"/>
        <v>187.48223846337842</v>
      </c>
      <c r="AA280" s="93">
        <f t="shared" si="115"/>
        <v>2.4283990640395334</v>
      </c>
      <c r="AB280" s="93">
        <f t="shared" si="116"/>
        <v>189.91063752741795</v>
      </c>
      <c r="AC280" s="93">
        <f t="shared" si="117"/>
        <v>0.35572016689771241</v>
      </c>
      <c r="AD280" s="93">
        <f t="shared" si="118"/>
        <v>190.26635769431567</v>
      </c>
      <c r="AE280" s="93">
        <f t="shared" si="119"/>
        <v>5.2107101757790028E-2</v>
      </c>
      <c r="AF280" s="92">
        <f t="shared" si="120"/>
        <v>190.31846479607347</v>
      </c>
      <c r="AG280" s="93">
        <f t="shared" si="121"/>
        <v>7.6328257607447356E-3</v>
      </c>
      <c r="AH280" s="92">
        <f t="shared" si="122"/>
        <v>190.32609762183421</v>
      </c>
      <c r="AI280" s="93">
        <f t="shared" si="105"/>
        <v>1.1180823175067488E-3</v>
      </c>
      <c r="AJ280" s="92">
        <f t="shared" si="123"/>
        <v>190.32721570415171</v>
      </c>
      <c r="AK280" s="93">
        <f t="shared" si="106"/>
        <v>254</v>
      </c>
      <c r="AL280" s="89" t="str">
        <f t="shared" si="124"/>
        <v>'pass'</v>
      </c>
    </row>
    <row r="281" spans="1:38" x14ac:dyDescent="0.2">
      <c r="A281" s="79"/>
      <c r="B281" s="117" t="s">
        <v>2106</v>
      </c>
      <c r="C281" s="124">
        <v>825</v>
      </c>
      <c r="D281" s="119"/>
      <c r="E281" s="121" t="s">
        <v>2107</v>
      </c>
      <c r="F281" s="120" t="s">
        <v>2102</v>
      </c>
      <c r="G281" s="122">
        <v>3</v>
      </c>
      <c r="H281" s="121" t="s">
        <v>1461</v>
      </c>
      <c r="I281" s="118" t="s">
        <v>2103</v>
      </c>
      <c r="J281" s="121">
        <v>205</v>
      </c>
      <c r="K281" s="123">
        <v>4204666</v>
      </c>
      <c r="L281" s="123">
        <v>4437572</v>
      </c>
      <c r="M281" s="123">
        <v>4422224</v>
      </c>
      <c r="N281" s="123">
        <v>5812487</v>
      </c>
      <c r="O281" s="104">
        <v>5812487</v>
      </c>
      <c r="P281" s="105"/>
      <c r="Q281" s="91">
        <f t="shared" si="108"/>
        <v>0.15</v>
      </c>
      <c r="R281" s="91"/>
      <c r="S281" s="104">
        <f t="shared" si="109"/>
        <v>435.93652499999996</v>
      </c>
      <c r="U281" s="93">
        <f t="shared" si="110"/>
        <v>315.53779203757688</v>
      </c>
      <c r="V281" s="93">
        <v>505.6</v>
      </c>
      <c r="W281" s="93">
        <f t="shared" si="111"/>
        <v>315.53779203757688</v>
      </c>
      <c r="X281" s="89">
        <f t="shared" si="112"/>
        <v>1.1362296530776313E-2</v>
      </c>
      <c r="Y281" s="93">
        <f t="shared" si="113"/>
        <v>30.995288615374236</v>
      </c>
      <c r="Z281" s="92">
        <f t="shared" si="114"/>
        <v>346.53308065295113</v>
      </c>
      <c r="AA281" s="93">
        <f t="shared" si="115"/>
        <v>4.488535103983943</v>
      </c>
      <c r="AB281" s="93">
        <f t="shared" si="116"/>
        <v>351.02161575693509</v>
      </c>
      <c r="AC281" s="93">
        <f t="shared" si="117"/>
        <v>0.65749591159017851</v>
      </c>
      <c r="AD281" s="93">
        <f t="shared" si="118"/>
        <v>351.67911166852525</v>
      </c>
      <c r="AE281" s="93">
        <f t="shared" si="119"/>
        <v>9.6312240796884288E-2</v>
      </c>
      <c r="AF281" s="92">
        <f t="shared" si="120"/>
        <v>351.77542390932211</v>
      </c>
      <c r="AG281" s="93">
        <f t="shared" si="121"/>
        <v>1.410814510556818E-2</v>
      </c>
      <c r="AH281" s="92">
        <f t="shared" si="122"/>
        <v>351.7895320544277</v>
      </c>
      <c r="AI281" s="93">
        <f t="shared" si="105"/>
        <v>2.0666091523378477E-3</v>
      </c>
      <c r="AJ281" s="92">
        <f t="shared" si="123"/>
        <v>351.79159866358003</v>
      </c>
      <c r="AK281" s="93">
        <f t="shared" si="106"/>
        <v>505.6</v>
      </c>
      <c r="AL281" s="89" t="str">
        <f t="shared" si="124"/>
        <v>'pass'</v>
      </c>
    </row>
    <row r="282" spans="1:38" x14ac:dyDescent="0.2">
      <c r="A282" s="79"/>
      <c r="B282" s="117" t="s">
        <v>2108</v>
      </c>
      <c r="C282" s="124">
        <v>824</v>
      </c>
      <c r="D282" s="119">
        <f>C282/$C$6</f>
        <v>1.9714333564609901E-2</v>
      </c>
      <c r="E282" s="121" t="s">
        <v>2109</v>
      </c>
      <c r="F282" s="120" t="s">
        <v>2102</v>
      </c>
      <c r="G282" s="122">
        <v>4</v>
      </c>
      <c r="H282" s="121" t="s">
        <v>1461</v>
      </c>
      <c r="I282" s="118" t="s">
        <v>2103</v>
      </c>
      <c r="J282" s="121">
        <v>205</v>
      </c>
      <c r="K282" s="123">
        <v>5130990</v>
      </c>
      <c r="L282" s="123">
        <v>3204691</v>
      </c>
      <c r="M282" s="123">
        <v>5524773</v>
      </c>
      <c r="N282" s="123">
        <v>6172194</v>
      </c>
      <c r="O282" s="104">
        <v>6172194</v>
      </c>
      <c r="P282" s="105"/>
      <c r="Q282" s="91">
        <f t="shared" si="108"/>
        <v>0.15</v>
      </c>
      <c r="R282" s="91"/>
      <c r="S282" s="104">
        <f t="shared" si="109"/>
        <v>462.91454999999996</v>
      </c>
      <c r="U282" s="93">
        <f t="shared" si="110"/>
        <v>335.06491572154567</v>
      </c>
      <c r="V282" s="93">
        <v>505.6</v>
      </c>
      <c r="W282" s="93">
        <f t="shared" si="111"/>
        <v>335.06491572154567</v>
      </c>
      <c r="X282" s="89">
        <f t="shared" si="112"/>
        <v>1.2065454679464809E-2</v>
      </c>
      <c r="Y282" s="93">
        <f t="shared" si="113"/>
        <v>32.913438674371427</v>
      </c>
      <c r="Z282" s="92">
        <f t="shared" si="114"/>
        <v>367.97835439591711</v>
      </c>
      <c r="AA282" s="93">
        <f t="shared" si="115"/>
        <v>4.7663090579985932</v>
      </c>
      <c r="AB282" s="93">
        <f t="shared" si="116"/>
        <v>372.74466345391568</v>
      </c>
      <c r="AC282" s="93">
        <f t="shared" si="117"/>
        <v>0.69818518657184603</v>
      </c>
      <c r="AD282" s="93">
        <f t="shared" si="118"/>
        <v>373.44284864048751</v>
      </c>
      <c r="AE282" s="93">
        <f t="shared" si="119"/>
        <v>0.10227254439847941</v>
      </c>
      <c r="AF282" s="92">
        <f t="shared" si="120"/>
        <v>373.545121184886</v>
      </c>
      <c r="AG282" s="93">
        <f t="shared" si="121"/>
        <v>1.4981230680037183E-2</v>
      </c>
      <c r="AH282" s="92">
        <f t="shared" si="122"/>
        <v>373.56010241556606</v>
      </c>
      <c r="AI282" s="93">
        <f t="shared" si="105"/>
        <v>2.1945017013207512E-3</v>
      </c>
      <c r="AJ282" s="92">
        <f t="shared" si="123"/>
        <v>373.56229691726736</v>
      </c>
      <c r="AK282" s="93">
        <f t="shared" si="106"/>
        <v>505.6</v>
      </c>
      <c r="AL282" s="89" t="str">
        <f t="shared" si="124"/>
        <v>'pass'</v>
      </c>
    </row>
    <row r="283" spans="1:38" x14ac:dyDescent="0.2">
      <c r="A283" s="79"/>
      <c r="B283" s="117" t="s">
        <v>2110</v>
      </c>
      <c r="C283" s="124">
        <v>543</v>
      </c>
      <c r="D283" s="119"/>
      <c r="E283" s="121" t="s">
        <v>2111</v>
      </c>
      <c r="F283" s="120" t="s">
        <v>2112</v>
      </c>
      <c r="G283" s="122">
        <v>63</v>
      </c>
      <c r="H283" s="121" t="s">
        <v>1461</v>
      </c>
      <c r="I283" s="118" t="s">
        <v>2113</v>
      </c>
      <c r="J283" s="121">
        <v>80</v>
      </c>
      <c r="K283" s="123">
        <v>613235</v>
      </c>
      <c r="L283" s="123">
        <v>1469351</v>
      </c>
      <c r="M283" s="123">
        <v>1972096</v>
      </c>
      <c r="N283" s="123">
        <v>2516980</v>
      </c>
      <c r="O283" s="104">
        <v>2516980</v>
      </c>
      <c r="P283" s="105"/>
      <c r="Q283" s="91">
        <f t="shared" si="108"/>
        <v>0.15</v>
      </c>
      <c r="R283" s="91"/>
      <c r="S283" s="104">
        <f t="shared" si="109"/>
        <v>188.77350000000001</v>
      </c>
      <c r="U283" s="93">
        <f t="shared" si="110"/>
        <v>136.63726246660687</v>
      </c>
      <c r="V283" s="93">
        <v>283.10000000000002</v>
      </c>
      <c r="W283" s="93">
        <f t="shared" si="111"/>
        <v>136.63726246660687</v>
      </c>
      <c r="X283" s="89">
        <f t="shared" si="112"/>
        <v>4.9202128317935795E-3</v>
      </c>
      <c r="Y283" s="93">
        <f t="shared" si="113"/>
        <v>13.421883186856961</v>
      </c>
      <c r="Z283" s="92">
        <f t="shared" si="114"/>
        <v>150.05914565346384</v>
      </c>
      <c r="AA283" s="93">
        <f t="shared" si="115"/>
        <v>1.9436693941897001</v>
      </c>
      <c r="AB283" s="93">
        <f t="shared" si="116"/>
        <v>152.00281504765354</v>
      </c>
      <c r="AC283" s="93">
        <f t="shared" si="117"/>
        <v>0.28471531369519582</v>
      </c>
      <c r="AD283" s="93">
        <f t="shared" si="118"/>
        <v>152.28753036134873</v>
      </c>
      <c r="AE283" s="93">
        <f t="shared" si="119"/>
        <v>4.1706068992660432E-2</v>
      </c>
      <c r="AF283" s="92">
        <f t="shared" si="120"/>
        <v>152.32923643034138</v>
      </c>
      <c r="AG283" s="93">
        <f t="shared" si="121"/>
        <v>6.1092470517031695E-3</v>
      </c>
      <c r="AH283" s="92">
        <f t="shared" si="122"/>
        <v>152.33534567739309</v>
      </c>
      <c r="AI283" s="93">
        <f t="shared" si="105"/>
        <v>8.9490331836463745E-4</v>
      </c>
      <c r="AJ283" s="92">
        <f t="shared" si="123"/>
        <v>152.33624058071146</v>
      </c>
      <c r="AK283" s="93">
        <f t="shared" si="106"/>
        <v>283.10000000000002</v>
      </c>
      <c r="AL283" s="89" t="str">
        <f t="shared" si="124"/>
        <v>'pass'</v>
      </c>
    </row>
    <row r="284" spans="1:38" x14ac:dyDescent="0.2">
      <c r="A284" s="79"/>
      <c r="B284" s="117" t="s">
        <v>2114</v>
      </c>
      <c r="C284" s="124">
        <v>543</v>
      </c>
      <c r="D284" s="119"/>
      <c r="E284" s="121" t="s">
        <v>2115</v>
      </c>
      <c r="F284" s="120" t="s">
        <v>2112</v>
      </c>
      <c r="G284" s="122">
        <v>64</v>
      </c>
      <c r="H284" s="121" t="s">
        <v>1461</v>
      </c>
      <c r="I284" s="118" t="s">
        <v>2113</v>
      </c>
      <c r="J284" s="121">
        <v>80</v>
      </c>
      <c r="K284" s="123">
        <v>584491</v>
      </c>
      <c r="L284" s="123">
        <v>1945984</v>
      </c>
      <c r="M284" s="123">
        <v>2014912</v>
      </c>
      <c r="N284" s="123">
        <v>2990755</v>
      </c>
      <c r="O284" s="104">
        <v>2990755</v>
      </c>
      <c r="P284" s="105"/>
      <c r="Q284" s="91">
        <f t="shared" si="108"/>
        <v>0.15</v>
      </c>
      <c r="R284" s="91"/>
      <c r="S284" s="104">
        <f t="shared" si="109"/>
        <v>224.306625</v>
      </c>
      <c r="U284" s="93">
        <f t="shared" si="110"/>
        <v>162.35670363225645</v>
      </c>
      <c r="V284" s="93">
        <v>275.7</v>
      </c>
      <c r="W284" s="93">
        <f t="shared" si="111"/>
        <v>162.35670363225645</v>
      </c>
      <c r="X284" s="89">
        <f t="shared" si="112"/>
        <v>5.8463520281252955E-3</v>
      </c>
      <c r="Y284" s="93">
        <f t="shared" si="113"/>
        <v>15.948304813907297</v>
      </c>
      <c r="Z284" s="92">
        <f t="shared" si="114"/>
        <v>178.30500844616375</v>
      </c>
      <c r="AA284" s="93">
        <f t="shared" si="115"/>
        <v>2.3095292608681102</v>
      </c>
      <c r="AB284" s="93">
        <f t="shared" si="116"/>
        <v>180.61453770703187</v>
      </c>
      <c r="AC284" s="93">
        <f t="shared" si="117"/>
        <v>0.33830771321602687</v>
      </c>
      <c r="AD284" s="93">
        <f t="shared" si="118"/>
        <v>180.95284542024791</v>
      </c>
      <c r="AE284" s="93">
        <f t="shared" si="119"/>
        <v>4.9556466229427387E-2</v>
      </c>
      <c r="AF284" s="92">
        <f t="shared" si="120"/>
        <v>181.00240188647734</v>
      </c>
      <c r="AG284" s="93">
        <f t="shared" si="121"/>
        <v>7.259199980181214E-3</v>
      </c>
      <c r="AH284" s="92">
        <f t="shared" si="122"/>
        <v>181.00966108645753</v>
      </c>
      <c r="AI284" s="93">
        <f t="shared" si="105"/>
        <v>1.0633523404697818E-3</v>
      </c>
      <c r="AJ284" s="92">
        <f t="shared" si="123"/>
        <v>181.01072443879801</v>
      </c>
      <c r="AK284" s="93">
        <f t="shared" si="106"/>
        <v>275.7</v>
      </c>
      <c r="AL284" s="89" t="str">
        <f t="shared" si="124"/>
        <v>'pass'</v>
      </c>
    </row>
    <row r="285" spans="1:38" x14ac:dyDescent="0.2">
      <c r="A285" s="79"/>
      <c r="B285" s="117" t="s">
        <v>2116</v>
      </c>
      <c r="C285" s="124">
        <v>543</v>
      </c>
      <c r="D285" s="119"/>
      <c r="E285" s="121" t="s">
        <v>2117</v>
      </c>
      <c r="F285" s="120" t="s">
        <v>2112</v>
      </c>
      <c r="G285" s="122">
        <v>65</v>
      </c>
      <c r="H285" s="121" t="s">
        <v>1461</v>
      </c>
      <c r="I285" s="118" t="s">
        <v>2113</v>
      </c>
      <c r="J285" s="121">
        <v>80</v>
      </c>
      <c r="K285" s="123">
        <v>1378637</v>
      </c>
      <c r="L285" s="123">
        <v>2079981</v>
      </c>
      <c r="M285" s="123">
        <v>2174674</v>
      </c>
      <c r="N285" s="123">
        <v>2884275</v>
      </c>
      <c r="O285" s="104">
        <v>2884275</v>
      </c>
      <c r="P285" s="105"/>
      <c r="Q285" s="91">
        <f t="shared" si="108"/>
        <v>0.15</v>
      </c>
      <c r="R285" s="91"/>
      <c r="S285" s="104">
        <f t="shared" si="109"/>
        <v>216.32062500000001</v>
      </c>
      <c r="U285" s="93">
        <f t="shared" si="110"/>
        <v>156.5763097842941</v>
      </c>
      <c r="V285" s="93">
        <v>249.7</v>
      </c>
      <c r="W285" s="93">
        <f t="shared" si="111"/>
        <v>156.5763097842941</v>
      </c>
      <c r="X285" s="89">
        <f t="shared" si="112"/>
        <v>5.6382040641647637E-3</v>
      </c>
      <c r="Y285" s="93">
        <f t="shared" si="113"/>
        <v>15.380496519150674</v>
      </c>
      <c r="Z285" s="92">
        <f t="shared" si="114"/>
        <v>171.95680630344478</v>
      </c>
      <c r="AA285" s="93">
        <f t="shared" si="115"/>
        <v>2.2273029749646391</v>
      </c>
      <c r="AB285" s="93">
        <f t="shared" si="116"/>
        <v>174.18410927840941</v>
      </c>
      <c r="AC285" s="93">
        <f t="shared" si="117"/>
        <v>0.32626292676469854</v>
      </c>
      <c r="AD285" s="93">
        <f t="shared" si="118"/>
        <v>174.51037220517409</v>
      </c>
      <c r="AE285" s="93">
        <f t="shared" si="119"/>
        <v>4.7792104881169369E-2</v>
      </c>
      <c r="AF285" s="92">
        <f t="shared" si="120"/>
        <v>174.55816431005528</v>
      </c>
      <c r="AG285" s="93">
        <f t="shared" si="121"/>
        <v>7.0007503198480561E-3</v>
      </c>
      <c r="AH285" s="92">
        <f t="shared" si="122"/>
        <v>174.56516506037514</v>
      </c>
      <c r="AI285" s="93">
        <f t="shared" si="105"/>
        <v>1.0254937538542875E-3</v>
      </c>
      <c r="AJ285" s="92">
        <f t="shared" si="123"/>
        <v>174.56619055412898</v>
      </c>
      <c r="AK285" s="93">
        <f t="shared" si="106"/>
        <v>249.7</v>
      </c>
      <c r="AL285" s="89" t="str">
        <f t="shared" si="124"/>
        <v>'pass'</v>
      </c>
    </row>
    <row r="286" spans="1:38" x14ac:dyDescent="0.2">
      <c r="A286" s="79"/>
      <c r="B286" s="117" t="s">
        <v>2118</v>
      </c>
      <c r="C286" s="124">
        <v>542</v>
      </c>
      <c r="D286" s="119"/>
      <c r="E286" s="121" t="s">
        <v>2119</v>
      </c>
      <c r="F286" s="120" t="s">
        <v>2112</v>
      </c>
      <c r="G286" s="122">
        <v>66</v>
      </c>
      <c r="H286" s="121" t="s">
        <v>1461</v>
      </c>
      <c r="I286" s="118" t="s">
        <v>2113</v>
      </c>
      <c r="J286" s="121">
        <v>80</v>
      </c>
      <c r="K286" s="123">
        <v>1755583</v>
      </c>
      <c r="L286" s="123">
        <v>1733706</v>
      </c>
      <c r="M286" s="123">
        <v>2462663</v>
      </c>
      <c r="N286" s="123">
        <v>3011135</v>
      </c>
      <c r="O286" s="104">
        <v>3011135</v>
      </c>
      <c r="P286" s="105"/>
      <c r="Q286" s="91">
        <f t="shared" si="108"/>
        <v>0.15</v>
      </c>
      <c r="R286" s="91"/>
      <c r="S286" s="104">
        <f t="shared" si="109"/>
        <v>225.83512500000001</v>
      </c>
      <c r="U286" s="93">
        <f t="shared" si="110"/>
        <v>163.4630562489119</v>
      </c>
      <c r="V286" s="93">
        <v>249.7</v>
      </c>
      <c r="W286" s="93">
        <f t="shared" si="111"/>
        <v>163.4630562489119</v>
      </c>
      <c r="X286" s="89">
        <f t="shared" si="112"/>
        <v>5.886191016719544E-3</v>
      </c>
      <c r="Y286" s="93">
        <f t="shared" si="113"/>
        <v>16.056981871074274</v>
      </c>
      <c r="Z286" s="92">
        <f t="shared" si="114"/>
        <v>179.52003811998617</v>
      </c>
      <c r="AA286" s="93">
        <f t="shared" si="115"/>
        <v>2.3252671619454275</v>
      </c>
      <c r="AB286" s="93">
        <f t="shared" si="116"/>
        <v>181.84530528193159</v>
      </c>
      <c r="AC286" s="93">
        <f t="shared" si="117"/>
        <v>0.34061305457476154</v>
      </c>
      <c r="AD286" s="93">
        <f t="shared" si="118"/>
        <v>182.18591833650635</v>
      </c>
      <c r="AE286" s="93">
        <f t="shared" si="119"/>
        <v>4.9894160484475265E-2</v>
      </c>
      <c r="AF286" s="92">
        <f t="shared" si="120"/>
        <v>182.23581249699083</v>
      </c>
      <c r="AG286" s="93">
        <f t="shared" si="121"/>
        <v>7.3086665849669925E-3</v>
      </c>
      <c r="AH286" s="92">
        <f t="shared" si="122"/>
        <v>182.24312116357581</v>
      </c>
      <c r="AI286" s="93">
        <f t="shared" si="105"/>
        <v>1.0705983772393512E-3</v>
      </c>
      <c r="AJ286" s="92">
        <f t="shared" si="123"/>
        <v>182.24419176195303</v>
      </c>
      <c r="AK286" s="93">
        <f t="shared" si="106"/>
        <v>249.7</v>
      </c>
      <c r="AL286" s="89" t="str">
        <f t="shared" si="124"/>
        <v>'pass'</v>
      </c>
    </row>
    <row r="287" spans="1:38" x14ac:dyDescent="0.2">
      <c r="A287" s="79"/>
      <c r="B287" s="117" t="s">
        <v>2120</v>
      </c>
      <c r="C287" s="124">
        <v>942</v>
      </c>
      <c r="D287" s="119">
        <f>C287/$C$6</f>
        <v>2.2537502691580735E-2</v>
      </c>
      <c r="E287" s="121" t="s">
        <v>2121</v>
      </c>
      <c r="F287" s="120" t="s">
        <v>2112</v>
      </c>
      <c r="G287" s="122">
        <v>67</v>
      </c>
      <c r="H287" s="121" t="s">
        <v>1461</v>
      </c>
      <c r="I287" s="118" t="s">
        <v>2113</v>
      </c>
      <c r="J287" s="121">
        <v>205</v>
      </c>
      <c r="K287" s="123">
        <v>5930581</v>
      </c>
      <c r="L287" s="123">
        <v>5983951</v>
      </c>
      <c r="M287" s="123">
        <v>6671957</v>
      </c>
      <c r="N287" s="123">
        <v>4943011</v>
      </c>
      <c r="O287" s="104">
        <v>6671957</v>
      </c>
      <c r="P287" s="105"/>
      <c r="Q287" s="91">
        <f t="shared" si="108"/>
        <v>0.15</v>
      </c>
      <c r="R287" s="91"/>
      <c r="S287" s="104">
        <f t="shared" si="109"/>
        <v>500.39677499999999</v>
      </c>
      <c r="U287" s="93">
        <f t="shared" si="110"/>
        <v>362.19514647510704</v>
      </c>
      <c r="V287" s="93">
        <v>505.6</v>
      </c>
      <c r="W287" s="93">
        <f t="shared" si="111"/>
        <v>362.19514647510704</v>
      </c>
      <c r="X287" s="89">
        <f t="shared" si="112"/>
        <v>1.304239542808246E-2</v>
      </c>
      <c r="Y287" s="93">
        <f t="shared" si="113"/>
        <v>35.578442213181113</v>
      </c>
      <c r="Z287" s="92">
        <f t="shared" si="114"/>
        <v>397.77358868828816</v>
      </c>
      <c r="AA287" s="93">
        <f t="shared" si="115"/>
        <v>5.1522374513304543</v>
      </c>
      <c r="AB287" s="93">
        <f t="shared" si="116"/>
        <v>402.92582613961861</v>
      </c>
      <c r="AC287" s="93">
        <f t="shared" si="117"/>
        <v>0.75471729223746609</v>
      </c>
      <c r="AD287" s="93">
        <f t="shared" si="118"/>
        <v>403.68054343185605</v>
      </c>
      <c r="AE287" s="93">
        <f t="shared" si="119"/>
        <v>0.11055355980502971</v>
      </c>
      <c r="AF287" s="92">
        <f t="shared" si="120"/>
        <v>403.79109699166111</v>
      </c>
      <c r="AG287" s="93">
        <f t="shared" si="121"/>
        <v>1.6194262024863255E-2</v>
      </c>
      <c r="AH287" s="92">
        <f t="shared" si="122"/>
        <v>403.80729125368595</v>
      </c>
      <c r="AI287" s="93">
        <f t="shared" si="105"/>
        <v>2.3721906647196922E-3</v>
      </c>
      <c r="AJ287" s="92">
        <f t="shared" si="123"/>
        <v>403.80966344435069</v>
      </c>
      <c r="AK287" s="93">
        <f t="shared" si="106"/>
        <v>505.6</v>
      </c>
      <c r="AL287" s="89" t="str">
        <f t="shared" si="124"/>
        <v>'pass'</v>
      </c>
    </row>
    <row r="288" spans="1:38" x14ac:dyDescent="0.2">
      <c r="A288" s="79"/>
      <c r="B288" s="117" t="s">
        <v>2122</v>
      </c>
      <c r="C288" s="124">
        <v>942</v>
      </c>
      <c r="D288" s="119">
        <f>C288/$C$6</f>
        <v>2.2537502691580735E-2</v>
      </c>
      <c r="E288" s="126" t="s">
        <v>2123</v>
      </c>
      <c r="F288" s="120" t="s">
        <v>2112</v>
      </c>
      <c r="G288" s="122">
        <v>68</v>
      </c>
      <c r="H288" s="121" t="s">
        <v>1461</v>
      </c>
      <c r="I288" s="118" t="s">
        <v>2113</v>
      </c>
      <c r="J288" s="121">
        <v>205</v>
      </c>
      <c r="K288" s="123">
        <v>6035980</v>
      </c>
      <c r="L288" s="123">
        <v>4872702</v>
      </c>
      <c r="M288" s="123">
        <v>6812247</v>
      </c>
      <c r="N288" s="123">
        <v>7294318</v>
      </c>
      <c r="O288" s="104">
        <v>7294318</v>
      </c>
      <c r="P288" s="105"/>
      <c r="Q288" s="91">
        <f t="shared" si="108"/>
        <v>0.15</v>
      </c>
      <c r="R288" s="91"/>
      <c r="S288" s="104">
        <f t="shared" si="109"/>
        <v>547.07384999999999</v>
      </c>
      <c r="U288" s="93">
        <f t="shared" si="110"/>
        <v>395.9807559380269</v>
      </c>
      <c r="V288" s="93">
        <v>505.6</v>
      </c>
      <c r="W288" s="93">
        <f t="shared" si="111"/>
        <v>395.9807559380269</v>
      </c>
      <c r="X288" s="89">
        <f t="shared" si="112"/>
        <v>1.4258991737233859E-2</v>
      </c>
      <c r="Y288" s="93">
        <f t="shared" si="113"/>
        <v>38.897203841026986</v>
      </c>
      <c r="Z288" s="92">
        <f t="shared" si="114"/>
        <v>434.87795977905387</v>
      </c>
      <c r="AA288" s="93">
        <f t="shared" si="115"/>
        <v>5.6328388179830693</v>
      </c>
      <c r="AB288" s="93">
        <f t="shared" si="116"/>
        <v>440.51079859703691</v>
      </c>
      <c r="AC288" s="93">
        <f t="shared" si="117"/>
        <v>0.82511741752517431</v>
      </c>
      <c r="AD288" s="93">
        <f t="shared" si="118"/>
        <v>441.33591601456209</v>
      </c>
      <c r="AE288" s="93">
        <f t="shared" si="119"/>
        <v>0.12086600996527777</v>
      </c>
      <c r="AF288" s="92">
        <f t="shared" si="120"/>
        <v>441.45678202452734</v>
      </c>
      <c r="AG288" s="93">
        <f t="shared" si="121"/>
        <v>1.7704864852198014E-2</v>
      </c>
      <c r="AH288" s="92">
        <f t="shared" si="122"/>
        <v>441.47448688937953</v>
      </c>
      <c r="AI288" s="93">
        <f t="shared" si="105"/>
        <v>2.5934689125090013E-3</v>
      </c>
      <c r="AJ288" s="92">
        <f t="shared" si="123"/>
        <v>441.47708035829203</v>
      </c>
      <c r="AK288" s="93">
        <f t="shared" si="106"/>
        <v>505.6</v>
      </c>
      <c r="AL288" s="89" t="str">
        <f t="shared" si="124"/>
        <v>'pass'</v>
      </c>
    </row>
    <row r="289" spans="1:38" x14ac:dyDescent="0.2">
      <c r="A289" s="79"/>
      <c r="B289" s="117" t="s">
        <v>2124</v>
      </c>
      <c r="C289" s="124"/>
      <c r="D289" s="119"/>
      <c r="E289" s="126" t="s">
        <v>2125</v>
      </c>
      <c r="F289" s="125" t="s">
        <v>2126</v>
      </c>
      <c r="G289" s="122">
        <v>3</v>
      </c>
      <c r="H289" s="121" t="s">
        <v>1461</v>
      </c>
      <c r="I289" s="118" t="s">
        <v>2127</v>
      </c>
      <c r="J289" s="121"/>
      <c r="K289" s="123"/>
      <c r="L289" s="123"/>
      <c r="M289" s="123"/>
      <c r="N289" s="123"/>
      <c r="O289" s="104"/>
      <c r="P289" s="105"/>
      <c r="Q289" s="91"/>
      <c r="R289" s="91"/>
      <c r="S289" s="104"/>
      <c r="W289" s="93"/>
      <c r="Y289" s="93"/>
      <c r="Z289" s="92">
        <f t="shared" si="114"/>
        <v>0</v>
      </c>
      <c r="AA289" s="93"/>
      <c r="AB289" s="93">
        <f t="shared" si="116"/>
        <v>0</v>
      </c>
      <c r="AC289" s="93"/>
      <c r="AD289" s="93">
        <f t="shared" si="118"/>
        <v>0</v>
      </c>
      <c r="AE289" s="93"/>
      <c r="AF289" s="92">
        <f t="shared" si="120"/>
        <v>0</v>
      </c>
      <c r="AG289" s="93"/>
      <c r="AH289" s="92">
        <f t="shared" si="122"/>
        <v>0</v>
      </c>
      <c r="AI289" s="93"/>
      <c r="AJ289" s="92">
        <f t="shared" si="123"/>
        <v>0</v>
      </c>
      <c r="AK289" s="93"/>
      <c r="AL289" s="89" t="str">
        <f t="shared" si="124"/>
        <v>'pass'</v>
      </c>
    </row>
    <row r="290" spans="1:38" x14ac:dyDescent="0.2">
      <c r="A290" s="79"/>
      <c r="B290" s="117" t="s">
        <v>2128</v>
      </c>
      <c r="C290" s="124"/>
      <c r="D290" s="119"/>
      <c r="E290" s="126" t="s">
        <v>2129</v>
      </c>
      <c r="F290" s="125" t="s">
        <v>2126</v>
      </c>
      <c r="G290" s="122">
        <v>4</v>
      </c>
      <c r="H290" s="121" t="s">
        <v>1461</v>
      </c>
      <c r="I290" s="118" t="s">
        <v>2127</v>
      </c>
      <c r="J290" s="121"/>
      <c r="K290" s="123"/>
      <c r="L290" s="123"/>
      <c r="M290" s="123"/>
      <c r="N290" s="123"/>
      <c r="O290" s="104"/>
      <c r="P290" s="105"/>
      <c r="Q290" s="91"/>
      <c r="R290" s="91"/>
      <c r="S290" s="104"/>
      <c r="W290" s="93"/>
      <c r="Y290" s="93"/>
      <c r="Z290" s="92">
        <f t="shared" si="114"/>
        <v>0</v>
      </c>
      <c r="AA290" s="93"/>
      <c r="AB290" s="93">
        <f t="shared" si="116"/>
        <v>0</v>
      </c>
      <c r="AC290" s="93"/>
      <c r="AD290" s="93">
        <f t="shared" si="118"/>
        <v>0</v>
      </c>
      <c r="AE290" s="93"/>
      <c r="AF290" s="92">
        <f t="shared" si="120"/>
        <v>0</v>
      </c>
      <c r="AG290" s="93"/>
      <c r="AH290" s="92">
        <f t="shared" si="122"/>
        <v>0</v>
      </c>
      <c r="AI290" s="93"/>
      <c r="AJ290" s="92">
        <f t="shared" si="123"/>
        <v>0</v>
      </c>
      <c r="AK290" s="93"/>
      <c r="AL290" s="89" t="str">
        <f t="shared" si="124"/>
        <v>'pass'</v>
      </c>
    </row>
    <row r="291" spans="1:38" x14ac:dyDescent="0.2">
      <c r="A291" s="79"/>
      <c r="B291" s="117" t="s">
        <v>2130</v>
      </c>
      <c r="C291" s="124">
        <v>780</v>
      </c>
      <c r="D291" s="119">
        <f>C291/$C$6</f>
        <v>1.866162643251908E-2</v>
      </c>
      <c r="E291" s="121" t="s">
        <v>2131</v>
      </c>
      <c r="F291" s="120" t="s">
        <v>2126</v>
      </c>
      <c r="G291" s="122">
        <v>5</v>
      </c>
      <c r="H291" s="121" t="s">
        <v>1461</v>
      </c>
      <c r="I291" s="118" t="s">
        <v>2127</v>
      </c>
      <c r="J291" s="121">
        <v>850</v>
      </c>
      <c r="K291" s="123">
        <v>0</v>
      </c>
      <c r="L291" s="123">
        <v>0</v>
      </c>
      <c r="M291" s="123">
        <v>0</v>
      </c>
      <c r="N291" s="123">
        <v>4403703</v>
      </c>
      <c r="O291" s="104">
        <v>4403703</v>
      </c>
      <c r="P291" s="105"/>
      <c r="Q291" s="91">
        <f>IF(J291&gt;25,0.15,0)</f>
        <v>0.15</v>
      </c>
      <c r="R291" s="91"/>
      <c r="S291" s="104">
        <f t="shared" ref="S291:S333" si="125">+O291*Q291/2000</f>
        <v>330.27772499999998</v>
      </c>
      <c r="U291" s="93">
        <f>+S291*$T$15</f>
        <v>239.06027168908139</v>
      </c>
      <c r="V291" s="93">
        <v>2483</v>
      </c>
      <c r="W291" s="93">
        <f t="shared" ref="W291:W331" si="126">IF(U291&gt;V291,V291,U291)</f>
        <v>239.06027168908139</v>
      </c>
      <c r="X291" s="89">
        <f t="shared" ref="X291:X331" si="127">+U291/$U$16</f>
        <v>8.6083941898655852E-3</v>
      </c>
      <c r="Y291" s="93">
        <f t="shared" ref="Y291:Y331" si="128">+X291*$Y$16</f>
        <v>23.482899051884225</v>
      </c>
      <c r="Z291" s="92">
        <f t="shared" si="114"/>
        <v>262.54317074096559</v>
      </c>
      <c r="AA291" s="93">
        <f t="shared" ref="AA291:AA331" si="129">+$AA$16*X291</f>
        <v>3.400639950337851</v>
      </c>
      <c r="AB291" s="93">
        <f t="shared" si="116"/>
        <v>265.94381069130344</v>
      </c>
      <c r="AC291" s="93">
        <f t="shared" ref="AC291:AC331" si="130">+X291*$AC$16</f>
        <v>0.4981373237234602</v>
      </c>
      <c r="AD291" s="93">
        <f t="shared" si="118"/>
        <v>266.44194801502692</v>
      </c>
      <c r="AE291" s="93">
        <f t="shared" ref="AE291:AE331" si="131">+X291*$AE$16</f>
        <v>7.2968852013597929E-2</v>
      </c>
      <c r="AF291" s="92">
        <f t="shared" si="120"/>
        <v>266.51491686704054</v>
      </c>
      <c r="AG291" s="93">
        <f t="shared" ref="AG291:AG331" si="132">+X291*$AG$16</f>
        <v>1.0688726000733579E-2</v>
      </c>
      <c r="AH291" s="92">
        <f t="shared" si="122"/>
        <v>266.52560559304129</v>
      </c>
      <c r="AI291" s="93">
        <f t="shared" ref="AI291:AI331" si="133">+X291*$AI$16</f>
        <v>1.5657209941248279E-3</v>
      </c>
      <c r="AJ291" s="92">
        <f t="shared" si="123"/>
        <v>266.5271713140354</v>
      </c>
      <c r="AK291" s="93">
        <f t="shared" ref="AK291:AK331" si="134">+V291</f>
        <v>2483</v>
      </c>
      <c r="AL291" s="89" t="str">
        <f t="shared" si="124"/>
        <v>'pass'</v>
      </c>
    </row>
    <row r="292" spans="1:38" x14ac:dyDescent="0.2">
      <c r="A292" s="79"/>
      <c r="B292" s="117" t="s">
        <v>2132</v>
      </c>
      <c r="C292" s="124">
        <v>174</v>
      </c>
      <c r="D292" s="119">
        <f>C292/$C$6</f>
        <v>4.1629782041773334E-3</v>
      </c>
      <c r="E292" s="121" t="s">
        <v>2133</v>
      </c>
      <c r="F292" s="120" t="s">
        <v>2126</v>
      </c>
      <c r="G292" s="122">
        <v>6</v>
      </c>
      <c r="H292" s="121" t="s">
        <v>1461</v>
      </c>
      <c r="I292" s="118" t="s">
        <v>2127</v>
      </c>
      <c r="J292" s="121">
        <v>850</v>
      </c>
      <c r="K292" s="123">
        <v>2204977</v>
      </c>
      <c r="L292" s="123">
        <v>1661638</v>
      </c>
      <c r="M292" s="123">
        <v>2035005</v>
      </c>
      <c r="N292" s="123">
        <v>5144732</v>
      </c>
      <c r="O292" s="104">
        <v>5144732</v>
      </c>
      <c r="P292" s="105"/>
      <c r="Q292" s="91">
        <f>IF(J292&gt;25,0.15,0)</f>
        <v>0.15</v>
      </c>
      <c r="R292" s="91"/>
      <c r="S292" s="104">
        <f t="shared" si="125"/>
        <v>385.85489999999999</v>
      </c>
      <c r="U292" s="93">
        <f>+S292*$T$15</f>
        <v>279.28791512223034</v>
      </c>
      <c r="V292" s="93">
        <v>2483</v>
      </c>
      <c r="W292" s="93">
        <f t="shared" si="126"/>
        <v>279.28791512223034</v>
      </c>
      <c r="X292" s="89">
        <f t="shared" si="127"/>
        <v>1.0056963663811013E-2</v>
      </c>
      <c r="Y292" s="93">
        <f t="shared" si="128"/>
        <v>27.434461907398941</v>
      </c>
      <c r="Z292" s="92">
        <f t="shared" si="114"/>
        <v>306.72237702962929</v>
      </c>
      <c r="AA292" s="93">
        <f t="shared" si="129"/>
        <v>3.9728794546275155</v>
      </c>
      <c r="AB292" s="93">
        <f t="shared" si="116"/>
        <v>310.69525648425679</v>
      </c>
      <c r="AC292" s="93">
        <f t="shared" si="130"/>
        <v>0.5819609155645703</v>
      </c>
      <c r="AD292" s="93">
        <f t="shared" si="118"/>
        <v>311.27721739982138</v>
      </c>
      <c r="AE292" s="93">
        <f t="shared" si="131"/>
        <v>8.5247617279735191E-2</v>
      </c>
      <c r="AF292" s="92">
        <f t="shared" si="120"/>
        <v>311.3624650171011</v>
      </c>
      <c r="AG292" s="93">
        <f t="shared" si="132"/>
        <v>1.2487361362745412E-2</v>
      </c>
      <c r="AH292" s="92">
        <f t="shared" si="122"/>
        <v>311.37495237846383</v>
      </c>
      <c r="AI292" s="93">
        <f t="shared" si="133"/>
        <v>1.8291912287331396E-3</v>
      </c>
      <c r="AJ292" s="92">
        <f t="shared" si="123"/>
        <v>311.37678156969258</v>
      </c>
      <c r="AK292" s="93">
        <f t="shared" si="134"/>
        <v>2483</v>
      </c>
      <c r="AL292" s="89" t="str">
        <f t="shared" si="124"/>
        <v>'pass'</v>
      </c>
    </row>
    <row r="293" spans="1:38" x14ac:dyDescent="0.2">
      <c r="A293" s="79"/>
      <c r="B293" s="117"/>
      <c r="C293" s="124"/>
      <c r="D293" s="119"/>
      <c r="E293" s="121"/>
      <c r="F293" s="120"/>
      <c r="G293" s="122"/>
      <c r="H293" s="121"/>
      <c r="I293" s="118"/>
      <c r="J293" s="121"/>
      <c r="K293" s="123"/>
      <c r="L293" s="123"/>
      <c r="M293" s="123"/>
      <c r="N293" s="123"/>
      <c r="O293" s="104"/>
      <c r="P293" s="105"/>
      <c r="Q293" s="91"/>
      <c r="R293" s="91"/>
      <c r="S293" s="104">
        <f t="shared" si="125"/>
        <v>0</v>
      </c>
      <c r="W293" s="93">
        <f t="shared" si="126"/>
        <v>0</v>
      </c>
      <c r="X293" s="89">
        <f t="shared" si="127"/>
        <v>0</v>
      </c>
      <c r="Y293" s="93">
        <f t="shared" si="128"/>
        <v>0</v>
      </c>
      <c r="Z293" s="92">
        <f t="shared" si="114"/>
        <v>0</v>
      </c>
      <c r="AA293" s="93">
        <f t="shared" si="129"/>
        <v>0</v>
      </c>
      <c r="AB293" s="93">
        <f t="shared" si="116"/>
        <v>0</v>
      </c>
      <c r="AC293" s="93">
        <f t="shared" si="130"/>
        <v>0</v>
      </c>
      <c r="AD293" s="93">
        <f t="shared" si="118"/>
        <v>0</v>
      </c>
      <c r="AE293" s="93">
        <f t="shared" si="131"/>
        <v>0</v>
      </c>
      <c r="AF293" s="92">
        <f t="shared" si="120"/>
        <v>0</v>
      </c>
      <c r="AG293" s="93">
        <f t="shared" si="132"/>
        <v>0</v>
      </c>
      <c r="AH293" s="92">
        <f t="shared" si="122"/>
        <v>0</v>
      </c>
      <c r="AI293" s="93">
        <f t="shared" si="133"/>
        <v>0</v>
      </c>
      <c r="AJ293" s="92"/>
      <c r="AK293" s="93">
        <f t="shared" si="134"/>
        <v>0</v>
      </c>
      <c r="AL293" s="89" t="str">
        <f t="shared" si="124"/>
        <v>'pass'</v>
      </c>
    </row>
    <row r="294" spans="1:38" x14ac:dyDescent="0.2">
      <c r="A294" s="79" t="s">
        <v>2134</v>
      </c>
      <c r="B294" s="79"/>
      <c r="C294" s="106"/>
      <c r="D294" s="107"/>
      <c r="E294" s="105"/>
      <c r="F294" s="108"/>
      <c r="G294" s="109"/>
      <c r="H294" s="105"/>
      <c r="I294" s="110"/>
      <c r="J294" s="105"/>
      <c r="K294" s="104"/>
      <c r="L294" s="104"/>
      <c r="M294" s="104"/>
      <c r="N294" s="104"/>
      <c r="O294" s="104"/>
      <c r="P294" s="105"/>
      <c r="Q294" s="91"/>
      <c r="R294" s="91"/>
      <c r="S294" s="104">
        <f t="shared" si="125"/>
        <v>0</v>
      </c>
      <c r="W294" s="93">
        <f t="shared" si="126"/>
        <v>0</v>
      </c>
      <c r="X294" s="89">
        <f t="shared" si="127"/>
        <v>0</v>
      </c>
      <c r="Y294" s="93">
        <f t="shared" si="128"/>
        <v>0</v>
      </c>
      <c r="Z294" s="92">
        <f t="shared" si="114"/>
        <v>0</v>
      </c>
      <c r="AA294" s="93">
        <f t="shared" si="129"/>
        <v>0</v>
      </c>
      <c r="AB294" s="93">
        <f t="shared" si="116"/>
        <v>0</v>
      </c>
      <c r="AC294" s="93">
        <f t="shared" si="130"/>
        <v>0</v>
      </c>
      <c r="AD294" s="93">
        <f t="shared" si="118"/>
        <v>0</v>
      </c>
      <c r="AE294" s="93">
        <f t="shared" si="131"/>
        <v>0</v>
      </c>
      <c r="AF294" s="92">
        <f t="shared" si="120"/>
        <v>0</v>
      </c>
      <c r="AG294" s="93">
        <f t="shared" si="132"/>
        <v>0</v>
      </c>
      <c r="AH294" s="92">
        <f t="shared" si="122"/>
        <v>0</v>
      </c>
      <c r="AI294" s="93">
        <f t="shared" si="133"/>
        <v>0</v>
      </c>
      <c r="AJ294" s="92"/>
      <c r="AK294" s="93">
        <f t="shared" si="134"/>
        <v>0</v>
      </c>
      <c r="AL294" s="89" t="str">
        <f t="shared" si="124"/>
        <v>'pass'</v>
      </c>
    </row>
    <row r="295" spans="1:38" x14ac:dyDescent="0.2">
      <c r="A295" s="117"/>
      <c r="B295" s="117" t="s">
        <v>2135</v>
      </c>
      <c r="C295" s="124">
        <v>0</v>
      </c>
      <c r="D295" s="119">
        <f>C295/$C$6</f>
        <v>0</v>
      </c>
      <c r="E295" s="121" t="s">
        <v>2136</v>
      </c>
      <c r="F295" s="120" t="s">
        <v>2137</v>
      </c>
      <c r="G295" s="122">
        <v>11</v>
      </c>
      <c r="H295" s="121"/>
      <c r="I295" s="118" t="s">
        <v>2138</v>
      </c>
      <c r="J295" s="121">
        <v>44</v>
      </c>
      <c r="K295" s="123">
        <v>0</v>
      </c>
      <c r="L295" s="123">
        <v>583213</v>
      </c>
      <c r="M295" s="123">
        <v>767655</v>
      </c>
      <c r="N295" s="104">
        <v>974862</v>
      </c>
      <c r="O295" s="132">
        <v>974862</v>
      </c>
      <c r="P295" s="105"/>
      <c r="Q295" s="91">
        <f t="shared" ref="Q295:Q311" si="135">IF(J295&gt;25,0.15,0)</f>
        <v>0.15</v>
      </c>
      <c r="R295" s="91"/>
      <c r="S295" s="104">
        <f t="shared" si="125"/>
        <v>73.114649999999997</v>
      </c>
      <c r="U295" s="93">
        <f t="shared" ref="U295:U311" si="136">+S295*$T$15</f>
        <v>52.921546838958314</v>
      </c>
      <c r="V295" s="93">
        <v>670.1</v>
      </c>
      <c r="W295" s="93">
        <f t="shared" si="126"/>
        <v>52.921546838958314</v>
      </c>
      <c r="X295" s="89">
        <f t="shared" si="127"/>
        <v>1.9056681108423395E-3</v>
      </c>
      <c r="Y295" s="93">
        <f t="shared" si="128"/>
        <v>5.1984854418015836</v>
      </c>
      <c r="Z295" s="92">
        <f t="shared" si="114"/>
        <v>58.120032280759901</v>
      </c>
      <c r="AA295" s="93">
        <f t="shared" si="129"/>
        <v>0.75281068302432241</v>
      </c>
      <c r="AB295" s="93">
        <f t="shared" si="116"/>
        <v>58.872842963784223</v>
      </c>
      <c r="AC295" s="93">
        <f t="shared" si="130"/>
        <v>0.11027427319228836</v>
      </c>
      <c r="AD295" s="93">
        <f t="shared" si="118"/>
        <v>58.983117236976511</v>
      </c>
      <c r="AE295" s="93">
        <f t="shared" si="131"/>
        <v>1.6153351170975903E-2</v>
      </c>
      <c r="AF295" s="92">
        <f t="shared" si="120"/>
        <v>58.999270588147489</v>
      </c>
      <c r="AG295" s="93">
        <f t="shared" si="132"/>
        <v>2.3661979035659616E-3</v>
      </c>
      <c r="AH295" s="92">
        <f t="shared" si="122"/>
        <v>59.001636786051058</v>
      </c>
      <c r="AI295" s="93">
        <f t="shared" si="133"/>
        <v>3.4660872901158812E-4</v>
      </c>
      <c r="AJ295" s="92">
        <f t="shared" ref="AJ295:AJ311" si="137">IF(AH295+AI295&gt;V295,V295,AH295+AI295)</f>
        <v>59.001983394780069</v>
      </c>
      <c r="AK295" s="93">
        <f t="shared" si="134"/>
        <v>670.1</v>
      </c>
      <c r="AL295" s="89" t="str">
        <f t="shared" si="124"/>
        <v>'pass'</v>
      </c>
    </row>
    <row r="296" spans="1:38" x14ac:dyDescent="0.2">
      <c r="A296" s="79"/>
      <c r="B296" s="117" t="s">
        <v>2139</v>
      </c>
      <c r="C296" s="124">
        <v>0</v>
      </c>
      <c r="D296" s="119">
        <f>C296/$C$6</f>
        <v>0</v>
      </c>
      <c r="E296" s="121" t="s">
        <v>2140</v>
      </c>
      <c r="F296" s="120" t="s">
        <v>2137</v>
      </c>
      <c r="G296" s="122">
        <v>12</v>
      </c>
      <c r="H296" s="121"/>
      <c r="I296" s="118" t="s">
        <v>2138</v>
      </c>
      <c r="J296" s="121">
        <v>44</v>
      </c>
      <c r="K296" s="123">
        <v>0</v>
      </c>
      <c r="L296" s="123">
        <v>357823</v>
      </c>
      <c r="M296" s="123">
        <v>762285</v>
      </c>
      <c r="N296" s="104">
        <v>988793</v>
      </c>
      <c r="O296" s="132">
        <v>988793</v>
      </c>
      <c r="P296" s="105"/>
      <c r="Q296" s="91">
        <f t="shared" si="135"/>
        <v>0.15</v>
      </c>
      <c r="R296" s="91"/>
      <c r="S296" s="104">
        <f t="shared" si="125"/>
        <v>74.159474999999986</v>
      </c>
      <c r="U296" s="93">
        <f t="shared" si="136"/>
        <v>53.677807795907633</v>
      </c>
      <c r="V296" s="93">
        <v>673.8</v>
      </c>
      <c r="W296" s="93">
        <f t="shared" si="126"/>
        <v>53.677807795907633</v>
      </c>
      <c r="X296" s="89">
        <f t="shared" si="127"/>
        <v>1.9329005421527656E-3</v>
      </c>
      <c r="Y296" s="93">
        <f t="shared" si="128"/>
        <v>5.2727729826942813</v>
      </c>
      <c r="Z296" s="92">
        <f t="shared" si="114"/>
        <v>58.950580778601918</v>
      </c>
      <c r="AA296" s="93">
        <f t="shared" si="129"/>
        <v>0.76356851913365054</v>
      </c>
      <c r="AB296" s="93">
        <f t="shared" si="116"/>
        <v>59.714149297735567</v>
      </c>
      <c r="AC296" s="93">
        <f t="shared" si="130"/>
        <v>0.11185011767062658</v>
      </c>
      <c r="AD296" s="93">
        <f t="shared" si="118"/>
        <v>59.825999415406194</v>
      </c>
      <c r="AE296" s="93">
        <f t="shared" si="131"/>
        <v>1.6384186238055001E-2</v>
      </c>
      <c r="AF296" s="92">
        <f t="shared" si="120"/>
        <v>59.842383601644251</v>
      </c>
      <c r="AG296" s="93">
        <f t="shared" si="132"/>
        <v>2.4000114104977916E-3</v>
      </c>
      <c r="AH296" s="92">
        <f t="shared" si="122"/>
        <v>59.844783613054751</v>
      </c>
      <c r="AI296" s="93">
        <f t="shared" si="133"/>
        <v>3.5156184668758784E-4</v>
      </c>
      <c r="AJ296" s="92">
        <f t="shared" si="137"/>
        <v>59.845135174901436</v>
      </c>
      <c r="AK296" s="93">
        <f t="shared" si="134"/>
        <v>673.8</v>
      </c>
      <c r="AL296" s="89" t="str">
        <f t="shared" si="124"/>
        <v>'pass'</v>
      </c>
    </row>
    <row r="297" spans="1:38" x14ac:dyDescent="0.2">
      <c r="A297" s="79"/>
      <c r="B297" s="117" t="s">
        <v>2141</v>
      </c>
      <c r="C297" s="124">
        <v>396</v>
      </c>
      <c r="D297" s="119"/>
      <c r="E297" s="121" t="s">
        <v>2142</v>
      </c>
      <c r="F297" s="120" t="s">
        <v>2137</v>
      </c>
      <c r="G297" s="122">
        <v>13</v>
      </c>
      <c r="H297" s="121"/>
      <c r="I297" s="118" t="s">
        <v>2138</v>
      </c>
      <c r="J297" s="121">
        <v>75</v>
      </c>
      <c r="K297" s="123">
        <v>3185819</v>
      </c>
      <c r="L297" s="123">
        <v>2544031</v>
      </c>
      <c r="M297" s="123">
        <v>2731016</v>
      </c>
      <c r="N297" s="104">
        <v>2665836</v>
      </c>
      <c r="O297" s="132">
        <v>3185819</v>
      </c>
      <c r="P297" s="105"/>
      <c r="Q297" s="91">
        <f t="shared" si="135"/>
        <v>0.15</v>
      </c>
      <c r="R297" s="91"/>
      <c r="S297" s="104">
        <f t="shared" si="125"/>
        <v>238.93642499999999</v>
      </c>
      <c r="U297" s="93">
        <f t="shared" si="136"/>
        <v>172.94598561534181</v>
      </c>
      <c r="V297" s="93">
        <v>785.6</v>
      </c>
      <c r="W297" s="93">
        <f t="shared" si="126"/>
        <v>172.94598561534181</v>
      </c>
      <c r="X297" s="89">
        <f t="shared" si="127"/>
        <v>6.2276647107135487E-3</v>
      </c>
      <c r="Y297" s="93">
        <f t="shared" si="128"/>
        <v>16.988490362446047</v>
      </c>
      <c r="Z297" s="92">
        <f t="shared" si="114"/>
        <v>189.93447597778786</v>
      </c>
      <c r="AA297" s="93">
        <f t="shared" si="129"/>
        <v>2.4601621330833123</v>
      </c>
      <c r="AB297" s="93">
        <f t="shared" si="116"/>
        <v>192.39463811087117</v>
      </c>
      <c r="AC297" s="93">
        <f t="shared" si="130"/>
        <v>0.3603729294476376</v>
      </c>
      <c r="AD297" s="93">
        <f t="shared" si="118"/>
        <v>192.75501104031881</v>
      </c>
      <c r="AE297" s="93">
        <f t="shared" si="131"/>
        <v>5.2788654265082939E-2</v>
      </c>
      <c r="AF297" s="92">
        <f t="shared" si="120"/>
        <v>192.80779969458388</v>
      </c>
      <c r="AG297" s="93">
        <f t="shared" si="132"/>
        <v>7.7326618936224912E-3</v>
      </c>
      <c r="AH297" s="92">
        <f t="shared" si="122"/>
        <v>192.81553235647749</v>
      </c>
      <c r="AI297" s="93">
        <f t="shared" si="133"/>
        <v>1.1327066543274523E-3</v>
      </c>
      <c r="AJ297" s="92">
        <f t="shared" si="137"/>
        <v>192.81666506313181</v>
      </c>
      <c r="AK297" s="93">
        <f t="shared" si="134"/>
        <v>785.6</v>
      </c>
      <c r="AL297" s="89" t="str">
        <f t="shared" si="124"/>
        <v>'pass'</v>
      </c>
    </row>
    <row r="298" spans="1:38" x14ac:dyDescent="0.2">
      <c r="A298" s="79"/>
      <c r="B298" s="117" t="s">
        <v>2143</v>
      </c>
      <c r="C298" s="124">
        <v>0</v>
      </c>
      <c r="D298" s="119">
        <f>C298/$C$6</f>
        <v>0</v>
      </c>
      <c r="E298" s="121" t="s">
        <v>2144</v>
      </c>
      <c r="F298" s="120" t="s">
        <v>2145</v>
      </c>
      <c r="G298" s="122">
        <v>4</v>
      </c>
      <c r="H298" s="121"/>
      <c r="I298" s="118" t="s">
        <v>2146</v>
      </c>
      <c r="J298" s="121">
        <v>50</v>
      </c>
      <c r="K298" s="123">
        <v>124882</v>
      </c>
      <c r="L298" s="123">
        <v>70210</v>
      </c>
      <c r="M298" s="123">
        <v>0</v>
      </c>
      <c r="N298" s="123">
        <v>385038</v>
      </c>
      <c r="O298" s="104">
        <v>385038</v>
      </c>
      <c r="P298" s="105"/>
      <c r="Q298" s="91">
        <f t="shared" si="135"/>
        <v>0.15</v>
      </c>
      <c r="R298" s="91"/>
      <c r="S298" s="104">
        <f t="shared" si="125"/>
        <v>28.877849999999999</v>
      </c>
      <c r="U298" s="93">
        <f t="shared" si="136"/>
        <v>20.902247242972681</v>
      </c>
      <c r="V298" s="93">
        <v>424.9</v>
      </c>
      <c r="W298" s="93">
        <f t="shared" si="126"/>
        <v>20.902247242972681</v>
      </c>
      <c r="X298" s="89">
        <f t="shared" si="127"/>
        <v>7.5267539206832644E-4</v>
      </c>
      <c r="Y298" s="93">
        <f t="shared" si="128"/>
        <v>2.053228495459253</v>
      </c>
      <c r="Z298" s="92">
        <f t="shared" si="114"/>
        <v>22.955475738431936</v>
      </c>
      <c r="AA298" s="93">
        <f t="shared" si="129"/>
        <v>0.2973351302751765</v>
      </c>
      <c r="AB298" s="93">
        <f t="shared" si="116"/>
        <v>23.252810868707112</v>
      </c>
      <c r="AC298" s="93">
        <f t="shared" si="130"/>
        <v>4.3554662712683774E-2</v>
      </c>
      <c r="AD298" s="93">
        <f t="shared" si="118"/>
        <v>23.296365531419795</v>
      </c>
      <c r="AE298" s="93">
        <f t="shared" si="131"/>
        <v>6.380035356973829E-3</v>
      </c>
      <c r="AF298" s="92">
        <f t="shared" si="120"/>
        <v>23.302745566776768</v>
      </c>
      <c r="AG298" s="93">
        <f t="shared" si="132"/>
        <v>9.3456931175205408E-4</v>
      </c>
      <c r="AH298" s="92">
        <f t="shared" si="122"/>
        <v>23.30368013608852</v>
      </c>
      <c r="AI298" s="93">
        <f t="shared" si="133"/>
        <v>1.3689889625522782E-4</v>
      </c>
      <c r="AJ298" s="92">
        <f t="shared" si="137"/>
        <v>23.303817034984775</v>
      </c>
      <c r="AK298" s="93">
        <f t="shared" si="134"/>
        <v>424.9</v>
      </c>
      <c r="AL298" s="89" t="str">
        <f t="shared" si="124"/>
        <v>'pass'</v>
      </c>
    </row>
    <row r="299" spans="1:38" x14ac:dyDescent="0.2">
      <c r="A299" s="79"/>
      <c r="B299" s="117" t="s">
        <v>2147</v>
      </c>
      <c r="C299" s="124">
        <v>0</v>
      </c>
      <c r="D299" s="119">
        <f>C299/$C$6</f>
        <v>0</v>
      </c>
      <c r="E299" s="121" t="s">
        <v>2148</v>
      </c>
      <c r="F299" s="120" t="s">
        <v>2145</v>
      </c>
      <c r="G299" s="122">
        <v>5</v>
      </c>
      <c r="H299" s="121"/>
      <c r="I299" s="118" t="s">
        <v>2146</v>
      </c>
      <c r="J299" s="121">
        <v>50</v>
      </c>
      <c r="K299" s="123">
        <v>101881</v>
      </c>
      <c r="L299" s="123">
        <v>81678</v>
      </c>
      <c r="M299" s="123">
        <v>5</v>
      </c>
      <c r="N299" s="123">
        <v>453457</v>
      </c>
      <c r="O299" s="104">
        <v>453457</v>
      </c>
      <c r="P299" s="105"/>
      <c r="Q299" s="91">
        <f t="shared" si="135"/>
        <v>0.15</v>
      </c>
      <c r="R299" s="91"/>
      <c r="S299" s="104">
        <f t="shared" si="125"/>
        <v>34.009275000000002</v>
      </c>
      <c r="U299" s="93">
        <f t="shared" si="136"/>
        <v>24.616454292970211</v>
      </c>
      <c r="V299" s="93">
        <v>688.5</v>
      </c>
      <c r="W299" s="93">
        <f t="shared" si="126"/>
        <v>24.616454292970211</v>
      </c>
      <c r="X299" s="89">
        <f t="shared" si="127"/>
        <v>8.8642140583819549E-4</v>
      </c>
      <c r="Y299" s="93">
        <f t="shared" si="128"/>
        <v>2.4180751870346993</v>
      </c>
      <c r="Z299" s="92">
        <f t="shared" si="114"/>
        <v>27.03452948000491</v>
      </c>
      <c r="AA299" s="93">
        <f t="shared" si="129"/>
        <v>0.35016984341595042</v>
      </c>
      <c r="AB299" s="93">
        <f t="shared" si="116"/>
        <v>27.384699323420861</v>
      </c>
      <c r="AC299" s="93">
        <f t="shared" si="130"/>
        <v>5.1294071467505663E-2</v>
      </c>
      <c r="AD299" s="93">
        <f t="shared" si="118"/>
        <v>27.435993394888367</v>
      </c>
      <c r="AE299" s="93">
        <f t="shared" si="131"/>
        <v>7.5137303145852655E-3</v>
      </c>
      <c r="AF299" s="92">
        <f t="shared" si="120"/>
        <v>27.443507125202952</v>
      </c>
      <c r="AG299" s="93">
        <f t="shared" si="132"/>
        <v>1.1006368109099652E-3</v>
      </c>
      <c r="AH299" s="92">
        <f t="shared" si="122"/>
        <v>27.444607762013863</v>
      </c>
      <c r="AI299" s="93">
        <f t="shared" si="133"/>
        <v>1.6122502921583543E-4</v>
      </c>
      <c r="AJ299" s="92">
        <f t="shared" si="137"/>
        <v>27.44476898704308</v>
      </c>
      <c r="AK299" s="93">
        <f t="shared" si="134"/>
        <v>688.5</v>
      </c>
      <c r="AL299" s="89" t="str">
        <f t="shared" si="124"/>
        <v>'pass'</v>
      </c>
    </row>
    <row r="300" spans="1:38" x14ac:dyDescent="0.2">
      <c r="A300" s="79"/>
      <c r="B300" s="117" t="s">
        <v>2149</v>
      </c>
      <c r="C300" s="124">
        <v>376</v>
      </c>
      <c r="D300" s="119"/>
      <c r="E300" s="121" t="s">
        <v>2150</v>
      </c>
      <c r="F300" s="120" t="s">
        <v>2145</v>
      </c>
      <c r="G300" s="122">
        <v>6</v>
      </c>
      <c r="H300" s="121"/>
      <c r="I300" s="118" t="s">
        <v>2146</v>
      </c>
      <c r="J300" s="121">
        <v>113</v>
      </c>
      <c r="K300" s="123">
        <v>2661642</v>
      </c>
      <c r="L300" s="123">
        <v>2385941</v>
      </c>
      <c r="M300" s="123">
        <v>3196898</v>
      </c>
      <c r="N300" s="123">
        <v>3556158</v>
      </c>
      <c r="O300" s="104">
        <v>3556158</v>
      </c>
      <c r="P300" s="105"/>
      <c r="Q300" s="91">
        <f t="shared" si="135"/>
        <v>0.15</v>
      </c>
      <c r="R300" s="91"/>
      <c r="S300" s="104">
        <f t="shared" si="125"/>
        <v>266.71184999999997</v>
      </c>
      <c r="U300" s="93">
        <f t="shared" si="136"/>
        <v>193.05028010501621</v>
      </c>
      <c r="V300" s="93">
        <v>1061</v>
      </c>
      <c r="W300" s="93">
        <f t="shared" si="126"/>
        <v>193.05028010501621</v>
      </c>
      <c r="X300" s="89">
        <f t="shared" si="127"/>
        <v>6.951606378868878E-3</v>
      </c>
      <c r="Y300" s="93">
        <f t="shared" si="128"/>
        <v>18.963335930363716</v>
      </c>
      <c r="Z300" s="92">
        <f t="shared" si="114"/>
        <v>212.01361603537993</v>
      </c>
      <c r="AA300" s="93">
        <f t="shared" si="129"/>
        <v>2.746146360123185</v>
      </c>
      <c r="AB300" s="93">
        <f t="shared" si="116"/>
        <v>214.75976239550312</v>
      </c>
      <c r="AC300" s="93">
        <f t="shared" si="130"/>
        <v>0.40226487318917115</v>
      </c>
      <c r="AD300" s="93">
        <f t="shared" si="118"/>
        <v>215.1620272686923</v>
      </c>
      <c r="AE300" s="93">
        <f t="shared" si="131"/>
        <v>5.8925128883344842E-2</v>
      </c>
      <c r="AF300" s="92">
        <f t="shared" si="120"/>
        <v>215.22095239757564</v>
      </c>
      <c r="AG300" s="93">
        <f t="shared" si="132"/>
        <v>8.6315535987137905E-3</v>
      </c>
      <c r="AH300" s="92">
        <f t="shared" si="122"/>
        <v>215.22958395117436</v>
      </c>
      <c r="AI300" s="93">
        <f t="shared" si="133"/>
        <v>1.264379373228612E-3</v>
      </c>
      <c r="AJ300" s="92">
        <f t="shared" si="137"/>
        <v>215.23084833054759</v>
      </c>
      <c r="AK300" s="93">
        <f t="shared" si="134"/>
        <v>1061</v>
      </c>
      <c r="AL300" s="89" t="str">
        <f t="shared" si="124"/>
        <v>'pass'</v>
      </c>
    </row>
    <row r="301" spans="1:38" x14ac:dyDescent="0.2">
      <c r="A301" s="79"/>
      <c r="B301" s="117" t="s">
        <v>2151</v>
      </c>
      <c r="C301" s="124">
        <v>0</v>
      </c>
      <c r="D301" s="119">
        <f>C301/$C$6</f>
        <v>0</v>
      </c>
      <c r="E301" s="121" t="s">
        <v>2152</v>
      </c>
      <c r="F301" s="120" t="s">
        <v>2153</v>
      </c>
      <c r="G301" s="122">
        <v>1</v>
      </c>
      <c r="H301" s="121"/>
      <c r="I301" s="118" t="s">
        <v>0</v>
      </c>
      <c r="J301" s="121">
        <v>37.5</v>
      </c>
      <c r="K301" s="123">
        <v>178525</v>
      </c>
      <c r="L301" s="123">
        <v>0</v>
      </c>
      <c r="M301" s="123">
        <v>0</v>
      </c>
      <c r="N301" s="123">
        <v>598679</v>
      </c>
      <c r="O301" s="104">
        <v>598679</v>
      </c>
      <c r="P301" s="105"/>
      <c r="Q301" s="91">
        <f t="shared" si="135"/>
        <v>0.15</v>
      </c>
      <c r="R301" s="91"/>
      <c r="S301" s="104">
        <f t="shared" si="125"/>
        <v>44.900924999999994</v>
      </c>
      <c r="U301" s="93">
        <f t="shared" si="136"/>
        <v>32.500003836441181</v>
      </c>
      <c r="V301" s="93">
        <v>279.89999999999998</v>
      </c>
      <c r="W301" s="93">
        <f t="shared" si="126"/>
        <v>32.500003836441181</v>
      </c>
      <c r="X301" s="89">
        <f t="shared" si="127"/>
        <v>1.1703025442893261E-3</v>
      </c>
      <c r="Y301" s="93">
        <f t="shared" si="128"/>
        <v>3.1924765411025664</v>
      </c>
      <c r="Z301" s="92">
        <f t="shared" si="114"/>
        <v>35.692480377543745</v>
      </c>
      <c r="AA301" s="93">
        <f t="shared" si="129"/>
        <v>0.46231358582273013</v>
      </c>
      <c r="AB301" s="93">
        <f t="shared" si="116"/>
        <v>36.154793963366473</v>
      </c>
      <c r="AC301" s="93">
        <f t="shared" si="130"/>
        <v>6.77212688570136E-2</v>
      </c>
      <c r="AD301" s="93">
        <f t="shared" si="118"/>
        <v>36.222515232223486</v>
      </c>
      <c r="AE301" s="93">
        <f t="shared" si="131"/>
        <v>9.9200421451330362E-3</v>
      </c>
      <c r="AF301" s="92">
        <f t="shared" si="120"/>
        <v>36.232435274368619</v>
      </c>
      <c r="AG301" s="93">
        <f t="shared" si="132"/>
        <v>1.4531215645998783E-3</v>
      </c>
      <c r="AH301" s="92">
        <f t="shared" si="122"/>
        <v>36.233888395933221</v>
      </c>
      <c r="AI301" s="93">
        <f t="shared" si="133"/>
        <v>2.1285819662262821E-4</v>
      </c>
      <c r="AJ301" s="92">
        <f t="shared" si="137"/>
        <v>36.234101254129847</v>
      </c>
      <c r="AK301" s="93">
        <f t="shared" si="134"/>
        <v>279.89999999999998</v>
      </c>
      <c r="AL301" s="89" t="str">
        <f t="shared" si="124"/>
        <v>'pass'</v>
      </c>
    </row>
    <row r="302" spans="1:38" x14ac:dyDescent="0.2">
      <c r="A302" s="79"/>
      <c r="B302" s="117" t="s">
        <v>1</v>
      </c>
      <c r="C302" s="124">
        <v>0</v>
      </c>
      <c r="D302" s="119">
        <f>C302/$C$6</f>
        <v>0</v>
      </c>
      <c r="E302" s="121" t="s">
        <v>2</v>
      </c>
      <c r="F302" s="120" t="s">
        <v>2153</v>
      </c>
      <c r="G302" s="122">
        <v>2</v>
      </c>
      <c r="H302" s="121"/>
      <c r="I302" s="118" t="s">
        <v>0</v>
      </c>
      <c r="J302" s="121">
        <v>37.5</v>
      </c>
      <c r="K302" s="123">
        <v>203798</v>
      </c>
      <c r="L302" s="123">
        <v>0</v>
      </c>
      <c r="M302" s="123">
        <v>0</v>
      </c>
      <c r="N302" s="123">
        <v>305195</v>
      </c>
      <c r="O302" s="104">
        <v>305195</v>
      </c>
      <c r="P302" s="105"/>
      <c r="Q302" s="91">
        <f t="shared" si="135"/>
        <v>0.15</v>
      </c>
      <c r="R302" s="91"/>
      <c r="S302" s="104">
        <f t="shared" si="125"/>
        <v>22.889624999999999</v>
      </c>
      <c r="U302" s="93">
        <f t="shared" si="136"/>
        <v>16.567874722284675</v>
      </c>
      <c r="V302" s="93">
        <v>311.39999999999998</v>
      </c>
      <c r="W302" s="93">
        <f t="shared" si="126"/>
        <v>16.567874722284675</v>
      </c>
      <c r="X302" s="89">
        <f t="shared" si="127"/>
        <v>5.9659765083522364E-4</v>
      </c>
      <c r="Y302" s="93">
        <f t="shared" si="128"/>
        <v>1.6274629274816683</v>
      </c>
      <c r="Z302" s="92">
        <f t="shared" si="114"/>
        <v>18.195337649766344</v>
      </c>
      <c r="AA302" s="93">
        <f t="shared" si="129"/>
        <v>0.23567854363551771</v>
      </c>
      <c r="AB302" s="93">
        <f t="shared" si="116"/>
        <v>18.431016193401863</v>
      </c>
      <c r="AC302" s="93">
        <f t="shared" si="130"/>
        <v>3.4522995877283594E-2</v>
      </c>
      <c r="AD302" s="93">
        <f t="shared" si="118"/>
        <v>18.465539189279145</v>
      </c>
      <c r="AE302" s="93">
        <f t="shared" si="131"/>
        <v>5.0570460338242645E-3</v>
      </c>
      <c r="AF302" s="92">
        <f t="shared" si="120"/>
        <v>18.470596235312968</v>
      </c>
      <c r="AG302" s="93">
        <f t="shared" si="132"/>
        <v>7.4077332912639293E-4</v>
      </c>
      <c r="AH302" s="92">
        <f t="shared" si="122"/>
        <v>18.471337008642095</v>
      </c>
      <c r="AI302" s="93">
        <f t="shared" si="133"/>
        <v>1.0851100058335604E-4</v>
      </c>
      <c r="AJ302" s="92">
        <f t="shared" si="137"/>
        <v>18.471445519642678</v>
      </c>
      <c r="AK302" s="93">
        <f t="shared" si="134"/>
        <v>311.39999999999998</v>
      </c>
      <c r="AL302" s="89" t="str">
        <f t="shared" si="124"/>
        <v>'pass'</v>
      </c>
    </row>
    <row r="303" spans="1:38" x14ac:dyDescent="0.2">
      <c r="A303" s="79"/>
      <c r="B303" s="117" t="s">
        <v>3</v>
      </c>
      <c r="C303" s="124">
        <v>0</v>
      </c>
      <c r="D303" s="119"/>
      <c r="E303" s="121" t="s">
        <v>4</v>
      </c>
      <c r="F303" s="120" t="s">
        <v>2153</v>
      </c>
      <c r="G303" s="122">
        <v>3</v>
      </c>
      <c r="H303" s="121"/>
      <c r="I303" s="118" t="s">
        <v>0</v>
      </c>
      <c r="J303" s="121">
        <v>49</v>
      </c>
      <c r="K303" s="123">
        <v>781198</v>
      </c>
      <c r="L303" s="123">
        <v>540004</v>
      </c>
      <c r="M303" s="123">
        <v>702589</v>
      </c>
      <c r="N303" s="123">
        <v>829431</v>
      </c>
      <c r="O303" s="104">
        <v>829431</v>
      </c>
      <c r="P303" s="105"/>
      <c r="Q303" s="91">
        <f t="shared" si="135"/>
        <v>0.15</v>
      </c>
      <c r="R303" s="91"/>
      <c r="S303" s="104">
        <f t="shared" si="125"/>
        <v>62.207324999999997</v>
      </c>
      <c r="U303" s="93">
        <f t="shared" si="136"/>
        <v>45.026651481116339</v>
      </c>
      <c r="V303" s="93">
        <v>267.60000000000002</v>
      </c>
      <c r="W303" s="93">
        <f t="shared" si="126"/>
        <v>45.026651481116339</v>
      </c>
      <c r="X303" s="89">
        <f t="shared" si="127"/>
        <v>1.6213784175032699E-3</v>
      </c>
      <c r="Y303" s="93">
        <f t="shared" si="128"/>
        <v>4.4229695879816111</v>
      </c>
      <c r="Z303" s="92">
        <f t="shared" si="114"/>
        <v>49.449621069097951</v>
      </c>
      <c r="AA303" s="93">
        <f t="shared" si="129"/>
        <v>0.64050554604810417</v>
      </c>
      <c r="AB303" s="93">
        <f t="shared" si="116"/>
        <v>50.090126615146055</v>
      </c>
      <c r="AC303" s="93">
        <f t="shared" si="130"/>
        <v>9.3823434176481313E-2</v>
      </c>
      <c r="AD303" s="93">
        <f t="shared" si="118"/>
        <v>50.183950049322533</v>
      </c>
      <c r="AE303" s="93">
        <f t="shared" si="131"/>
        <v>1.3743576234475972E-2</v>
      </c>
      <c r="AF303" s="92">
        <f t="shared" si="120"/>
        <v>50.197693625557008</v>
      </c>
      <c r="AG303" s="93">
        <f t="shared" si="132"/>
        <v>2.0132058623196099E-3</v>
      </c>
      <c r="AH303" s="92">
        <f t="shared" si="122"/>
        <v>50.199706831419327</v>
      </c>
      <c r="AI303" s="93">
        <f t="shared" si="133"/>
        <v>2.9490125239552942E-4</v>
      </c>
      <c r="AJ303" s="92">
        <f t="shared" si="137"/>
        <v>50.200001732671723</v>
      </c>
      <c r="AK303" s="93">
        <f t="shared" si="134"/>
        <v>267.60000000000002</v>
      </c>
      <c r="AL303" s="89" t="str">
        <f t="shared" si="124"/>
        <v>'pass'</v>
      </c>
    </row>
    <row r="304" spans="1:38" x14ac:dyDescent="0.2">
      <c r="A304" s="79"/>
      <c r="B304" s="117" t="s">
        <v>5</v>
      </c>
      <c r="C304" s="124">
        <v>0</v>
      </c>
      <c r="D304" s="119"/>
      <c r="E304" s="121" t="s">
        <v>6</v>
      </c>
      <c r="F304" s="120" t="s">
        <v>2153</v>
      </c>
      <c r="G304" s="122">
        <v>4</v>
      </c>
      <c r="H304" s="121"/>
      <c r="I304" s="118" t="s">
        <v>0</v>
      </c>
      <c r="J304" s="121">
        <v>49</v>
      </c>
      <c r="K304" s="123">
        <v>767904</v>
      </c>
      <c r="L304" s="123">
        <v>527169</v>
      </c>
      <c r="M304" s="123">
        <v>644455</v>
      </c>
      <c r="N304" s="123">
        <v>892874</v>
      </c>
      <c r="O304" s="104">
        <v>892874</v>
      </c>
      <c r="P304" s="105"/>
      <c r="Q304" s="91">
        <f t="shared" si="135"/>
        <v>0.15</v>
      </c>
      <c r="R304" s="91"/>
      <c r="S304" s="104">
        <f t="shared" si="125"/>
        <v>66.965550000000007</v>
      </c>
      <c r="U304" s="93">
        <f t="shared" si="136"/>
        <v>48.470730433936367</v>
      </c>
      <c r="V304" s="93">
        <v>341</v>
      </c>
      <c r="W304" s="93">
        <f t="shared" si="126"/>
        <v>48.470730433936367</v>
      </c>
      <c r="X304" s="89">
        <f t="shared" si="127"/>
        <v>1.7453973062856521E-3</v>
      </c>
      <c r="Y304" s="93">
        <f t="shared" si="128"/>
        <v>4.7612815868945013</v>
      </c>
      <c r="Z304" s="92">
        <f t="shared" si="114"/>
        <v>53.232012020830865</v>
      </c>
      <c r="AA304" s="93">
        <f t="shared" si="129"/>
        <v>0.68949767843516208</v>
      </c>
      <c r="AB304" s="93">
        <f t="shared" si="116"/>
        <v>53.921509699266025</v>
      </c>
      <c r="AC304" s="93">
        <f t="shared" si="130"/>
        <v>0.10099996861329223</v>
      </c>
      <c r="AD304" s="93">
        <f t="shared" si="118"/>
        <v>54.022509667879319</v>
      </c>
      <c r="AE304" s="93">
        <f t="shared" si="131"/>
        <v>1.4794819444633128E-2</v>
      </c>
      <c r="AF304" s="92">
        <f t="shared" si="120"/>
        <v>54.037304487323951</v>
      </c>
      <c r="AG304" s="93">
        <f t="shared" si="132"/>
        <v>2.1671955486505319E-3</v>
      </c>
      <c r="AH304" s="92">
        <f t="shared" si="122"/>
        <v>54.039471682872602</v>
      </c>
      <c r="AI304" s="93">
        <f t="shared" si="133"/>
        <v>3.1745818619198697E-4</v>
      </c>
      <c r="AJ304" s="92">
        <f t="shared" si="137"/>
        <v>54.03978914105879</v>
      </c>
      <c r="AK304" s="93">
        <f t="shared" si="134"/>
        <v>341</v>
      </c>
      <c r="AL304" s="89" t="str">
        <f t="shared" si="124"/>
        <v>'pass'</v>
      </c>
    </row>
    <row r="305" spans="1:38" x14ac:dyDescent="0.2">
      <c r="A305" s="79"/>
      <c r="B305" s="117" t="s">
        <v>7</v>
      </c>
      <c r="C305" s="124">
        <v>0</v>
      </c>
      <c r="D305" s="119">
        <f>C305/$C$6</f>
        <v>0</v>
      </c>
      <c r="E305" s="121" t="s">
        <v>8</v>
      </c>
      <c r="F305" s="120" t="s">
        <v>9</v>
      </c>
      <c r="G305" s="122">
        <v>1</v>
      </c>
      <c r="H305" s="121"/>
      <c r="I305" s="118" t="s">
        <v>10</v>
      </c>
      <c r="J305" s="121">
        <v>37.5</v>
      </c>
      <c r="K305" s="123">
        <v>154947</v>
      </c>
      <c r="L305" s="123">
        <v>325900</v>
      </c>
      <c r="M305" s="123">
        <v>161447</v>
      </c>
      <c r="N305" s="123">
        <v>380482</v>
      </c>
      <c r="O305" s="104">
        <v>380482</v>
      </c>
      <c r="P305" s="105"/>
      <c r="Q305" s="91">
        <f t="shared" si="135"/>
        <v>0.15</v>
      </c>
      <c r="R305" s="91"/>
      <c r="S305" s="104">
        <f t="shared" si="125"/>
        <v>28.536149999999999</v>
      </c>
      <c r="U305" s="93">
        <f t="shared" si="136"/>
        <v>20.654919346923503</v>
      </c>
      <c r="V305" s="93">
        <v>209.4</v>
      </c>
      <c r="W305" s="93">
        <f t="shared" si="126"/>
        <v>20.654919346923503</v>
      </c>
      <c r="X305" s="89">
        <f t="shared" si="127"/>
        <v>7.4376928647287019E-4</v>
      </c>
      <c r="Y305" s="93">
        <f t="shared" si="128"/>
        <v>2.028933467370305</v>
      </c>
      <c r="Z305" s="92">
        <f t="shared" si="114"/>
        <v>22.683852814293807</v>
      </c>
      <c r="AA305" s="93">
        <f t="shared" si="129"/>
        <v>0.29381688310597842</v>
      </c>
      <c r="AB305" s="93">
        <f t="shared" si="116"/>
        <v>22.977669697399786</v>
      </c>
      <c r="AC305" s="93">
        <f t="shared" si="130"/>
        <v>4.3039297882929345E-2</v>
      </c>
      <c r="AD305" s="93">
        <f t="shared" si="118"/>
        <v>23.020708995282718</v>
      </c>
      <c r="AE305" s="93">
        <f t="shared" si="131"/>
        <v>6.3045429611937433E-3</v>
      </c>
      <c r="AF305" s="92">
        <f t="shared" si="120"/>
        <v>23.02701353824391</v>
      </c>
      <c r="AG305" s="93">
        <f t="shared" si="132"/>
        <v>9.2351092846432051E-4</v>
      </c>
      <c r="AH305" s="92">
        <f t="shared" si="122"/>
        <v>23.027937049172376</v>
      </c>
      <c r="AI305" s="93">
        <f t="shared" si="133"/>
        <v>1.3527902660252127E-4</v>
      </c>
      <c r="AJ305" s="92">
        <f t="shared" si="137"/>
        <v>23.028072328198977</v>
      </c>
      <c r="AK305" s="93">
        <f t="shared" si="134"/>
        <v>209.4</v>
      </c>
      <c r="AL305" s="89" t="str">
        <f t="shared" si="124"/>
        <v>'pass'</v>
      </c>
    </row>
    <row r="306" spans="1:38" x14ac:dyDescent="0.2">
      <c r="A306" s="79"/>
      <c r="B306" s="117" t="s">
        <v>11</v>
      </c>
      <c r="C306" s="124">
        <v>0</v>
      </c>
      <c r="D306" s="119">
        <f>C306/$C$6</f>
        <v>0</v>
      </c>
      <c r="E306" s="121" t="s">
        <v>12</v>
      </c>
      <c r="F306" s="120" t="s">
        <v>9</v>
      </c>
      <c r="G306" s="122">
        <v>2</v>
      </c>
      <c r="H306" s="121"/>
      <c r="I306" s="118" t="s">
        <v>10</v>
      </c>
      <c r="J306" s="121">
        <v>37.5</v>
      </c>
      <c r="K306" s="123">
        <v>132232</v>
      </c>
      <c r="L306" s="123">
        <v>326251</v>
      </c>
      <c r="M306" s="123">
        <v>175097</v>
      </c>
      <c r="N306" s="123">
        <v>421126</v>
      </c>
      <c r="O306" s="104">
        <v>421126</v>
      </c>
      <c r="P306" s="105"/>
      <c r="Q306" s="91">
        <f t="shared" si="135"/>
        <v>0.15</v>
      </c>
      <c r="R306" s="91"/>
      <c r="S306" s="104">
        <f t="shared" si="125"/>
        <v>31.584449999999997</v>
      </c>
      <c r="U306" s="93">
        <f t="shared" si="136"/>
        <v>22.86132738182754</v>
      </c>
      <c r="V306" s="93">
        <v>220.3</v>
      </c>
      <c r="W306" s="93">
        <f t="shared" si="126"/>
        <v>22.86132738182754</v>
      </c>
      <c r="X306" s="89">
        <f t="shared" si="127"/>
        <v>8.2322050592452173E-4</v>
      </c>
      <c r="Y306" s="93">
        <f t="shared" si="128"/>
        <v>2.2456690076791728</v>
      </c>
      <c r="Z306" s="92">
        <f t="shared" si="114"/>
        <v>25.106996389506712</v>
      </c>
      <c r="AA306" s="93">
        <f t="shared" si="129"/>
        <v>0.32520310741346037</v>
      </c>
      <c r="AB306" s="93">
        <f t="shared" si="116"/>
        <v>25.432199496920173</v>
      </c>
      <c r="AC306" s="93">
        <f t="shared" si="130"/>
        <v>4.7636858932213609E-2</v>
      </c>
      <c r="AD306" s="93">
        <f t="shared" si="118"/>
        <v>25.479836355852388</v>
      </c>
      <c r="AE306" s="93">
        <f t="shared" si="131"/>
        <v>6.9780093646366337E-3</v>
      </c>
      <c r="AF306" s="92">
        <f t="shared" si="120"/>
        <v>25.486814365217025</v>
      </c>
      <c r="AG306" s="93">
        <f t="shared" si="132"/>
        <v>1.0221625813059893E-3</v>
      </c>
      <c r="AH306" s="92">
        <f t="shared" si="122"/>
        <v>25.487836527798333</v>
      </c>
      <c r="AI306" s="93">
        <f t="shared" si="133"/>
        <v>1.4972985675278558E-4</v>
      </c>
      <c r="AJ306" s="92">
        <f t="shared" si="137"/>
        <v>25.487986257655084</v>
      </c>
      <c r="AK306" s="93">
        <f t="shared" si="134"/>
        <v>220.3</v>
      </c>
      <c r="AL306" s="89" t="str">
        <f t="shared" si="124"/>
        <v>'pass'</v>
      </c>
    </row>
    <row r="307" spans="1:38" x14ac:dyDescent="0.2">
      <c r="A307" s="79"/>
      <c r="B307" s="117" t="s">
        <v>13</v>
      </c>
      <c r="C307" s="124">
        <v>0</v>
      </c>
      <c r="D307" s="119"/>
      <c r="E307" s="121" t="s">
        <v>14</v>
      </c>
      <c r="F307" s="120" t="s">
        <v>9</v>
      </c>
      <c r="G307" s="122">
        <v>3</v>
      </c>
      <c r="H307" s="121"/>
      <c r="I307" s="118" t="s">
        <v>10</v>
      </c>
      <c r="J307" s="121">
        <v>37.5</v>
      </c>
      <c r="K307" s="123">
        <v>338098</v>
      </c>
      <c r="L307" s="123">
        <v>354693</v>
      </c>
      <c r="M307" s="123">
        <v>218308</v>
      </c>
      <c r="N307" s="123">
        <v>376528</v>
      </c>
      <c r="O307" s="104">
        <v>376528</v>
      </c>
      <c r="P307" s="105"/>
      <c r="Q307" s="91">
        <f t="shared" si="135"/>
        <v>0.15</v>
      </c>
      <c r="R307" s="91"/>
      <c r="S307" s="104">
        <f t="shared" si="125"/>
        <v>28.239599999999999</v>
      </c>
      <c r="U307" s="93">
        <f t="shared" si="136"/>
        <v>20.440271739158259</v>
      </c>
      <c r="V307" s="93">
        <v>233</v>
      </c>
      <c r="W307" s="93">
        <f t="shared" si="126"/>
        <v>20.440271739158259</v>
      </c>
      <c r="X307" s="89">
        <f t="shared" si="127"/>
        <v>7.3603997533932446E-4</v>
      </c>
      <c r="Y307" s="93">
        <f t="shared" si="128"/>
        <v>2.0078486251701952</v>
      </c>
      <c r="Z307" s="92">
        <f t="shared" si="114"/>
        <v>22.448120364328453</v>
      </c>
      <c r="AA307" s="93">
        <f t="shared" si="129"/>
        <v>0.29076351407458917</v>
      </c>
      <c r="AB307" s="93">
        <f t="shared" si="116"/>
        <v>22.73888387840304</v>
      </c>
      <c r="AC307" s="93">
        <f t="shared" si="130"/>
        <v>4.2592029986342636E-2</v>
      </c>
      <c r="AD307" s="93">
        <f t="shared" si="118"/>
        <v>22.781475908389382</v>
      </c>
      <c r="AE307" s="93">
        <f t="shared" si="131"/>
        <v>6.2390256361466705E-3</v>
      </c>
      <c r="AF307" s="92">
        <f t="shared" si="120"/>
        <v>22.78771493402553</v>
      </c>
      <c r="AG307" s="93">
        <f t="shared" si="132"/>
        <v>9.1391372751618643E-4</v>
      </c>
      <c r="AH307" s="92">
        <f t="shared" si="122"/>
        <v>22.788628847753046</v>
      </c>
      <c r="AI307" s="93">
        <f t="shared" si="133"/>
        <v>1.3387319591621715E-4</v>
      </c>
      <c r="AJ307" s="92">
        <f t="shared" si="137"/>
        <v>22.788762720948963</v>
      </c>
      <c r="AK307" s="93">
        <f t="shared" si="134"/>
        <v>233</v>
      </c>
      <c r="AL307" s="89" t="str">
        <f t="shared" si="124"/>
        <v>'pass'</v>
      </c>
    </row>
    <row r="308" spans="1:38" x14ac:dyDescent="0.2">
      <c r="A308" s="79"/>
      <c r="B308" s="117" t="s">
        <v>15</v>
      </c>
      <c r="C308" s="124">
        <v>0</v>
      </c>
      <c r="D308" s="119"/>
      <c r="E308" s="121" t="s">
        <v>16</v>
      </c>
      <c r="F308" s="120" t="s">
        <v>9</v>
      </c>
      <c r="G308" s="122">
        <v>4</v>
      </c>
      <c r="H308" s="121"/>
      <c r="I308" s="118" t="s">
        <v>10</v>
      </c>
      <c r="J308" s="121">
        <v>37.5</v>
      </c>
      <c r="K308" s="123">
        <v>303596</v>
      </c>
      <c r="L308" s="123">
        <v>423837</v>
      </c>
      <c r="M308" s="123">
        <v>239163</v>
      </c>
      <c r="N308" s="123">
        <v>398494</v>
      </c>
      <c r="O308" s="104">
        <v>423837</v>
      </c>
      <c r="P308" s="105"/>
      <c r="Q308" s="91">
        <f t="shared" si="135"/>
        <v>0.15</v>
      </c>
      <c r="R308" s="91"/>
      <c r="S308" s="104">
        <f t="shared" si="125"/>
        <v>31.787774999999996</v>
      </c>
      <c r="U308" s="93">
        <f t="shared" si="136"/>
        <v>23.008497251491569</v>
      </c>
      <c r="V308" s="93">
        <v>221.2</v>
      </c>
      <c r="W308" s="93">
        <f t="shared" si="126"/>
        <v>23.008497251491569</v>
      </c>
      <c r="X308" s="89">
        <f t="shared" si="127"/>
        <v>8.2851999061927194E-4</v>
      </c>
      <c r="Y308" s="93">
        <f t="shared" si="128"/>
        <v>2.2601255092483425</v>
      </c>
      <c r="Z308" s="92">
        <f t="shared" si="114"/>
        <v>25.268622760739913</v>
      </c>
      <c r="AA308" s="93">
        <f t="shared" si="129"/>
        <v>0.32729660347924094</v>
      </c>
      <c r="AB308" s="93">
        <f t="shared" si="116"/>
        <v>25.595919364219153</v>
      </c>
      <c r="AC308" s="93">
        <f t="shared" si="130"/>
        <v>4.7943521367126749E-2</v>
      </c>
      <c r="AD308" s="93">
        <f t="shared" si="118"/>
        <v>25.64386288558628</v>
      </c>
      <c r="AE308" s="93">
        <f t="shared" si="131"/>
        <v>7.0229303227050737E-3</v>
      </c>
      <c r="AF308" s="92">
        <f t="shared" si="120"/>
        <v>25.650885815908985</v>
      </c>
      <c r="AG308" s="93">
        <f t="shared" si="132"/>
        <v>1.0287427562605646E-3</v>
      </c>
      <c r="AH308" s="92">
        <f t="shared" si="122"/>
        <v>25.651914558665247</v>
      </c>
      <c r="AI308" s="93">
        <f t="shared" si="133"/>
        <v>1.5069374319450803E-4</v>
      </c>
      <c r="AJ308" s="92">
        <f t="shared" si="137"/>
        <v>25.652065252408441</v>
      </c>
      <c r="AK308" s="93">
        <f t="shared" si="134"/>
        <v>221.2</v>
      </c>
      <c r="AL308" s="89" t="str">
        <f t="shared" si="124"/>
        <v>'pass'</v>
      </c>
    </row>
    <row r="309" spans="1:38" x14ac:dyDescent="0.2">
      <c r="A309" s="79"/>
      <c r="B309" s="117" t="s">
        <v>17</v>
      </c>
      <c r="C309" s="124">
        <v>3949</v>
      </c>
      <c r="D309" s="119">
        <f>C309/$C$6</f>
        <v>9.4480465105151082E-2</v>
      </c>
      <c r="E309" s="121" t="s">
        <v>18</v>
      </c>
      <c r="F309" s="120" t="s">
        <v>19</v>
      </c>
      <c r="G309" s="122">
        <v>1</v>
      </c>
      <c r="H309" s="121"/>
      <c r="I309" s="118" t="s">
        <v>20</v>
      </c>
      <c r="J309" s="121">
        <v>655</v>
      </c>
      <c r="K309" s="123">
        <v>20761519</v>
      </c>
      <c r="L309" s="123">
        <v>17240170</v>
      </c>
      <c r="M309" s="123">
        <v>17581804</v>
      </c>
      <c r="N309" s="123">
        <v>21436739</v>
      </c>
      <c r="O309" s="104">
        <v>21436739</v>
      </c>
      <c r="P309" s="105"/>
      <c r="Q309" s="91">
        <f t="shared" si="135"/>
        <v>0.15</v>
      </c>
      <c r="R309" s="91"/>
      <c r="S309" s="104">
        <f t="shared" si="125"/>
        <v>1607.7554250000001</v>
      </c>
      <c r="U309" s="93">
        <f t="shared" si="136"/>
        <v>1163.7189541319947</v>
      </c>
      <c r="V309" s="93">
        <v>6722.7</v>
      </c>
      <c r="W309" s="93">
        <f t="shared" si="126"/>
        <v>1163.7189541319947</v>
      </c>
      <c r="X309" s="89">
        <f t="shared" si="127"/>
        <v>4.1904710525951683E-2</v>
      </c>
      <c r="Y309" s="93">
        <f t="shared" si="128"/>
        <v>114.31215455233689</v>
      </c>
      <c r="Z309" s="92">
        <f t="shared" si="114"/>
        <v>1278.0311086843317</v>
      </c>
      <c r="AA309" s="93">
        <f t="shared" si="129"/>
        <v>16.553939048197726</v>
      </c>
      <c r="AB309" s="93">
        <f t="shared" si="116"/>
        <v>1294.5850477325293</v>
      </c>
      <c r="AC309" s="93">
        <f t="shared" si="130"/>
        <v>2.4248773804269552</v>
      </c>
      <c r="AD309" s="93">
        <f t="shared" si="118"/>
        <v>1297.0099251129564</v>
      </c>
      <c r="AE309" s="93">
        <f t="shared" si="131"/>
        <v>0.35520429868797315</v>
      </c>
      <c r="AF309" s="92">
        <f t="shared" si="120"/>
        <v>1297.3651294116444</v>
      </c>
      <c r="AG309" s="93">
        <f t="shared" si="132"/>
        <v>5.2031535623596671E-2</v>
      </c>
      <c r="AH309" s="92">
        <f t="shared" si="122"/>
        <v>1297.417160947268</v>
      </c>
      <c r="AI309" s="93">
        <f t="shared" si="133"/>
        <v>7.6217565757442018E-3</v>
      </c>
      <c r="AJ309" s="92">
        <f t="shared" si="137"/>
        <v>1297.4247827038437</v>
      </c>
      <c r="AK309" s="93">
        <f t="shared" si="134"/>
        <v>6722.7</v>
      </c>
      <c r="AL309" s="89" t="str">
        <f t="shared" si="124"/>
        <v>'pass'</v>
      </c>
    </row>
    <row r="310" spans="1:38" x14ac:dyDescent="0.2">
      <c r="A310" s="79"/>
      <c r="B310" s="117" t="s">
        <v>21</v>
      </c>
      <c r="C310" s="124">
        <v>776</v>
      </c>
      <c r="D310" s="119">
        <f>C310/$C$6</f>
        <v>1.8565925784147189E-2</v>
      </c>
      <c r="E310" s="121" t="s">
        <v>22</v>
      </c>
      <c r="F310" s="120" t="s">
        <v>23</v>
      </c>
      <c r="G310" s="122">
        <v>1</v>
      </c>
      <c r="H310" s="121"/>
      <c r="I310" s="118" t="s">
        <v>24</v>
      </c>
      <c r="J310" s="121">
        <v>155</v>
      </c>
      <c r="K310" s="123">
        <v>3671010</v>
      </c>
      <c r="L310" s="123">
        <v>4513208</v>
      </c>
      <c r="M310" s="123">
        <v>4096135</v>
      </c>
      <c r="N310" s="123">
        <v>5313542</v>
      </c>
      <c r="O310" s="104">
        <v>5313542</v>
      </c>
      <c r="P310" s="105"/>
      <c r="Q310" s="91">
        <f t="shared" si="135"/>
        <v>0.15</v>
      </c>
      <c r="R310" s="91"/>
      <c r="S310" s="104">
        <f t="shared" si="125"/>
        <v>398.51564999999994</v>
      </c>
      <c r="U310" s="93">
        <f t="shared" si="136"/>
        <v>288.45196739002262</v>
      </c>
      <c r="V310" s="93">
        <v>1738.2</v>
      </c>
      <c r="W310" s="93">
        <f t="shared" si="126"/>
        <v>288.45196739002262</v>
      </c>
      <c r="X310" s="89">
        <f t="shared" si="127"/>
        <v>1.0386954815165045E-2</v>
      </c>
      <c r="Y310" s="93">
        <f t="shared" si="128"/>
        <v>28.33464708994839</v>
      </c>
      <c r="Z310" s="92">
        <f t="shared" si="114"/>
        <v>316.78661447997104</v>
      </c>
      <c r="AA310" s="93">
        <f t="shared" si="129"/>
        <v>4.1032383889190722</v>
      </c>
      <c r="AB310" s="93">
        <f t="shared" si="116"/>
        <v>320.8898528688901</v>
      </c>
      <c r="AC310" s="93">
        <f t="shared" si="130"/>
        <v>0.6010563363088296</v>
      </c>
      <c r="AD310" s="93">
        <f t="shared" si="118"/>
        <v>321.49090920519893</v>
      </c>
      <c r="AE310" s="93">
        <f t="shared" si="131"/>
        <v>8.8044779556213745E-2</v>
      </c>
      <c r="AF310" s="92">
        <f t="shared" si="120"/>
        <v>321.57895398475517</v>
      </c>
      <c r="AG310" s="93">
        <f t="shared" si="132"/>
        <v>1.2897099221130465E-2</v>
      </c>
      <c r="AH310" s="92">
        <f t="shared" si="122"/>
        <v>321.59185108397628</v>
      </c>
      <c r="AI310" s="93">
        <f t="shared" si="133"/>
        <v>1.8892110259397658E-3</v>
      </c>
      <c r="AJ310" s="92">
        <f t="shared" si="137"/>
        <v>321.59374029500219</v>
      </c>
      <c r="AK310" s="93">
        <f t="shared" si="134"/>
        <v>1738.2</v>
      </c>
      <c r="AL310" s="89" t="str">
        <f t="shared" si="124"/>
        <v>'pass'</v>
      </c>
    </row>
    <row r="311" spans="1:38" x14ac:dyDescent="0.2">
      <c r="A311" s="79"/>
      <c r="B311" s="117" t="s">
        <v>25</v>
      </c>
      <c r="C311" s="124">
        <v>795</v>
      </c>
      <c r="D311" s="119">
        <f>C311/$C$6</f>
        <v>1.9020503863913678E-2</v>
      </c>
      <c r="E311" s="121" t="s">
        <v>26</v>
      </c>
      <c r="F311" s="120" t="s">
        <v>23</v>
      </c>
      <c r="G311" s="122">
        <v>2</v>
      </c>
      <c r="H311" s="121"/>
      <c r="I311" s="118" t="s">
        <v>24</v>
      </c>
      <c r="J311" s="121">
        <v>167</v>
      </c>
      <c r="K311" s="123">
        <v>4997574</v>
      </c>
      <c r="L311" s="123">
        <v>4902894</v>
      </c>
      <c r="M311" s="123">
        <v>5096741</v>
      </c>
      <c r="N311" s="123">
        <v>5039595</v>
      </c>
      <c r="O311" s="104">
        <v>5096741</v>
      </c>
      <c r="P311" s="105"/>
      <c r="Q311" s="91">
        <f t="shared" si="135"/>
        <v>0.15</v>
      </c>
      <c r="R311" s="91"/>
      <c r="S311" s="104">
        <f t="shared" si="125"/>
        <v>382.25557500000002</v>
      </c>
      <c r="U311" s="93">
        <f t="shared" si="136"/>
        <v>276.6826664261601</v>
      </c>
      <c r="V311" s="93">
        <v>1965.4</v>
      </c>
      <c r="W311" s="93">
        <f t="shared" si="126"/>
        <v>276.6826664261601</v>
      </c>
      <c r="X311" s="89">
        <f t="shared" si="127"/>
        <v>9.9631504694230547E-3</v>
      </c>
      <c r="Y311" s="93">
        <f t="shared" si="128"/>
        <v>27.178548234656031</v>
      </c>
      <c r="Z311" s="92">
        <f t="shared" si="114"/>
        <v>303.86121466081613</v>
      </c>
      <c r="AA311" s="93">
        <f t="shared" si="129"/>
        <v>3.9358197092594325</v>
      </c>
      <c r="AB311" s="93">
        <f t="shared" si="116"/>
        <v>307.79703437007555</v>
      </c>
      <c r="AC311" s="93">
        <f t="shared" si="130"/>
        <v>0.57653227782428385</v>
      </c>
      <c r="AD311" s="93">
        <f t="shared" si="118"/>
        <v>308.37356664789985</v>
      </c>
      <c r="AE311" s="93">
        <f t="shared" si="131"/>
        <v>8.4452411931648694E-2</v>
      </c>
      <c r="AF311" s="92">
        <f t="shared" si="120"/>
        <v>308.45801905983149</v>
      </c>
      <c r="AG311" s="93">
        <f t="shared" si="132"/>
        <v>1.2370876974606339E-2</v>
      </c>
      <c r="AH311" s="92">
        <f t="shared" si="122"/>
        <v>308.4703899368061</v>
      </c>
      <c r="AI311" s="93">
        <f t="shared" si="133"/>
        <v>1.812128198771981E-3</v>
      </c>
      <c r="AJ311" s="92">
        <f t="shared" si="137"/>
        <v>308.47220206500486</v>
      </c>
      <c r="AK311" s="93">
        <f t="shared" si="134"/>
        <v>1965.4</v>
      </c>
      <c r="AL311" s="89" t="str">
        <f t="shared" si="124"/>
        <v>'pass'</v>
      </c>
    </row>
    <row r="312" spans="1:38" x14ac:dyDescent="0.2">
      <c r="A312" s="79"/>
      <c r="B312" s="117"/>
      <c r="C312" s="124"/>
      <c r="D312" s="119"/>
      <c r="E312" s="121"/>
      <c r="F312" s="120"/>
      <c r="G312" s="122"/>
      <c r="H312" s="121"/>
      <c r="I312" s="118"/>
      <c r="J312" s="121"/>
      <c r="K312" s="123"/>
      <c r="L312" s="123"/>
      <c r="M312" s="123"/>
      <c r="N312" s="123"/>
      <c r="O312" s="104"/>
      <c r="P312" s="105"/>
      <c r="Q312" s="91"/>
      <c r="R312" s="91"/>
      <c r="S312" s="104">
        <f t="shared" si="125"/>
        <v>0</v>
      </c>
      <c r="W312" s="93">
        <f t="shared" si="126"/>
        <v>0</v>
      </c>
      <c r="X312" s="89">
        <f t="shared" si="127"/>
        <v>0</v>
      </c>
      <c r="Y312" s="93">
        <f t="shared" si="128"/>
        <v>0</v>
      </c>
      <c r="Z312" s="92">
        <f t="shared" si="114"/>
        <v>0</v>
      </c>
      <c r="AA312" s="93">
        <f t="shared" si="129"/>
        <v>0</v>
      </c>
      <c r="AB312" s="93">
        <f t="shared" si="116"/>
        <v>0</v>
      </c>
      <c r="AC312" s="93">
        <f t="shared" si="130"/>
        <v>0</v>
      </c>
      <c r="AD312" s="93">
        <f t="shared" si="118"/>
        <v>0</v>
      </c>
      <c r="AE312" s="93">
        <f t="shared" si="131"/>
        <v>0</v>
      </c>
      <c r="AF312" s="92">
        <f t="shared" si="120"/>
        <v>0</v>
      </c>
      <c r="AG312" s="93">
        <f t="shared" si="132"/>
        <v>0</v>
      </c>
      <c r="AH312" s="92">
        <f t="shared" si="122"/>
        <v>0</v>
      </c>
      <c r="AI312" s="93">
        <f t="shared" si="133"/>
        <v>0</v>
      </c>
      <c r="AJ312" s="92"/>
      <c r="AK312" s="93">
        <f t="shared" si="134"/>
        <v>0</v>
      </c>
      <c r="AL312" s="89" t="str">
        <f t="shared" si="124"/>
        <v>'pass'</v>
      </c>
    </row>
    <row r="313" spans="1:38" x14ac:dyDescent="0.2">
      <c r="A313" s="79" t="s">
        <v>27</v>
      </c>
      <c r="B313" s="79"/>
      <c r="C313" s="106"/>
      <c r="D313" s="107"/>
      <c r="E313" s="105"/>
      <c r="F313" s="108"/>
      <c r="G313" s="109"/>
      <c r="H313" s="105"/>
      <c r="I313" s="110"/>
      <c r="J313" s="105"/>
      <c r="K313" s="104"/>
      <c r="L313" s="104"/>
      <c r="M313" s="104"/>
      <c r="N313" s="104"/>
      <c r="O313" s="104"/>
      <c r="P313" s="105"/>
      <c r="Q313" s="91"/>
      <c r="R313" s="91"/>
      <c r="S313" s="104">
        <f t="shared" si="125"/>
        <v>0</v>
      </c>
      <c r="W313" s="93">
        <f t="shared" si="126"/>
        <v>0</v>
      </c>
      <c r="X313" s="89">
        <f t="shared" si="127"/>
        <v>0</v>
      </c>
      <c r="Y313" s="93">
        <f t="shared" si="128"/>
        <v>0</v>
      </c>
      <c r="Z313" s="92">
        <f t="shared" si="114"/>
        <v>0</v>
      </c>
      <c r="AA313" s="93">
        <f t="shared" si="129"/>
        <v>0</v>
      </c>
      <c r="AB313" s="93">
        <f t="shared" si="116"/>
        <v>0</v>
      </c>
      <c r="AC313" s="93">
        <f t="shared" si="130"/>
        <v>0</v>
      </c>
      <c r="AD313" s="93">
        <f t="shared" si="118"/>
        <v>0</v>
      </c>
      <c r="AE313" s="93">
        <f t="shared" si="131"/>
        <v>0</v>
      </c>
      <c r="AF313" s="92">
        <f t="shared" si="120"/>
        <v>0</v>
      </c>
      <c r="AG313" s="93">
        <f t="shared" si="132"/>
        <v>0</v>
      </c>
      <c r="AH313" s="92">
        <f t="shared" si="122"/>
        <v>0</v>
      </c>
      <c r="AI313" s="93">
        <f t="shared" si="133"/>
        <v>0</v>
      </c>
      <c r="AJ313" s="92"/>
      <c r="AK313" s="93">
        <f t="shared" si="134"/>
        <v>0</v>
      </c>
      <c r="AL313" s="89" t="str">
        <f t="shared" si="124"/>
        <v>'pass'</v>
      </c>
    </row>
    <row r="314" spans="1:38" x14ac:dyDescent="0.2">
      <c r="A314" s="117"/>
      <c r="B314" s="117" t="s">
        <v>28</v>
      </c>
      <c r="C314" s="124">
        <v>713</v>
      </c>
      <c r="D314" s="119">
        <f t="shared" ref="D314:D320" si="138">C314/$C$6</f>
        <v>1.7058640572289879E-2</v>
      </c>
      <c r="E314" s="121" t="s">
        <v>29</v>
      </c>
      <c r="F314" s="120" t="s">
        <v>30</v>
      </c>
      <c r="G314" s="122">
        <v>1</v>
      </c>
      <c r="H314" s="121" t="s">
        <v>1461</v>
      </c>
      <c r="I314" s="118" t="s">
        <v>31</v>
      </c>
      <c r="J314" s="121">
        <v>621</v>
      </c>
      <c r="K314" s="123">
        <v>11487258</v>
      </c>
      <c r="L314" s="123">
        <v>3102752</v>
      </c>
      <c r="M314" s="123">
        <v>11456472</v>
      </c>
      <c r="N314" s="123">
        <v>13599229</v>
      </c>
      <c r="O314" s="104">
        <v>13599229</v>
      </c>
      <c r="P314" s="105"/>
      <c r="Q314" s="91">
        <f t="shared" ref="Q314:Q320" si="139">IF(J314&gt;25,0.15,0)</f>
        <v>0.15</v>
      </c>
      <c r="R314" s="91"/>
      <c r="S314" s="104">
        <f t="shared" si="125"/>
        <v>1019.9421749999999</v>
      </c>
      <c r="U314" s="93">
        <f t="shared" ref="U314:U320" si="140">+S314*$T$15</f>
        <v>738.25037235754417</v>
      </c>
      <c r="V314" s="93">
        <v>2545.6</v>
      </c>
      <c r="W314" s="93">
        <f t="shared" si="126"/>
        <v>738.25037235754417</v>
      </c>
      <c r="X314" s="89">
        <f t="shared" si="127"/>
        <v>2.6583882680156122E-2</v>
      </c>
      <c r="Y314" s="93">
        <f t="shared" si="128"/>
        <v>72.51836052305444</v>
      </c>
      <c r="Z314" s="92">
        <f t="shared" si="114"/>
        <v>810.76873288059858</v>
      </c>
      <c r="AA314" s="93">
        <f t="shared" si="129"/>
        <v>10.501634972020833</v>
      </c>
      <c r="AB314" s="93">
        <f t="shared" si="116"/>
        <v>821.27036785261942</v>
      </c>
      <c r="AC314" s="93">
        <f t="shared" si="130"/>
        <v>1.5383152630326038</v>
      </c>
      <c r="AD314" s="93">
        <f t="shared" si="118"/>
        <v>822.808683115652</v>
      </c>
      <c r="AE314" s="93">
        <f t="shared" si="131"/>
        <v>0.22533765978314824</v>
      </c>
      <c r="AF314" s="92">
        <f t="shared" si="120"/>
        <v>823.03402077543512</v>
      </c>
      <c r="AG314" s="93">
        <f t="shared" si="132"/>
        <v>3.3008227985000367E-2</v>
      </c>
      <c r="AH314" s="92">
        <f t="shared" si="122"/>
        <v>823.06702900342009</v>
      </c>
      <c r="AI314" s="93">
        <f t="shared" si="133"/>
        <v>4.835157672806541E-3</v>
      </c>
      <c r="AJ314" s="92">
        <f t="shared" ref="AJ314:AJ320" si="141">IF(AH314+AI314&gt;V314,V314,AH314+AI314)</f>
        <v>823.07186416109289</v>
      </c>
      <c r="AK314" s="93">
        <f t="shared" si="134"/>
        <v>2545.6</v>
      </c>
      <c r="AL314" s="89" t="str">
        <f t="shared" si="124"/>
        <v>'pass'</v>
      </c>
    </row>
    <row r="315" spans="1:38" x14ac:dyDescent="0.2">
      <c r="A315" s="79"/>
      <c r="B315" s="117" t="s">
        <v>32</v>
      </c>
      <c r="C315" s="124">
        <v>172</v>
      </c>
      <c r="D315" s="119">
        <f t="shared" si="138"/>
        <v>4.1151278799913867E-3</v>
      </c>
      <c r="E315" s="121" t="s">
        <v>33</v>
      </c>
      <c r="F315" s="120" t="s">
        <v>30</v>
      </c>
      <c r="G315" s="122">
        <v>2</v>
      </c>
      <c r="H315" s="121" t="s">
        <v>1461</v>
      </c>
      <c r="I315" s="118" t="s">
        <v>31</v>
      </c>
      <c r="J315" s="121">
        <v>621</v>
      </c>
      <c r="K315" s="123">
        <v>7912078</v>
      </c>
      <c r="L315" s="123">
        <v>2059053</v>
      </c>
      <c r="M315" s="123">
        <v>2231366</v>
      </c>
      <c r="N315" s="123">
        <v>11021141</v>
      </c>
      <c r="O315" s="104">
        <v>11021141</v>
      </c>
      <c r="P315" s="105"/>
      <c r="Q315" s="91">
        <f t="shared" si="139"/>
        <v>0.15</v>
      </c>
      <c r="R315" s="91"/>
      <c r="S315" s="104">
        <f t="shared" si="125"/>
        <v>826.58557499999995</v>
      </c>
      <c r="U315" s="93">
        <f t="shared" si="140"/>
        <v>598.29578919915218</v>
      </c>
      <c r="V315" s="93">
        <v>2466.6999999999998</v>
      </c>
      <c r="W315" s="93">
        <f t="shared" si="126"/>
        <v>598.29578919915218</v>
      </c>
      <c r="X315" s="89">
        <f t="shared" si="127"/>
        <v>2.1544215436438238E-2</v>
      </c>
      <c r="Y315" s="93">
        <f t="shared" si="128"/>
        <v>58.770616805806917</v>
      </c>
      <c r="Z315" s="92">
        <f t="shared" si="114"/>
        <v>657.06640600495905</v>
      </c>
      <c r="AA315" s="93">
        <f t="shared" si="129"/>
        <v>8.5107765857294311</v>
      </c>
      <c r="AB315" s="93">
        <f t="shared" si="116"/>
        <v>665.57718259068849</v>
      </c>
      <c r="AC315" s="93">
        <f t="shared" si="130"/>
        <v>1.2466875450317378</v>
      </c>
      <c r="AD315" s="93">
        <f t="shared" si="118"/>
        <v>666.8238701357202</v>
      </c>
      <c r="AE315" s="93">
        <f t="shared" si="131"/>
        <v>0.1826190382616622</v>
      </c>
      <c r="AF315" s="92">
        <f t="shared" si="120"/>
        <v>667.00648917398189</v>
      </c>
      <c r="AG315" s="93">
        <f t="shared" si="132"/>
        <v>2.6750658789761902E-2</v>
      </c>
      <c r="AH315" s="92">
        <f t="shared" si="122"/>
        <v>667.03323983277164</v>
      </c>
      <c r="AI315" s="93">
        <f t="shared" si="133"/>
        <v>3.9185276216197815E-3</v>
      </c>
      <c r="AJ315" s="92">
        <f t="shared" si="141"/>
        <v>667.03715836039328</v>
      </c>
      <c r="AK315" s="93">
        <f t="shared" si="134"/>
        <v>2466.6999999999998</v>
      </c>
      <c r="AL315" s="89" t="str">
        <f t="shared" si="124"/>
        <v>'pass'</v>
      </c>
    </row>
    <row r="316" spans="1:38" x14ac:dyDescent="0.2">
      <c r="A316" s="79"/>
      <c r="B316" s="117" t="s">
        <v>34</v>
      </c>
      <c r="C316" s="124">
        <v>6</v>
      </c>
      <c r="D316" s="119">
        <f t="shared" si="138"/>
        <v>1.4355097255783908E-4</v>
      </c>
      <c r="E316" s="121" t="s">
        <v>35</v>
      </c>
      <c r="F316" s="120" t="s">
        <v>36</v>
      </c>
      <c r="G316" s="122" t="s">
        <v>1585</v>
      </c>
      <c r="H316" s="121" t="s">
        <v>1477</v>
      </c>
      <c r="I316" s="118" t="s">
        <v>34</v>
      </c>
      <c r="J316" s="121">
        <v>40</v>
      </c>
      <c r="K316" s="123">
        <v>37393</v>
      </c>
      <c r="L316" s="123">
        <v>24192</v>
      </c>
      <c r="M316" s="123">
        <v>24980</v>
      </c>
      <c r="N316" s="123">
        <v>115053</v>
      </c>
      <c r="O316" s="104">
        <v>115053</v>
      </c>
      <c r="P316" s="105"/>
      <c r="Q316" s="91">
        <f t="shared" si="139"/>
        <v>0.15</v>
      </c>
      <c r="R316" s="91"/>
      <c r="S316" s="104">
        <f t="shared" si="125"/>
        <v>8.6289750000000005</v>
      </c>
      <c r="U316" s="93">
        <f t="shared" si="140"/>
        <v>6.2457893819460315</v>
      </c>
      <c r="V316" s="93">
        <v>374.5</v>
      </c>
      <c r="W316" s="93">
        <f t="shared" si="126"/>
        <v>6.2457893819460315</v>
      </c>
      <c r="X316" s="89">
        <f t="shared" si="127"/>
        <v>2.2490653359833878E-4</v>
      </c>
      <c r="Y316" s="93">
        <f t="shared" si="128"/>
        <v>0.61352411473172375</v>
      </c>
      <c r="Z316" s="92">
        <f t="shared" si="114"/>
        <v>6.8593134966777551</v>
      </c>
      <c r="AA316" s="93">
        <f t="shared" si="129"/>
        <v>8.8846552141736354E-2</v>
      </c>
      <c r="AB316" s="93">
        <f t="shared" si="116"/>
        <v>6.9481600488194912</v>
      </c>
      <c r="AC316" s="93">
        <f t="shared" si="130"/>
        <v>1.3014545600907979E-2</v>
      </c>
      <c r="AD316" s="93">
        <f t="shared" si="118"/>
        <v>6.9611745944203989</v>
      </c>
      <c r="AE316" s="93">
        <f t="shared" si="131"/>
        <v>1.9064149718363121E-3</v>
      </c>
      <c r="AF316" s="92">
        <f t="shared" si="120"/>
        <v>6.9630810093922353</v>
      </c>
      <c r="AG316" s="93">
        <f t="shared" si="132"/>
        <v>2.7925815899991453E-4</v>
      </c>
      <c r="AH316" s="92">
        <f t="shared" si="122"/>
        <v>6.9633602675512352</v>
      </c>
      <c r="AI316" s="93">
        <f t="shared" si="133"/>
        <v>4.0906686381221402E-5</v>
      </c>
      <c r="AJ316" s="92">
        <f t="shared" si="141"/>
        <v>6.9634011742376165</v>
      </c>
      <c r="AK316" s="93">
        <f t="shared" si="134"/>
        <v>374.5</v>
      </c>
      <c r="AL316" s="89" t="str">
        <f t="shared" si="124"/>
        <v>'pass'</v>
      </c>
    </row>
    <row r="317" spans="1:38" x14ac:dyDescent="0.2">
      <c r="A317" s="79"/>
      <c r="B317" s="79" t="s">
        <v>37</v>
      </c>
      <c r="C317" s="106">
        <v>62</v>
      </c>
      <c r="D317" s="119">
        <f t="shared" si="138"/>
        <v>1.4833600497643372E-3</v>
      </c>
      <c r="E317" s="121" t="s">
        <v>38</v>
      </c>
      <c r="F317" s="120" t="s">
        <v>39</v>
      </c>
      <c r="G317" s="122">
        <v>3</v>
      </c>
      <c r="H317" s="121" t="s">
        <v>1461</v>
      </c>
      <c r="I317" s="118" t="s">
        <v>40</v>
      </c>
      <c r="J317" s="121">
        <v>69</v>
      </c>
      <c r="K317" s="123">
        <v>1484506</v>
      </c>
      <c r="L317" s="123">
        <v>578044</v>
      </c>
      <c r="M317" s="123">
        <v>599919</v>
      </c>
      <c r="N317" s="123">
        <v>988784</v>
      </c>
      <c r="O317" s="104">
        <v>1484506</v>
      </c>
      <c r="P317" s="105"/>
      <c r="Q317" s="91">
        <f t="shared" si="139"/>
        <v>0.15</v>
      </c>
      <c r="R317" s="91"/>
      <c r="S317" s="104">
        <f t="shared" si="125"/>
        <v>111.33794999999999</v>
      </c>
      <c r="U317" s="93">
        <f t="shared" si="140"/>
        <v>80.588179467160117</v>
      </c>
      <c r="V317" s="93">
        <v>600.6</v>
      </c>
      <c r="W317" s="93">
        <f t="shared" si="126"/>
        <v>80.588179467160117</v>
      </c>
      <c r="X317" s="89">
        <f t="shared" si="127"/>
        <v>2.9019243180615491E-3</v>
      </c>
      <c r="Y317" s="93">
        <f t="shared" si="128"/>
        <v>7.9161797559727427</v>
      </c>
      <c r="Z317" s="92">
        <f t="shared" si="114"/>
        <v>88.504359223132866</v>
      </c>
      <c r="AA317" s="93">
        <f t="shared" si="129"/>
        <v>1.146369410043375</v>
      </c>
      <c r="AB317" s="93">
        <f t="shared" si="116"/>
        <v>89.650728633176243</v>
      </c>
      <c r="AC317" s="93">
        <f t="shared" si="130"/>
        <v>0.16792409612805834</v>
      </c>
      <c r="AD317" s="93">
        <f t="shared" si="118"/>
        <v>89.818652729304304</v>
      </c>
      <c r="AE317" s="93">
        <f t="shared" si="131"/>
        <v>2.4598093610604117E-2</v>
      </c>
      <c r="AF317" s="92">
        <f t="shared" si="120"/>
        <v>89.843250822914911</v>
      </c>
      <c r="AG317" s="93">
        <f t="shared" si="132"/>
        <v>3.6032125419096154E-3</v>
      </c>
      <c r="AH317" s="92">
        <f t="shared" si="122"/>
        <v>89.846854035456815</v>
      </c>
      <c r="AI317" s="93">
        <f t="shared" si="133"/>
        <v>5.2781084694046609E-4</v>
      </c>
      <c r="AJ317" s="92">
        <f t="shared" si="141"/>
        <v>89.847381846303762</v>
      </c>
      <c r="AK317" s="93">
        <f t="shared" si="134"/>
        <v>600.6</v>
      </c>
      <c r="AL317" s="89" t="str">
        <f t="shared" si="124"/>
        <v>'pass'</v>
      </c>
    </row>
    <row r="318" spans="1:38" x14ac:dyDescent="0.2">
      <c r="A318" s="79"/>
      <c r="B318" s="117" t="s">
        <v>41</v>
      </c>
      <c r="C318" s="124">
        <v>1261</v>
      </c>
      <c r="D318" s="119">
        <f t="shared" si="138"/>
        <v>3.016962939923918E-2</v>
      </c>
      <c r="E318" s="121" t="s">
        <v>42</v>
      </c>
      <c r="F318" s="120" t="s">
        <v>39</v>
      </c>
      <c r="G318" s="122">
        <v>4</v>
      </c>
      <c r="H318" s="121" t="s">
        <v>1461</v>
      </c>
      <c r="I318" s="118" t="s">
        <v>40</v>
      </c>
      <c r="J318" s="121">
        <v>180</v>
      </c>
      <c r="K318" s="123">
        <v>4926604</v>
      </c>
      <c r="L318" s="123">
        <v>5081823</v>
      </c>
      <c r="M318" s="123">
        <v>5081959</v>
      </c>
      <c r="N318" s="123">
        <v>4228443</v>
      </c>
      <c r="O318" s="104">
        <v>5081959</v>
      </c>
      <c r="P318" s="105"/>
      <c r="Q318" s="91">
        <f t="shared" si="139"/>
        <v>0.15</v>
      </c>
      <c r="R318" s="91"/>
      <c r="S318" s="104">
        <f t="shared" si="125"/>
        <v>381.14692500000001</v>
      </c>
      <c r="U318" s="93">
        <f t="shared" si="140"/>
        <v>275.88020791882934</v>
      </c>
      <c r="V318" s="93">
        <v>1516.1</v>
      </c>
      <c r="W318" s="93">
        <f t="shared" si="126"/>
        <v>275.88020791882934</v>
      </c>
      <c r="X318" s="89">
        <f t="shared" si="127"/>
        <v>9.9342544964397296E-3</v>
      </c>
      <c r="Y318" s="93">
        <f t="shared" si="128"/>
        <v>27.099722706734429</v>
      </c>
      <c r="Z318" s="92">
        <f t="shared" si="114"/>
        <v>302.97993062556378</v>
      </c>
      <c r="AA318" s="93">
        <f t="shared" si="129"/>
        <v>3.924404711530046</v>
      </c>
      <c r="AB318" s="93">
        <f t="shared" si="116"/>
        <v>306.90433533709381</v>
      </c>
      <c r="AC318" s="93">
        <f t="shared" si="130"/>
        <v>0.57486017007331158</v>
      </c>
      <c r="AD318" s="93">
        <f t="shared" si="118"/>
        <v>307.47919550716711</v>
      </c>
      <c r="AE318" s="93">
        <f t="shared" si="131"/>
        <v>8.420747589248688E-2</v>
      </c>
      <c r="AF318" s="92">
        <f t="shared" si="120"/>
        <v>307.56340298305958</v>
      </c>
      <c r="AG318" s="93">
        <f t="shared" si="132"/>
        <v>1.2334997909250925E-2</v>
      </c>
      <c r="AH318" s="92">
        <f t="shared" si="122"/>
        <v>307.57573798096882</v>
      </c>
      <c r="AI318" s="93">
        <f t="shared" si="133"/>
        <v>1.8068725110620804E-3</v>
      </c>
      <c r="AJ318" s="92">
        <f t="shared" si="141"/>
        <v>307.57754485347988</v>
      </c>
      <c r="AK318" s="93">
        <f t="shared" si="134"/>
        <v>1516.1</v>
      </c>
      <c r="AL318" s="89" t="str">
        <f t="shared" si="124"/>
        <v>'pass'</v>
      </c>
    </row>
    <row r="319" spans="1:38" x14ac:dyDescent="0.2">
      <c r="A319" s="79"/>
      <c r="B319" s="117" t="s">
        <v>43</v>
      </c>
      <c r="C319" s="124">
        <v>1262</v>
      </c>
      <c r="D319" s="119">
        <f t="shared" si="138"/>
        <v>3.0193554561332152E-2</v>
      </c>
      <c r="E319" s="121" t="s">
        <v>44</v>
      </c>
      <c r="F319" s="120" t="s">
        <v>39</v>
      </c>
      <c r="G319" s="122">
        <v>5</v>
      </c>
      <c r="H319" s="121" t="s">
        <v>1461</v>
      </c>
      <c r="I319" s="118" t="s">
        <v>40</v>
      </c>
      <c r="J319" s="121">
        <v>201</v>
      </c>
      <c r="K319" s="123">
        <v>3893724</v>
      </c>
      <c r="L319" s="123">
        <v>5420438</v>
      </c>
      <c r="M319" s="123">
        <v>6222211</v>
      </c>
      <c r="N319" s="123">
        <v>6477099</v>
      </c>
      <c r="O319" s="104">
        <v>6447099</v>
      </c>
      <c r="P319" s="105"/>
      <c r="Q319" s="91">
        <f t="shared" si="139"/>
        <v>0.15</v>
      </c>
      <c r="R319" s="91"/>
      <c r="S319" s="104">
        <f t="shared" si="125"/>
        <v>483.53242499999999</v>
      </c>
      <c r="U319" s="93">
        <f t="shared" si="140"/>
        <v>349.98846165293276</v>
      </c>
      <c r="V319" s="93">
        <v>1586.3</v>
      </c>
      <c r="W319" s="93">
        <f t="shared" si="126"/>
        <v>349.98846165293276</v>
      </c>
      <c r="X319" s="89">
        <f t="shared" si="127"/>
        <v>1.2602841193670014E-2</v>
      </c>
      <c r="Y319" s="93">
        <f t="shared" si="128"/>
        <v>34.379379125818367</v>
      </c>
      <c r="Z319" s="92">
        <f t="shared" si="114"/>
        <v>384.36784077875114</v>
      </c>
      <c r="AA319" s="93">
        <f t="shared" si="129"/>
        <v>4.9785969724078143</v>
      </c>
      <c r="AB319" s="93">
        <f t="shared" si="116"/>
        <v>389.34643775115899</v>
      </c>
      <c r="AC319" s="93">
        <f t="shared" si="130"/>
        <v>0.72928184340319868</v>
      </c>
      <c r="AD319" s="93">
        <f t="shared" si="118"/>
        <v>390.0757195945622</v>
      </c>
      <c r="AE319" s="93">
        <f t="shared" si="131"/>
        <v>0.10682768861751467</v>
      </c>
      <c r="AF319" s="92">
        <f t="shared" si="120"/>
        <v>390.1825472831797</v>
      </c>
      <c r="AG319" s="93">
        <f t="shared" si="132"/>
        <v>1.5648483721677747E-2</v>
      </c>
      <c r="AH319" s="92">
        <f t="shared" si="122"/>
        <v>390.19819576690139</v>
      </c>
      <c r="AI319" s="93">
        <f t="shared" si="133"/>
        <v>2.2922431997573819E-3</v>
      </c>
      <c r="AJ319" s="92">
        <f t="shared" si="141"/>
        <v>390.20048801010114</v>
      </c>
      <c r="AK319" s="93">
        <f t="shared" si="134"/>
        <v>1586.3</v>
      </c>
      <c r="AL319" s="89" t="str">
        <f t="shared" si="124"/>
        <v>'pass'</v>
      </c>
    </row>
    <row r="320" spans="1:38" x14ac:dyDescent="0.2">
      <c r="A320" s="79"/>
      <c r="B320" s="117" t="s">
        <v>45</v>
      </c>
      <c r="C320" s="124">
        <v>15</v>
      </c>
      <c r="D320" s="119">
        <f t="shared" si="138"/>
        <v>3.5887743139459768E-4</v>
      </c>
      <c r="E320" s="121" t="s">
        <v>46</v>
      </c>
      <c r="F320" s="120" t="s">
        <v>47</v>
      </c>
      <c r="G320" s="122" t="s">
        <v>1585</v>
      </c>
      <c r="H320" s="121" t="s">
        <v>1477</v>
      </c>
      <c r="I320" s="118" t="s">
        <v>45</v>
      </c>
      <c r="J320" s="121">
        <v>40</v>
      </c>
      <c r="K320" s="123">
        <v>281199</v>
      </c>
      <c r="L320" s="123">
        <v>64014</v>
      </c>
      <c r="M320" s="123">
        <v>149707</v>
      </c>
      <c r="N320" s="123">
        <v>215538</v>
      </c>
      <c r="O320" s="104">
        <v>281199</v>
      </c>
      <c r="P320" s="105"/>
      <c r="Q320" s="91">
        <f t="shared" si="139"/>
        <v>0.15</v>
      </c>
      <c r="R320" s="91"/>
      <c r="S320" s="104">
        <f t="shared" si="125"/>
        <v>21.089925000000001</v>
      </c>
      <c r="U320" s="93">
        <f t="shared" si="140"/>
        <v>15.265223231152964</v>
      </c>
      <c r="V320" s="93">
        <v>374.5</v>
      </c>
      <c r="W320" s="93">
        <f t="shared" si="126"/>
        <v>15.265223231152964</v>
      </c>
      <c r="X320" s="89">
        <f t="shared" si="127"/>
        <v>5.4969007623720603E-4</v>
      </c>
      <c r="Y320" s="93">
        <f t="shared" si="128"/>
        <v>1.4995034248428636</v>
      </c>
      <c r="Z320" s="92">
        <f t="shared" si="114"/>
        <v>16.764726655995826</v>
      </c>
      <c r="AA320" s="93">
        <f t="shared" si="129"/>
        <v>0.21714828484006607</v>
      </c>
      <c r="AB320" s="93">
        <f t="shared" si="116"/>
        <v>16.98187494083589</v>
      </c>
      <c r="AC320" s="93">
        <f t="shared" si="130"/>
        <v>3.1808620448225799E-2</v>
      </c>
      <c r="AD320" s="93">
        <f t="shared" si="118"/>
        <v>17.013683561284115</v>
      </c>
      <c r="AE320" s="93">
        <f t="shared" si="131"/>
        <v>4.659435074838545E-3</v>
      </c>
      <c r="AF320" s="92">
        <f t="shared" si="120"/>
        <v>17.018342996358953</v>
      </c>
      <c r="AG320" s="93">
        <f t="shared" si="132"/>
        <v>6.8252992145026166E-4</v>
      </c>
      <c r="AH320" s="92">
        <f t="shared" si="122"/>
        <v>17.019025526280405</v>
      </c>
      <c r="AI320" s="93">
        <f t="shared" si="133"/>
        <v>9.9979307829548784E-5</v>
      </c>
      <c r="AJ320" s="92">
        <f t="shared" si="141"/>
        <v>17.019125505588235</v>
      </c>
      <c r="AK320" s="93">
        <f t="shared" si="134"/>
        <v>374.5</v>
      </c>
      <c r="AL320" s="89" t="str">
        <f t="shared" si="124"/>
        <v>'pass'</v>
      </c>
    </row>
    <row r="321" spans="1:38" x14ac:dyDescent="0.2">
      <c r="A321" s="79"/>
      <c r="B321" s="117"/>
      <c r="C321" s="124"/>
      <c r="D321" s="119"/>
      <c r="E321" s="120"/>
      <c r="F321" s="121"/>
      <c r="G321" s="122"/>
      <c r="H321" s="121"/>
      <c r="I321" s="118"/>
      <c r="J321" s="121"/>
      <c r="K321" s="123"/>
      <c r="L321" s="123"/>
      <c r="M321" s="123"/>
      <c r="N321" s="123"/>
      <c r="O321" s="104"/>
      <c r="P321" s="105"/>
      <c r="Q321" s="91"/>
      <c r="R321" s="91"/>
      <c r="S321" s="104">
        <f t="shared" si="125"/>
        <v>0</v>
      </c>
      <c r="W321" s="93">
        <f t="shared" si="126"/>
        <v>0</v>
      </c>
      <c r="X321" s="89">
        <f t="shared" si="127"/>
        <v>0</v>
      </c>
      <c r="Y321" s="93">
        <f t="shared" si="128"/>
        <v>0</v>
      </c>
      <c r="Z321" s="92">
        <f t="shared" si="114"/>
        <v>0</v>
      </c>
      <c r="AA321" s="93">
        <f t="shared" si="129"/>
        <v>0</v>
      </c>
      <c r="AB321" s="93">
        <f t="shared" si="116"/>
        <v>0</v>
      </c>
      <c r="AC321" s="93">
        <f t="shared" si="130"/>
        <v>0</v>
      </c>
      <c r="AD321" s="93">
        <f t="shared" si="118"/>
        <v>0</v>
      </c>
      <c r="AE321" s="93">
        <f t="shared" si="131"/>
        <v>0</v>
      </c>
      <c r="AF321" s="92">
        <f t="shared" si="120"/>
        <v>0</v>
      </c>
      <c r="AG321" s="93">
        <f t="shared" si="132"/>
        <v>0</v>
      </c>
      <c r="AH321" s="92">
        <f t="shared" si="122"/>
        <v>0</v>
      </c>
      <c r="AI321" s="93">
        <f t="shared" si="133"/>
        <v>0</v>
      </c>
      <c r="AJ321" s="92"/>
      <c r="AK321" s="93">
        <f t="shared" si="134"/>
        <v>0</v>
      </c>
      <c r="AL321" s="89" t="str">
        <f t="shared" si="124"/>
        <v>'pass'</v>
      </c>
    </row>
    <row r="322" spans="1:38" x14ac:dyDescent="0.2">
      <c r="A322" s="79" t="s">
        <v>48</v>
      </c>
      <c r="B322" s="79"/>
      <c r="C322" s="106"/>
      <c r="D322" s="107"/>
      <c r="E322" s="108"/>
      <c r="F322" s="105"/>
      <c r="G322" s="109"/>
      <c r="H322" s="105"/>
      <c r="I322" s="110"/>
      <c r="J322" s="105"/>
      <c r="K322" s="104"/>
      <c r="L322" s="104"/>
      <c r="M322" s="104"/>
      <c r="N322" s="104"/>
      <c r="O322" s="104"/>
      <c r="P322" s="105"/>
      <c r="Q322" s="91"/>
      <c r="R322" s="91"/>
      <c r="S322" s="104">
        <f t="shared" si="125"/>
        <v>0</v>
      </c>
      <c r="W322" s="93">
        <f t="shared" si="126"/>
        <v>0</v>
      </c>
      <c r="X322" s="89">
        <f t="shared" si="127"/>
        <v>0</v>
      </c>
      <c r="Y322" s="93">
        <f t="shared" si="128"/>
        <v>0</v>
      </c>
      <c r="Z322" s="92">
        <f t="shared" si="114"/>
        <v>0</v>
      </c>
      <c r="AA322" s="93">
        <f t="shared" si="129"/>
        <v>0</v>
      </c>
      <c r="AB322" s="93">
        <f t="shared" si="116"/>
        <v>0</v>
      </c>
      <c r="AC322" s="93">
        <f t="shared" si="130"/>
        <v>0</v>
      </c>
      <c r="AD322" s="93">
        <f t="shared" si="118"/>
        <v>0</v>
      </c>
      <c r="AE322" s="93">
        <f t="shared" si="131"/>
        <v>0</v>
      </c>
      <c r="AF322" s="92">
        <f t="shared" si="120"/>
        <v>0</v>
      </c>
      <c r="AG322" s="93">
        <f t="shared" si="132"/>
        <v>0</v>
      </c>
      <c r="AH322" s="92">
        <f t="shared" si="122"/>
        <v>0</v>
      </c>
      <c r="AI322" s="93">
        <f t="shared" si="133"/>
        <v>0</v>
      </c>
      <c r="AJ322" s="92"/>
      <c r="AK322" s="93">
        <f t="shared" si="134"/>
        <v>0</v>
      </c>
      <c r="AL322" s="89" t="str">
        <f t="shared" si="124"/>
        <v>'pass'</v>
      </c>
    </row>
    <row r="323" spans="1:38" x14ac:dyDescent="0.2">
      <c r="A323" s="117"/>
      <c r="B323" s="117" t="s">
        <v>49</v>
      </c>
      <c r="C323" s="124">
        <v>70</v>
      </c>
      <c r="D323" s="119">
        <f>C323/$C$6</f>
        <v>1.6747613465081226E-3</v>
      </c>
      <c r="E323" s="120" t="s">
        <v>50</v>
      </c>
      <c r="F323" s="121" t="s">
        <v>51</v>
      </c>
      <c r="G323" s="122">
        <v>1</v>
      </c>
      <c r="H323" s="121" t="s">
        <v>1461</v>
      </c>
      <c r="I323" s="118" t="s">
        <v>52</v>
      </c>
      <c r="J323" s="121">
        <v>108</v>
      </c>
      <c r="K323" s="123">
        <v>3856763</v>
      </c>
      <c r="L323" s="123">
        <v>4112949</v>
      </c>
      <c r="M323" s="123">
        <v>4121346</v>
      </c>
      <c r="N323" s="123">
        <v>4099900</v>
      </c>
      <c r="O323" s="104">
        <v>4121346</v>
      </c>
      <c r="P323" s="105"/>
      <c r="Q323" s="91">
        <f>IF(J323&gt;25,0.15,0)</f>
        <v>0.15</v>
      </c>
      <c r="R323" s="91"/>
      <c r="S323" s="104">
        <f t="shared" si="125"/>
        <v>309.10095000000001</v>
      </c>
      <c r="U323" s="93">
        <f>+S323*$T$15</f>
        <v>223.73218504624606</v>
      </c>
      <c r="V323" s="93">
        <v>138</v>
      </c>
      <c r="W323" s="93">
        <f t="shared" si="126"/>
        <v>138</v>
      </c>
      <c r="X323" s="89">
        <f t="shared" si="127"/>
        <v>8.0564404458760668E-3</v>
      </c>
      <c r="Y323" s="93">
        <f t="shared" si="128"/>
        <v>21.977220551859844</v>
      </c>
      <c r="Z323" s="92">
        <f t="shared" si="114"/>
        <v>138</v>
      </c>
      <c r="AA323" s="93">
        <f t="shared" si="129"/>
        <v>3.1825974314719003</v>
      </c>
      <c r="AB323" s="93">
        <f t="shared" si="116"/>
        <v>138</v>
      </c>
      <c r="AC323" s="93">
        <f t="shared" si="130"/>
        <v>0.46619771282904138</v>
      </c>
      <c r="AD323" s="93">
        <f t="shared" si="118"/>
        <v>138</v>
      </c>
      <c r="AE323" s="93">
        <f t="shared" si="131"/>
        <v>6.8290229012000533E-2</v>
      </c>
      <c r="AF323" s="92">
        <f t="shared" si="120"/>
        <v>138</v>
      </c>
      <c r="AG323" s="93">
        <f t="shared" si="132"/>
        <v>1.0003385366410799E-2</v>
      </c>
      <c r="AH323" s="92">
        <f t="shared" si="122"/>
        <v>138</v>
      </c>
      <c r="AI323" s="93">
        <f t="shared" si="133"/>
        <v>1.4653299634994419E-3</v>
      </c>
      <c r="AJ323" s="92">
        <f>IF(AH323+AI323&gt;V323,V323,AH323+AI323)</f>
        <v>138</v>
      </c>
      <c r="AK323" s="93">
        <f t="shared" si="134"/>
        <v>138</v>
      </c>
      <c r="AL323" s="89" t="str">
        <f t="shared" si="124"/>
        <v>'pass'</v>
      </c>
    </row>
    <row r="324" spans="1:38" x14ac:dyDescent="0.2">
      <c r="A324" s="79"/>
      <c r="B324" s="79" t="s">
        <v>53</v>
      </c>
      <c r="C324" s="106">
        <v>1138</v>
      </c>
      <c r="D324" s="119">
        <f>C324/$C$6</f>
        <v>2.7226834461803479E-2</v>
      </c>
      <c r="E324" s="120" t="s">
        <v>54</v>
      </c>
      <c r="F324" s="121" t="s">
        <v>55</v>
      </c>
      <c r="G324" s="122" t="s">
        <v>56</v>
      </c>
      <c r="H324" s="121" t="s">
        <v>1461</v>
      </c>
      <c r="I324" s="118" t="s">
        <v>57</v>
      </c>
      <c r="J324" s="121">
        <v>883</v>
      </c>
      <c r="K324" s="123">
        <v>14598834</v>
      </c>
      <c r="L324" s="123">
        <v>6483356</v>
      </c>
      <c r="M324" s="123">
        <v>12743552</v>
      </c>
      <c r="N324" s="123">
        <v>14977910</v>
      </c>
      <c r="O324" s="104">
        <v>14977910</v>
      </c>
      <c r="P324" s="105"/>
      <c r="Q324" s="91">
        <f>IF(J324&gt;25,0.15,0)</f>
        <v>0.15</v>
      </c>
      <c r="R324" s="91"/>
      <c r="S324" s="104">
        <f t="shared" si="125"/>
        <v>1123.3432499999999</v>
      </c>
      <c r="U324" s="93">
        <f>+S324*$T$15</f>
        <v>813.09371543326347</v>
      </c>
      <c r="V324" s="93">
        <v>918</v>
      </c>
      <c r="W324" s="93">
        <f t="shared" si="126"/>
        <v>813.09371543326347</v>
      </c>
      <c r="X324" s="89">
        <f t="shared" si="127"/>
        <v>2.9278939433547091E-2</v>
      </c>
      <c r="Y324" s="93">
        <f t="shared" si="128"/>
        <v>79.870224794498455</v>
      </c>
      <c r="Z324" s="92">
        <f t="shared" si="114"/>
        <v>892.9639402277619</v>
      </c>
      <c r="AA324" s="93">
        <f t="shared" si="129"/>
        <v>11.566283902108021</v>
      </c>
      <c r="AB324" s="93">
        <f t="shared" si="116"/>
        <v>904.53022412986991</v>
      </c>
      <c r="AC324" s="93">
        <f t="shared" si="130"/>
        <v>1.6942686648874481</v>
      </c>
      <c r="AD324" s="93">
        <f t="shared" si="118"/>
        <v>906.22449279475734</v>
      </c>
      <c r="AE324" s="93">
        <f t="shared" si="131"/>
        <v>0.24818224532012909</v>
      </c>
      <c r="AF324" s="92">
        <f t="shared" si="120"/>
        <v>906.47267504007743</v>
      </c>
      <c r="AG324" s="93">
        <f t="shared" si="132"/>
        <v>3.6354580691215423E-2</v>
      </c>
      <c r="AH324" s="92">
        <f t="shared" si="122"/>
        <v>906.50902962076862</v>
      </c>
      <c r="AI324" s="93">
        <f t="shared" si="133"/>
        <v>5.325342816060074E-3</v>
      </c>
      <c r="AJ324" s="92">
        <f>IF(AH324+AI324&gt;V324,V324,AH324+AI324)</f>
        <v>906.51435496358465</v>
      </c>
      <c r="AK324" s="93">
        <f t="shared" si="134"/>
        <v>918</v>
      </c>
      <c r="AL324" s="89" t="str">
        <f t="shared" si="124"/>
        <v>'pass'</v>
      </c>
    </row>
    <row r="325" spans="1:38" x14ac:dyDescent="0.2">
      <c r="A325" s="79"/>
      <c r="B325" s="117"/>
      <c r="C325" s="124"/>
      <c r="D325" s="119"/>
      <c r="E325" s="120"/>
      <c r="F325" s="121"/>
      <c r="G325" s="122"/>
      <c r="H325" s="121"/>
      <c r="I325" s="118"/>
      <c r="J325" s="121"/>
      <c r="K325" s="123"/>
      <c r="L325" s="123"/>
      <c r="M325" s="123"/>
      <c r="N325" s="123"/>
      <c r="O325" s="104"/>
      <c r="P325" s="105"/>
      <c r="Q325" s="91"/>
      <c r="R325" s="91"/>
      <c r="S325" s="104">
        <f t="shared" si="125"/>
        <v>0</v>
      </c>
      <c r="W325" s="93">
        <f t="shared" si="126"/>
        <v>0</v>
      </c>
      <c r="X325" s="89">
        <f t="shared" si="127"/>
        <v>0</v>
      </c>
      <c r="Y325" s="93">
        <f t="shared" si="128"/>
        <v>0</v>
      </c>
      <c r="Z325" s="92">
        <f t="shared" si="114"/>
        <v>0</v>
      </c>
      <c r="AA325" s="93">
        <f t="shared" si="129"/>
        <v>0</v>
      </c>
      <c r="AB325" s="93">
        <f t="shared" si="116"/>
        <v>0</v>
      </c>
      <c r="AC325" s="93">
        <f t="shared" si="130"/>
        <v>0</v>
      </c>
      <c r="AD325" s="93">
        <f t="shared" si="118"/>
        <v>0</v>
      </c>
      <c r="AE325" s="93">
        <f t="shared" si="131"/>
        <v>0</v>
      </c>
      <c r="AF325" s="92">
        <f t="shared" si="120"/>
        <v>0</v>
      </c>
      <c r="AG325" s="93">
        <f t="shared" si="132"/>
        <v>0</v>
      </c>
      <c r="AH325" s="92">
        <f t="shared" si="122"/>
        <v>0</v>
      </c>
      <c r="AI325" s="93">
        <f t="shared" si="133"/>
        <v>0</v>
      </c>
      <c r="AJ325" s="92"/>
      <c r="AK325" s="93">
        <f t="shared" si="134"/>
        <v>0</v>
      </c>
      <c r="AL325" s="89" t="str">
        <f t="shared" si="124"/>
        <v>'pass'</v>
      </c>
    </row>
    <row r="326" spans="1:38" x14ac:dyDescent="0.2">
      <c r="A326" s="79" t="s">
        <v>58</v>
      </c>
      <c r="B326" s="79"/>
      <c r="C326" s="106"/>
      <c r="D326" s="107"/>
      <c r="E326" s="108"/>
      <c r="F326" s="105"/>
      <c r="G326" s="109"/>
      <c r="H326" s="105"/>
      <c r="I326" s="110"/>
      <c r="J326" s="105"/>
      <c r="K326" s="104"/>
      <c r="L326" s="104"/>
      <c r="M326" s="104"/>
      <c r="N326" s="104"/>
      <c r="O326" s="104"/>
      <c r="P326" s="105"/>
      <c r="Q326" s="91"/>
      <c r="R326" s="91"/>
      <c r="S326" s="104">
        <f t="shared" si="125"/>
        <v>0</v>
      </c>
      <c r="W326" s="93">
        <f t="shared" si="126"/>
        <v>0</v>
      </c>
      <c r="X326" s="89">
        <f t="shared" si="127"/>
        <v>0</v>
      </c>
      <c r="Y326" s="93">
        <f t="shared" si="128"/>
        <v>0</v>
      </c>
      <c r="Z326" s="92">
        <f t="shared" si="114"/>
        <v>0</v>
      </c>
      <c r="AA326" s="93">
        <f t="shared" si="129"/>
        <v>0</v>
      </c>
      <c r="AB326" s="93">
        <f t="shared" si="116"/>
        <v>0</v>
      </c>
      <c r="AC326" s="93">
        <f t="shared" si="130"/>
        <v>0</v>
      </c>
      <c r="AD326" s="93">
        <f t="shared" si="118"/>
        <v>0</v>
      </c>
      <c r="AE326" s="93">
        <f t="shared" si="131"/>
        <v>0</v>
      </c>
      <c r="AF326" s="92">
        <f t="shared" si="120"/>
        <v>0</v>
      </c>
      <c r="AG326" s="93">
        <f t="shared" si="132"/>
        <v>0</v>
      </c>
      <c r="AH326" s="92">
        <f t="shared" si="122"/>
        <v>0</v>
      </c>
      <c r="AI326" s="93">
        <f t="shared" si="133"/>
        <v>0</v>
      </c>
      <c r="AJ326" s="92"/>
      <c r="AK326" s="93">
        <f t="shared" si="134"/>
        <v>0</v>
      </c>
      <c r="AL326" s="89" t="str">
        <f t="shared" si="124"/>
        <v>'pass'</v>
      </c>
    </row>
    <row r="327" spans="1:38" x14ac:dyDescent="0.2">
      <c r="A327" s="117"/>
      <c r="B327" s="117" t="s">
        <v>59</v>
      </c>
      <c r="C327" s="124">
        <v>211</v>
      </c>
      <c r="D327" s="119">
        <f>C327/$C$6</f>
        <v>5.0482092016173406E-3</v>
      </c>
      <c r="E327" s="120" t="s">
        <v>60</v>
      </c>
      <c r="F327" s="121" t="s">
        <v>61</v>
      </c>
      <c r="G327" s="122">
        <v>12</v>
      </c>
      <c r="H327" s="121" t="s">
        <v>1461</v>
      </c>
      <c r="I327" s="118" t="s">
        <v>62</v>
      </c>
      <c r="J327" s="121">
        <v>81.599999999999994</v>
      </c>
      <c r="K327" s="123">
        <v>1828958</v>
      </c>
      <c r="L327" s="123">
        <v>1830542</v>
      </c>
      <c r="M327" s="123">
        <v>1798537</v>
      </c>
      <c r="N327" s="123">
        <v>2558588</v>
      </c>
      <c r="O327" s="104">
        <v>2558588</v>
      </c>
      <c r="P327" s="105" t="s">
        <v>1587</v>
      </c>
      <c r="Q327" s="91">
        <f>IF(J327&gt;25,0.15,0)</f>
        <v>0.15</v>
      </c>
      <c r="R327" s="91"/>
      <c r="S327" s="104">
        <f t="shared" si="125"/>
        <v>191.89410000000001</v>
      </c>
      <c r="U327" s="93">
        <f>+S327*$T$15</f>
        <v>138.89600239171975</v>
      </c>
      <c r="V327" s="93">
        <v>616</v>
      </c>
      <c r="W327" s="93">
        <f t="shared" si="126"/>
        <v>138.89600239171975</v>
      </c>
      <c r="X327" s="89">
        <f t="shared" si="127"/>
        <v>5.001548486230749E-3</v>
      </c>
      <c r="Y327" s="93">
        <f t="shared" si="128"/>
        <v>13.643759290615728</v>
      </c>
      <c r="Z327" s="92">
        <f t="shared" si="114"/>
        <v>152.53976168233547</v>
      </c>
      <c r="AA327" s="93">
        <f t="shared" si="129"/>
        <v>1.9758000412959325</v>
      </c>
      <c r="AB327" s="93">
        <f t="shared" si="116"/>
        <v>154.51556172363141</v>
      </c>
      <c r="AC327" s="93">
        <f t="shared" si="130"/>
        <v>0.2894219203318118</v>
      </c>
      <c r="AD327" s="93">
        <f t="shared" si="118"/>
        <v>154.80498364396323</v>
      </c>
      <c r="AE327" s="93">
        <f t="shared" si="131"/>
        <v>4.2395508765184095E-2</v>
      </c>
      <c r="AF327" s="92">
        <f t="shared" si="120"/>
        <v>154.84737915272842</v>
      </c>
      <c r="AG327" s="93">
        <f t="shared" si="132"/>
        <v>6.2102385380587485E-3</v>
      </c>
      <c r="AH327" s="92">
        <f t="shared" si="122"/>
        <v>154.85358939126647</v>
      </c>
      <c r="AI327" s="93">
        <f t="shared" si="133"/>
        <v>9.096968952983103E-4</v>
      </c>
      <c r="AJ327" s="92">
        <f>IF(AH327+AI327&gt;V327,V327,AH327+AI327)</f>
        <v>154.85449908816176</v>
      </c>
      <c r="AK327" s="93">
        <f t="shared" si="134"/>
        <v>616</v>
      </c>
      <c r="AL327" s="89" t="str">
        <f t="shared" si="124"/>
        <v>'pass'</v>
      </c>
    </row>
    <row r="328" spans="1:38" x14ac:dyDescent="0.2">
      <c r="A328" s="79"/>
      <c r="B328" s="117" t="s">
        <v>63</v>
      </c>
      <c r="C328" s="124">
        <v>105</v>
      </c>
      <c r="D328" s="119">
        <f>C328/$C$6</f>
        <v>2.5121420197621838E-3</v>
      </c>
      <c r="E328" s="120" t="s">
        <v>64</v>
      </c>
      <c r="F328" s="121" t="s">
        <v>65</v>
      </c>
      <c r="G328" s="122">
        <v>1</v>
      </c>
      <c r="H328" s="121" t="s">
        <v>1461</v>
      </c>
      <c r="I328" s="118" t="s">
        <v>66</v>
      </c>
      <c r="J328" s="121">
        <v>46</v>
      </c>
      <c r="K328" s="123">
        <v>1223801</v>
      </c>
      <c r="L328" s="123">
        <v>94522</v>
      </c>
      <c r="M328" s="123">
        <v>913782</v>
      </c>
      <c r="N328" s="123">
        <v>1314525</v>
      </c>
      <c r="O328" s="104">
        <v>1314525</v>
      </c>
      <c r="P328" s="105" t="s">
        <v>1587</v>
      </c>
      <c r="Q328" s="91">
        <f>IF(J328&gt;25,0.15,0)</f>
        <v>0.15</v>
      </c>
      <c r="R328" s="91"/>
      <c r="S328" s="104">
        <f t="shared" si="125"/>
        <v>98.589375000000004</v>
      </c>
      <c r="U328" s="93">
        <f>+S328*$T$15</f>
        <v>71.36055806717431</v>
      </c>
      <c r="V328" s="93">
        <v>445</v>
      </c>
      <c r="W328" s="93">
        <f t="shared" si="126"/>
        <v>71.36055806717431</v>
      </c>
      <c r="X328" s="89">
        <f t="shared" si="127"/>
        <v>2.5696440864502118E-3</v>
      </c>
      <c r="Y328" s="93">
        <f t="shared" si="128"/>
        <v>7.0097501752906837</v>
      </c>
      <c r="Z328" s="92">
        <f t="shared" si="114"/>
        <v>78.370308242465001</v>
      </c>
      <c r="AA328" s="93">
        <f t="shared" si="129"/>
        <v>1.0151062028292697</v>
      </c>
      <c r="AB328" s="93">
        <f t="shared" si="116"/>
        <v>79.385414445294273</v>
      </c>
      <c r="AC328" s="93">
        <f t="shared" si="130"/>
        <v>0.1486962144058265</v>
      </c>
      <c r="AD328" s="93">
        <f t="shared" si="118"/>
        <v>79.534110659700104</v>
      </c>
      <c r="AE328" s="93">
        <f t="shared" si="131"/>
        <v>2.1781527998862505E-2</v>
      </c>
      <c r="AF328" s="92">
        <f t="shared" si="120"/>
        <v>79.555892187698973</v>
      </c>
      <c r="AG328" s="93">
        <f t="shared" si="132"/>
        <v>3.19063241688059E-3</v>
      </c>
      <c r="AH328" s="92">
        <f t="shared" si="122"/>
        <v>79.559082820115847</v>
      </c>
      <c r="AI328" s="93">
        <f t="shared" si="133"/>
        <v>4.673747048340769E-4</v>
      </c>
      <c r="AJ328" s="92">
        <f>IF(AH328+AI328&gt;V328,V328,AH328+AI328)</f>
        <v>79.559550194820687</v>
      </c>
      <c r="AK328" s="93">
        <f t="shared" si="134"/>
        <v>445</v>
      </c>
      <c r="AL328" s="89" t="str">
        <f t="shared" si="124"/>
        <v>'pass'</v>
      </c>
    </row>
    <row r="329" spans="1:38" x14ac:dyDescent="0.2">
      <c r="A329" s="79"/>
      <c r="B329" s="117" t="s">
        <v>63</v>
      </c>
      <c r="C329" s="124">
        <v>172</v>
      </c>
      <c r="D329" s="119">
        <f>C329/$C$6</f>
        <v>4.1151278799913867E-3</v>
      </c>
      <c r="E329" s="120" t="s">
        <v>67</v>
      </c>
      <c r="F329" s="121" t="s">
        <v>65</v>
      </c>
      <c r="G329" s="122">
        <v>2</v>
      </c>
      <c r="H329" s="121" t="s">
        <v>1461</v>
      </c>
      <c r="I329" s="118" t="s">
        <v>66</v>
      </c>
      <c r="J329" s="121">
        <v>63</v>
      </c>
      <c r="K329" s="123">
        <v>1589516</v>
      </c>
      <c r="L329" s="123">
        <v>1182303</v>
      </c>
      <c r="M329" s="123">
        <v>1541442</v>
      </c>
      <c r="N329" s="123">
        <v>2048215</v>
      </c>
      <c r="O329" s="104">
        <v>2048215</v>
      </c>
      <c r="P329" s="105" t="s">
        <v>1587</v>
      </c>
      <c r="Q329" s="91">
        <f>IF(J329&gt;25,0.15,0)</f>
        <v>0.15</v>
      </c>
      <c r="R329" s="91"/>
      <c r="S329" s="104">
        <f t="shared" si="125"/>
        <v>153.61612500000001</v>
      </c>
      <c r="U329" s="93">
        <f>+S329*$T$15</f>
        <v>111.18979512870234</v>
      </c>
      <c r="V329" s="93">
        <v>521</v>
      </c>
      <c r="W329" s="93">
        <f t="shared" si="126"/>
        <v>111.18979512870234</v>
      </c>
      <c r="X329" s="89">
        <f t="shared" si="127"/>
        <v>4.0038672239239431E-3</v>
      </c>
      <c r="Y329" s="93">
        <f t="shared" si="128"/>
        <v>10.922177558648949</v>
      </c>
      <c r="Z329" s="92">
        <f t="shared" si="114"/>
        <v>122.1119726873513</v>
      </c>
      <c r="AA329" s="93">
        <f t="shared" si="129"/>
        <v>1.5816783638408953</v>
      </c>
      <c r="AB329" s="93">
        <f t="shared" si="116"/>
        <v>123.69365105119219</v>
      </c>
      <c r="AC329" s="93">
        <f t="shared" si="130"/>
        <v>0.23168963449856791</v>
      </c>
      <c r="AD329" s="93">
        <f t="shared" si="118"/>
        <v>123.92534068569076</v>
      </c>
      <c r="AE329" s="93">
        <f t="shared" si="131"/>
        <v>3.3938686879435666E-2</v>
      </c>
      <c r="AF329" s="92">
        <f t="shared" si="120"/>
        <v>123.95927937257019</v>
      </c>
      <c r="AG329" s="93">
        <f t="shared" si="132"/>
        <v>4.97145446130053E-3</v>
      </c>
      <c r="AH329" s="92">
        <f t="shared" si="122"/>
        <v>123.96425082703149</v>
      </c>
      <c r="AI329" s="93">
        <f t="shared" si="133"/>
        <v>7.2823558400314102E-4</v>
      </c>
      <c r="AJ329" s="92">
        <f>IF(AH329+AI329&gt;V329,V329,AH329+AI329)</f>
        <v>123.9649790626155</v>
      </c>
      <c r="AK329" s="93">
        <f t="shared" si="134"/>
        <v>521</v>
      </c>
      <c r="AL329" s="89" t="str">
        <f t="shared" si="124"/>
        <v>'pass'</v>
      </c>
    </row>
    <row r="330" spans="1:38" x14ac:dyDescent="0.2">
      <c r="A330" s="79"/>
      <c r="B330" s="117" t="s">
        <v>68</v>
      </c>
      <c r="C330" s="124">
        <v>178</v>
      </c>
      <c r="D330" s="119">
        <f>C330/$C$6</f>
        <v>4.2586788525492258E-3</v>
      </c>
      <c r="E330" s="120" t="s">
        <v>69</v>
      </c>
      <c r="F330" s="121" t="s">
        <v>65</v>
      </c>
      <c r="G330" s="122">
        <v>3</v>
      </c>
      <c r="H330" s="121" t="s">
        <v>1461</v>
      </c>
      <c r="I330" s="118" t="s">
        <v>66</v>
      </c>
      <c r="J330" s="121">
        <v>63</v>
      </c>
      <c r="K330" s="123">
        <v>1782270</v>
      </c>
      <c r="L330" s="123">
        <v>1630468</v>
      </c>
      <c r="M330" s="123">
        <v>1552399</v>
      </c>
      <c r="N330" s="123">
        <v>1722574</v>
      </c>
      <c r="O330" s="104">
        <v>1782270</v>
      </c>
      <c r="P330" s="105" t="s">
        <v>1587</v>
      </c>
      <c r="Q330" s="91">
        <f>IF(J330&gt;25,0.15,0)</f>
        <v>0.15</v>
      </c>
      <c r="R330" s="91"/>
      <c r="S330" s="104">
        <f t="shared" si="125"/>
        <v>133.67025000000001</v>
      </c>
      <c r="U330" s="93">
        <f>+S330*$T$15</f>
        <v>96.752653488052928</v>
      </c>
      <c r="V330" s="93">
        <v>521</v>
      </c>
      <c r="W330" s="93">
        <f t="shared" si="126"/>
        <v>96.752653488052928</v>
      </c>
      <c r="X330" s="89">
        <f t="shared" si="127"/>
        <v>3.4839957900820603E-3</v>
      </c>
      <c r="Y330" s="93">
        <f t="shared" si="128"/>
        <v>9.5040166181056502</v>
      </c>
      <c r="Z330" s="92">
        <f t="shared" si="114"/>
        <v>106.25667010615858</v>
      </c>
      <c r="AA330" s="93">
        <f t="shared" si="129"/>
        <v>1.3763095659013886</v>
      </c>
      <c r="AB330" s="93">
        <f t="shared" si="116"/>
        <v>107.63297967205997</v>
      </c>
      <c r="AC330" s="93">
        <f t="shared" si="130"/>
        <v>0.20160651341668853</v>
      </c>
      <c r="AD330" s="93">
        <f t="shared" si="118"/>
        <v>107.83458618547667</v>
      </c>
      <c r="AE330" s="93">
        <f t="shared" si="131"/>
        <v>2.9532008829449941E-2</v>
      </c>
      <c r="AF330" s="92">
        <f t="shared" si="120"/>
        <v>107.86411819430612</v>
      </c>
      <c r="AG330" s="93">
        <f t="shared" si="132"/>
        <v>4.3259492498307532E-3</v>
      </c>
      <c r="AH330" s="92">
        <f t="shared" si="122"/>
        <v>107.86844414355595</v>
      </c>
      <c r="AI330" s="93">
        <f t="shared" si="133"/>
        <v>6.3367978181063918E-4</v>
      </c>
      <c r="AJ330" s="92">
        <f>IF(AH330+AI330&gt;V330,V330,AH330+AI330)</f>
        <v>107.86907782333776</v>
      </c>
      <c r="AK330" s="93">
        <f t="shared" si="134"/>
        <v>521</v>
      </c>
      <c r="AL330" s="89" t="str">
        <f t="shared" si="124"/>
        <v>'pass'</v>
      </c>
    </row>
    <row r="331" spans="1:38" x14ac:dyDescent="0.2">
      <c r="A331" s="79"/>
      <c r="B331" s="117" t="s">
        <v>68</v>
      </c>
      <c r="C331" s="124">
        <v>220</v>
      </c>
      <c r="D331" s="119">
        <f>C331/$C$6</f>
        <v>5.2635356604541E-3</v>
      </c>
      <c r="E331" s="120" t="s">
        <v>70</v>
      </c>
      <c r="F331" s="121" t="s">
        <v>65</v>
      </c>
      <c r="G331" s="122">
        <v>4</v>
      </c>
      <c r="H331" s="121" t="s">
        <v>1461</v>
      </c>
      <c r="I331" s="118" t="s">
        <v>66</v>
      </c>
      <c r="J331" s="121">
        <v>82</v>
      </c>
      <c r="K331" s="123">
        <v>2285007</v>
      </c>
      <c r="L331" s="123">
        <v>1926842</v>
      </c>
      <c r="M331" s="123">
        <v>1914156</v>
      </c>
      <c r="N331" s="123">
        <v>2300180</v>
      </c>
      <c r="O331" s="104">
        <v>2300180</v>
      </c>
      <c r="P331" s="105" t="s">
        <v>1587</v>
      </c>
      <c r="Q331" s="91">
        <f>IF(J331&gt;25,0.15,0)</f>
        <v>0.15</v>
      </c>
      <c r="R331" s="91"/>
      <c r="S331" s="104">
        <f t="shared" si="125"/>
        <v>172.51349999999999</v>
      </c>
      <c r="U331" s="93">
        <f>+S331*$T$15</f>
        <v>124.86801578893746</v>
      </c>
      <c r="V331" s="93">
        <v>613</v>
      </c>
      <c r="W331" s="93">
        <f t="shared" si="126"/>
        <v>124.86801578893746</v>
      </c>
      <c r="X331" s="89">
        <f t="shared" si="127"/>
        <v>4.4964104408596632E-3</v>
      </c>
      <c r="Y331" s="93">
        <f t="shared" si="128"/>
        <v>12.265789664099294</v>
      </c>
      <c r="Z331" s="92">
        <f t="shared" si="114"/>
        <v>137.13380545303676</v>
      </c>
      <c r="AA331" s="93">
        <f t="shared" si="129"/>
        <v>1.77625148675288</v>
      </c>
      <c r="AB331" s="93">
        <f t="shared" si="116"/>
        <v>138.91005693978963</v>
      </c>
      <c r="AC331" s="93">
        <f t="shared" si="130"/>
        <v>0.26019136832847917</v>
      </c>
      <c r="AD331" s="93">
        <f t="shared" si="118"/>
        <v>139.17024830811812</v>
      </c>
      <c r="AE331" s="93">
        <f t="shared" si="131"/>
        <v>3.8113717937980303E-2</v>
      </c>
      <c r="AF331" s="92">
        <f t="shared" si="120"/>
        <v>139.20836202605611</v>
      </c>
      <c r="AG331" s="93">
        <f t="shared" si="132"/>
        <v>5.5830272323922304E-3</v>
      </c>
      <c r="AH331" s="92">
        <f t="shared" si="122"/>
        <v>139.21394505328851</v>
      </c>
      <c r="AI331" s="93">
        <f t="shared" si="133"/>
        <v>8.1782084674330809E-4</v>
      </c>
      <c r="AJ331" s="92">
        <f>IF(AH331+AI331&gt;V331,V331,AH331+AI331)</f>
        <v>139.21476287413526</v>
      </c>
      <c r="AK331" s="93">
        <f t="shared" si="134"/>
        <v>613</v>
      </c>
      <c r="AL331" s="89" t="str">
        <f t="shared" si="124"/>
        <v>'pass'</v>
      </c>
    </row>
    <row r="332" spans="1:38" x14ac:dyDescent="0.2">
      <c r="A332" s="79"/>
      <c r="B332" s="79"/>
      <c r="C332" s="106"/>
      <c r="D332" s="107"/>
      <c r="E332" s="108"/>
      <c r="F332" s="105"/>
      <c r="G332" s="109"/>
      <c r="H332" s="105"/>
      <c r="I332" s="110"/>
      <c r="J332" s="105"/>
      <c r="K332" s="104"/>
      <c r="L332" s="104"/>
      <c r="M332" s="104"/>
      <c r="N332" s="104"/>
      <c r="O332" s="104"/>
      <c r="P332" s="105"/>
      <c r="Q332" s="91"/>
      <c r="R332" s="91"/>
      <c r="S332" s="104">
        <f t="shared" si="125"/>
        <v>0</v>
      </c>
      <c r="W332" s="93"/>
      <c r="Y332" s="93"/>
      <c r="Z332" s="92">
        <f t="shared" si="114"/>
        <v>0</v>
      </c>
      <c r="AA332" s="93"/>
      <c r="AB332" s="93">
        <f t="shared" si="116"/>
        <v>0</v>
      </c>
      <c r="AC332" s="93"/>
      <c r="AD332" s="93">
        <f t="shared" si="118"/>
        <v>0</v>
      </c>
      <c r="AE332" s="93"/>
      <c r="AF332" s="92">
        <f t="shared" si="120"/>
        <v>0</v>
      </c>
      <c r="AG332" s="93"/>
      <c r="AH332" s="92">
        <f t="shared" si="122"/>
        <v>0</v>
      </c>
      <c r="AI332" s="93"/>
      <c r="AJ332" s="92"/>
      <c r="AK332" s="93"/>
      <c r="AL332" s="89" t="str">
        <f t="shared" si="124"/>
        <v>'pass'</v>
      </c>
    </row>
    <row r="333" spans="1:38" x14ac:dyDescent="0.2">
      <c r="A333" s="137" t="s">
        <v>71</v>
      </c>
      <c r="B333" s="137"/>
      <c r="C333" s="138">
        <v>158</v>
      </c>
      <c r="D333" s="139"/>
      <c r="E333" s="140" t="s">
        <v>72</v>
      </c>
      <c r="F333" s="141" t="s">
        <v>73</v>
      </c>
      <c r="G333" s="142" t="s">
        <v>74</v>
      </c>
      <c r="H333" s="141"/>
      <c r="I333" s="143" t="s">
        <v>75</v>
      </c>
      <c r="J333" s="141">
        <v>25</v>
      </c>
      <c r="K333" s="144">
        <v>1422965</v>
      </c>
      <c r="L333" s="144">
        <v>1006252</v>
      </c>
      <c r="M333" s="144">
        <v>34499</v>
      </c>
      <c r="N333" s="144">
        <v>11722</v>
      </c>
      <c r="O333" s="144">
        <v>1422965</v>
      </c>
      <c r="P333" s="141" t="s">
        <v>1479</v>
      </c>
      <c r="Q333" s="145">
        <v>0.15</v>
      </c>
      <c r="R333" s="145"/>
      <c r="S333" s="104">
        <f t="shared" si="125"/>
        <v>106.722375</v>
      </c>
      <c r="U333" s="93">
        <f>+S333*$T$15</f>
        <v>77.247352853735521</v>
      </c>
      <c r="V333" s="93">
        <v>161.5</v>
      </c>
      <c r="W333" s="93">
        <f>IF(U333&gt;V333,V333,U333)</f>
        <v>77.247352853735521</v>
      </c>
      <c r="X333" s="89">
        <f>+U333/$U$16</f>
        <v>2.7816234742402204E-3</v>
      </c>
      <c r="Y333" s="93">
        <f>+X333*$Y$16</f>
        <v>7.5880102380574792</v>
      </c>
      <c r="Z333" s="92">
        <f t="shared" si="114"/>
        <v>84.835363091792999</v>
      </c>
      <c r="AA333" s="93">
        <f>+$AA$16*X333</f>
        <v>1.0988460454604909</v>
      </c>
      <c r="AB333" s="93">
        <f t="shared" si="116"/>
        <v>85.93420913725349</v>
      </c>
      <c r="AC333" s="93">
        <f>+X333*$AC$16</f>
        <v>0.16096271180235214</v>
      </c>
      <c r="AD333" s="93">
        <f t="shared" si="118"/>
        <v>86.095171849055845</v>
      </c>
      <c r="AE333" s="93">
        <f>+X333*$AE$16</f>
        <v>2.3578366321600111E-2</v>
      </c>
      <c r="AF333" s="92">
        <f t="shared" si="120"/>
        <v>86.118750215377446</v>
      </c>
      <c r="AG333" s="93">
        <f>+X333*$AG$16</f>
        <v>3.4538394150636078E-3</v>
      </c>
      <c r="AH333" s="92">
        <f t="shared" si="122"/>
        <v>86.122204054792505</v>
      </c>
      <c r="AI333" s="93">
        <f>+X333*$AI$16</f>
        <v>5.0593016250297432E-4</v>
      </c>
      <c r="AJ333" s="92">
        <f>IF(AH333+AI333&gt;V333,V333,AH333+AI333)</f>
        <v>86.122709984955009</v>
      </c>
      <c r="AK333" s="93">
        <f>+V333</f>
        <v>161.5</v>
      </c>
      <c r="AL333" s="89" t="str">
        <f t="shared" si="124"/>
        <v>'pass'</v>
      </c>
    </row>
    <row r="334" spans="1:38" x14ac:dyDescent="0.2">
      <c r="A334" s="79"/>
      <c r="B334" s="79"/>
      <c r="C334" s="106"/>
      <c r="D334" s="107"/>
      <c r="E334" s="108"/>
      <c r="F334" s="105"/>
      <c r="G334" s="109"/>
      <c r="H334" s="105"/>
      <c r="I334" s="110"/>
      <c r="J334" s="105"/>
      <c r="K334" s="104"/>
      <c r="L334" s="104"/>
      <c r="M334" s="104"/>
      <c r="N334" s="104"/>
      <c r="O334" s="104"/>
      <c r="P334" s="105"/>
      <c r="Q334" s="91"/>
      <c r="R334" s="91"/>
      <c r="S334" s="104"/>
      <c r="W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8" x14ac:dyDescent="0.2">
      <c r="A335" s="79" t="s">
        <v>76</v>
      </c>
      <c r="B335" s="79"/>
      <c r="C335" s="106">
        <v>10</v>
      </c>
      <c r="D335" s="107"/>
      <c r="E335" s="108" t="s">
        <v>77</v>
      </c>
      <c r="F335" s="105" t="s">
        <v>78</v>
      </c>
      <c r="G335" s="109">
        <v>9</v>
      </c>
      <c r="H335" s="105"/>
      <c r="I335" s="110" t="s">
        <v>79</v>
      </c>
      <c r="J335" s="105"/>
      <c r="K335" s="104"/>
      <c r="L335" s="104"/>
      <c r="M335" s="104"/>
      <c r="N335" s="104"/>
      <c r="O335" s="104"/>
      <c r="P335" s="105"/>
      <c r="Q335" s="91">
        <f>IF(J335&gt;25,0.15,0)</f>
        <v>0</v>
      </c>
      <c r="R335" s="91"/>
      <c r="S335" s="104">
        <f>+O335*Q335</f>
        <v>0</v>
      </c>
      <c r="W335" s="93">
        <v>0</v>
      </c>
      <c r="X335" s="89">
        <f t="shared" ref="X335:X340" si="142">+U335/$U$16</f>
        <v>0</v>
      </c>
      <c r="Y335" s="93">
        <f t="shared" ref="Y335:Y340" si="143">+X335*$Y$16</f>
        <v>0</v>
      </c>
      <c r="Z335" s="93">
        <v>0</v>
      </c>
      <c r="AA335" s="93">
        <f t="shared" ref="AA335:AA340" si="144">+$AA$16*X335</f>
        <v>0</v>
      </c>
      <c r="AB335" s="93">
        <v>0</v>
      </c>
      <c r="AC335" s="93">
        <f t="shared" ref="AC335:AC340" si="145">+X335*$AC$16</f>
        <v>0</v>
      </c>
      <c r="AD335" s="93">
        <f>IF(+AB335=+V335,+V335,+AB335+AC335)</f>
        <v>0</v>
      </c>
      <c r="AE335" s="93">
        <f t="shared" ref="AE335:AE340" si="146">+X335*$AE$16</f>
        <v>0</v>
      </c>
      <c r="AF335" s="93">
        <f t="shared" ref="AF335:AF340" si="147">IF(+AD335=+V335,+V335,+AD335+AE335)</f>
        <v>0</v>
      </c>
      <c r="AG335" s="93">
        <f>+X335*$AG$16</f>
        <v>0</v>
      </c>
      <c r="AH335" s="93">
        <f>IF(+AF335=+V335,+V335,+AF335+AG335)</f>
        <v>0</v>
      </c>
      <c r="AI335" s="93">
        <f>+X335*$AI$16</f>
        <v>0</v>
      </c>
      <c r="AJ335" s="93">
        <v>9</v>
      </c>
      <c r="AK335" s="93">
        <f t="shared" ref="AK335:AK340" si="148">+V335</f>
        <v>0</v>
      </c>
    </row>
    <row r="336" spans="1:38" x14ac:dyDescent="0.2">
      <c r="A336" s="117"/>
      <c r="B336" s="117"/>
      <c r="C336" s="124">
        <v>10</v>
      </c>
      <c r="D336" s="107"/>
      <c r="E336" s="120" t="s">
        <v>80</v>
      </c>
      <c r="F336" s="121" t="s">
        <v>78</v>
      </c>
      <c r="G336" s="122">
        <v>10</v>
      </c>
      <c r="H336" s="121"/>
      <c r="I336" s="118" t="s">
        <v>79</v>
      </c>
      <c r="J336" s="121"/>
      <c r="K336" s="123"/>
      <c r="L336" s="123"/>
      <c r="M336" s="123"/>
      <c r="N336" s="123"/>
      <c r="O336" s="104"/>
      <c r="P336" s="105"/>
      <c r="Q336" s="91">
        <f>IF(J336&gt;25,0.15,0)</f>
        <v>0</v>
      </c>
      <c r="R336" s="91"/>
      <c r="S336" s="104">
        <f>+O336*Q336</f>
        <v>0</v>
      </c>
      <c r="W336" s="93">
        <v>0</v>
      </c>
      <c r="X336" s="89">
        <f t="shared" si="142"/>
        <v>0</v>
      </c>
      <c r="Y336" s="93">
        <f t="shared" si="143"/>
        <v>0</v>
      </c>
      <c r="Z336" s="93">
        <v>0</v>
      </c>
      <c r="AA336" s="93">
        <f t="shared" si="144"/>
        <v>0</v>
      </c>
      <c r="AB336" s="93">
        <v>0</v>
      </c>
      <c r="AC336" s="93">
        <f t="shared" si="145"/>
        <v>0</v>
      </c>
      <c r="AD336" s="93">
        <v>0</v>
      </c>
      <c r="AE336" s="93">
        <f t="shared" si="146"/>
        <v>0</v>
      </c>
      <c r="AF336" s="93">
        <f t="shared" si="147"/>
        <v>0</v>
      </c>
      <c r="AG336" s="93">
        <f>+X336*$AG$16</f>
        <v>0</v>
      </c>
      <c r="AH336" s="93">
        <f>IF(+AF336=+V336,+V336,+AF336+AG336)</f>
        <v>0</v>
      </c>
      <c r="AI336" s="93">
        <f>+X336*$AI$16</f>
        <v>0</v>
      </c>
      <c r="AJ336" s="93">
        <v>9</v>
      </c>
      <c r="AK336" s="93">
        <f t="shared" si="148"/>
        <v>0</v>
      </c>
    </row>
    <row r="337" spans="1:37" x14ac:dyDescent="0.2">
      <c r="A337" s="117"/>
      <c r="B337" s="117"/>
      <c r="C337" s="124">
        <v>0</v>
      </c>
      <c r="D337" s="107"/>
      <c r="E337" s="120" t="s">
        <v>81</v>
      </c>
      <c r="F337" s="121" t="s">
        <v>78</v>
      </c>
      <c r="G337" s="122">
        <v>11</v>
      </c>
      <c r="H337" s="121"/>
      <c r="I337" s="118" t="s">
        <v>79</v>
      </c>
      <c r="J337" s="121"/>
      <c r="K337" s="123"/>
      <c r="L337" s="123"/>
      <c r="M337" s="123"/>
      <c r="N337" s="123"/>
      <c r="O337" s="104"/>
      <c r="P337" s="105"/>
      <c r="Q337" s="91">
        <f>IF(J337&gt;25,0.15,0)</f>
        <v>0</v>
      </c>
      <c r="R337" s="91"/>
      <c r="S337" s="104">
        <f>+O337*Q337</f>
        <v>0</v>
      </c>
      <c r="W337" s="93">
        <v>0</v>
      </c>
      <c r="X337" s="89">
        <f t="shared" si="142"/>
        <v>0</v>
      </c>
      <c r="Y337" s="93">
        <f t="shared" si="143"/>
        <v>0</v>
      </c>
      <c r="Z337" s="93">
        <v>0</v>
      </c>
      <c r="AA337" s="93">
        <f t="shared" si="144"/>
        <v>0</v>
      </c>
      <c r="AB337" s="93">
        <v>0</v>
      </c>
      <c r="AC337" s="93">
        <f t="shared" si="145"/>
        <v>0</v>
      </c>
      <c r="AD337" s="93">
        <f>IF(+AB337=+V337,+V337,+AB337+AC337)</f>
        <v>0</v>
      </c>
      <c r="AE337" s="93">
        <f t="shared" si="146"/>
        <v>0</v>
      </c>
      <c r="AF337" s="93">
        <f t="shared" si="147"/>
        <v>0</v>
      </c>
      <c r="AG337" s="93">
        <f>+X337*$AG$16</f>
        <v>0</v>
      </c>
      <c r="AH337" s="93">
        <f>IF(+AF337=+V337,+V337,+AF337+AG337)</f>
        <v>0</v>
      </c>
      <c r="AI337" s="93">
        <f>+X337*$AI$16</f>
        <v>0</v>
      </c>
      <c r="AJ337" s="93">
        <v>0</v>
      </c>
      <c r="AK337" s="93">
        <f t="shared" si="148"/>
        <v>0</v>
      </c>
    </row>
    <row r="338" spans="1:37" x14ac:dyDescent="0.2">
      <c r="A338" s="117"/>
      <c r="B338" s="117"/>
      <c r="C338" s="124">
        <v>220</v>
      </c>
      <c r="D338" s="107"/>
      <c r="E338" s="120" t="s">
        <v>82</v>
      </c>
      <c r="F338" s="121" t="s">
        <v>78</v>
      </c>
      <c r="G338" s="122">
        <v>12</v>
      </c>
      <c r="H338" s="121"/>
      <c r="I338" s="118" t="s">
        <v>79</v>
      </c>
      <c r="J338" s="121"/>
      <c r="K338" s="123"/>
      <c r="L338" s="123"/>
      <c r="M338" s="123"/>
      <c r="N338" s="123"/>
      <c r="O338" s="104"/>
      <c r="P338" s="105"/>
      <c r="Q338" s="91">
        <f>IF(J338&gt;25,0.15,0)</f>
        <v>0</v>
      </c>
      <c r="R338" s="91"/>
      <c r="S338" s="104">
        <f>+O338*Q338</f>
        <v>0</v>
      </c>
      <c r="W338" s="93">
        <v>0</v>
      </c>
      <c r="X338" s="89">
        <f t="shared" si="142"/>
        <v>0</v>
      </c>
      <c r="Y338" s="93">
        <f t="shared" si="143"/>
        <v>0</v>
      </c>
      <c r="Z338" s="93">
        <v>0</v>
      </c>
      <c r="AA338" s="93">
        <f t="shared" si="144"/>
        <v>0</v>
      </c>
      <c r="AB338" s="93">
        <v>0</v>
      </c>
      <c r="AC338" s="93">
        <f t="shared" si="145"/>
        <v>0</v>
      </c>
      <c r="AD338" s="93">
        <f>IF(+AB338=+V338,+V338,+AB338+AC338)</f>
        <v>0</v>
      </c>
      <c r="AE338" s="93">
        <f t="shared" si="146"/>
        <v>0</v>
      </c>
      <c r="AF338" s="93">
        <f t="shared" si="147"/>
        <v>0</v>
      </c>
      <c r="AG338" s="93">
        <f>+X338*$AG$16</f>
        <v>0</v>
      </c>
      <c r="AH338" s="93">
        <f>IF(+AF338=+V338,+V338,+AF338+AG338)</f>
        <v>0</v>
      </c>
      <c r="AI338" s="93">
        <f>+X338*$AI$16</f>
        <v>0</v>
      </c>
      <c r="AJ338" s="93">
        <v>184</v>
      </c>
      <c r="AK338" s="93">
        <f t="shared" si="148"/>
        <v>0</v>
      </c>
    </row>
    <row r="339" spans="1:37" x14ac:dyDescent="0.2">
      <c r="A339" s="79"/>
      <c r="B339" s="79"/>
      <c r="C339" s="106"/>
      <c r="D339" s="107"/>
      <c r="E339" s="108"/>
      <c r="F339" s="105"/>
      <c r="G339" s="109"/>
      <c r="H339" s="105"/>
      <c r="I339" s="110"/>
      <c r="J339" s="105"/>
      <c r="K339" s="104"/>
      <c r="L339" s="104"/>
      <c r="M339" s="104"/>
      <c r="N339" s="104"/>
      <c r="O339" s="104"/>
      <c r="P339" s="105"/>
      <c r="Q339" s="91"/>
      <c r="R339" s="91"/>
      <c r="S339" s="104"/>
      <c r="W339" s="93">
        <v>0</v>
      </c>
      <c r="X339" s="89">
        <f t="shared" si="142"/>
        <v>0</v>
      </c>
      <c r="Y339" s="93">
        <f t="shared" si="143"/>
        <v>0</v>
      </c>
      <c r="Z339" s="93">
        <f>IF(W339=V339,W339,U339+Y339)</f>
        <v>0</v>
      </c>
      <c r="AA339" s="93">
        <f t="shared" si="144"/>
        <v>0</v>
      </c>
      <c r="AB339" s="93">
        <v>0</v>
      </c>
      <c r="AC339" s="93">
        <f t="shared" si="145"/>
        <v>0</v>
      </c>
      <c r="AD339" s="93">
        <f>IF(+AB339=+V339,+V339,+AB339+AC339)</f>
        <v>0</v>
      </c>
      <c r="AE339" s="93">
        <f t="shared" si="146"/>
        <v>0</v>
      </c>
      <c r="AF339" s="93">
        <f t="shared" si="147"/>
        <v>0</v>
      </c>
      <c r="AG339" s="93"/>
      <c r="AH339" s="93"/>
      <c r="AI339" s="93"/>
      <c r="AJ339" s="93"/>
      <c r="AK339" s="93">
        <f t="shared" si="148"/>
        <v>0</v>
      </c>
    </row>
    <row r="340" spans="1:37" x14ac:dyDescent="0.2">
      <c r="A340" s="79"/>
      <c r="B340" s="79"/>
      <c r="C340" s="106"/>
      <c r="D340" s="107"/>
      <c r="E340" s="108"/>
      <c r="F340" s="105"/>
      <c r="G340" s="109"/>
      <c r="H340" s="105"/>
      <c r="I340" s="110"/>
      <c r="J340" s="105"/>
      <c r="K340" s="104"/>
      <c r="L340" s="104"/>
      <c r="M340" s="104"/>
      <c r="N340" s="104"/>
      <c r="O340" s="104"/>
      <c r="P340" s="105"/>
      <c r="Q340" s="91"/>
      <c r="R340" s="91"/>
      <c r="S340" s="104"/>
      <c r="W340" s="93">
        <f>IF(U340&gt;V340,V340,U340)</f>
        <v>0</v>
      </c>
      <c r="X340" s="89">
        <f t="shared" si="142"/>
        <v>0</v>
      </c>
      <c r="Y340" s="93">
        <f t="shared" si="143"/>
        <v>0</v>
      </c>
      <c r="Z340" s="93">
        <f>IF(W340=V340,W340,U340+Y340)</f>
        <v>0</v>
      </c>
      <c r="AA340" s="93">
        <f t="shared" si="144"/>
        <v>0</v>
      </c>
      <c r="AB340" s="93">
        <f>IF(+Z340=+V340,+V340,+Z340+AA340)</f>
        <v>0</v>
      </c>
      <c r="AC340" s="93">
        <f t="shared" si="145"/>
        <v>0</v>
      </c>
      <c r="AD340" s="93">
        <f>IF(+AB340=+V340,+V340,+AB340+AC340)</f>
        <v>0</v>
      </c>
      <c r="AE340" s="93">
        <f t="shared" si="146"/>
        <v>0</v>
      </c>
      <c r="AF340" s="93">
        <f t="shared" si="147"/>
        <v>0</v>
      </c>
      <c r="AG340" s="93"/>
      <c r="AH340" s="93"/>
      <c r="AI340" s="93"/>
      <c r="AJ340" s="93"/>
      <c r="AK340" s="93">
        <f t="shared" si="148"/>
        <v>0</v>
      </c>
    </row>
    <row r="342" spans="1:37" x14ac:dyDescent="0.2">
      <c r="A342" s="79"/>
      <c r="B342" s="79"/>
      <c r="C342" s="106"/>
      <c r="D342" s="107"/>
      <c r="E342" s="108"/>
      <c r="F342" s="105"/>
      <c r="G342" s="109"/>
      <c r="H342" s="105"/>
      <c r="I342" s="110"/>
      <c r="J342" s="105"/>
      <c r="K342" s="104"/>
      <c r="L342" s="104"/>
      <c r="M342" s="104"/>
      <c r="N342" s="104"/>
      <c r="O342" s="104"/>
      <c r="P342" s="105"/>
      <c r="Q342" s="91"/>
      <c r="R342" s="91"/>
      <c r="S342" s="104"/>
    </row>
    <row r="343" spans="1:37" x14ac:dyDescent="0.2">
      <c r="A343" s="79"/>
      <c r="B343" s="79"/>
      <c r="C343" s="106"/>
      <c r="D343" s="107"/>
      <c r="E343" s="108"/>
      <c r="F343" s="105"/>
      <c r="G343" s="109"/>
      <c r="H343" s="105"/>
      <c r="I343" s="110"/>
      <c r="J343" s="105"/>
      <c r="K343" s="104"/>
      <c r="L343" s="104"/>
      <c r="M343" s="104"/>
      <c r="N343" s="104"/>
      <c r="O343" s="104"/>
      <c r="P343" s="105"/>
      <c r="Q343" s="91"/>
      <c r="R343" s="91"/>
      <c r="S343" s="104"/>
    </row>
    <row r="344" spans="1:37" x14ac:dyDescent="0.2">
      <c r="A344" s="95" t="s">
        <v>83</v>
      </c>
      <c r="B344" s="79"/>
      <c r="C344" s="106"/>
      <c r="D344" s="107"/>
      <c r="E344" s="108"/>
      <c r="F344" s="105"/>
      <c r="G344" s="109"/>
      <c r="H344" s="105"/>
      <c r="I344" s="110"/>
      <c r="J344" s="105"/>
      <c r="K344" s="104"/>
      <c r="L344" s="104"/>
      <c r="M344" s="104"/>
      <c r="N344" s="104"/>
      <c r="O344" s="104"/>
      <c r="P344" s="105"/>
      <c r="Q344" s="91"/>
      <c r="R344" s="91"/>
      <c r="S344" s="104"/>
    </row>
    <row r="345" spans="1:37" x14ac:dyDescent="0.2">
      <c r="A345" s="96" t="s">
        <v>84</v>
      </c>
      <c r="B345" s="96"/>
      <c r="C345" s="112"/>
      <c r="D345" s="98"/>
      <c r="E345" s="99"/>
      <c r="F345" s="100"/>
      <c r="G345" s="101"/>
      <c r="H345" s="100"/>
      <c r="I345" s="102"/>
      <c r="J345" s="100"/>
      <c r="K345" s="103"/>
      <c r="L345" s="103"/>
      <c r="M345" s="103"/>
      <c r="N345" s="103"/>
      <c r="O345" s="104"/>
      <c r="P345" s="105"/>
      <c r="Q345" s="91"/>
      <c r="R345" s="91"/>
    </row>
    <row r="346" spans="1:37" x14ac:dyDescent="0.2">
      <c r="A346" s="117"/>
      <c r="B346" s="117" t="s">
        <v>1525</v>
      </c>
      <c r="C346" s="124">
        <v>120</v>
      </c>
      <c r="D346" s="107"/>
      <c r="E346" s="120" t="s">
        <v>85</v>
      </c>
      <c r="F346" s="121" t="s">
        <v>86</v>
      </c>
      <c r="G346" s="122" t="s">
        <v>87</v>
      </c>
      <c r="H346" s="121"/>
      <c r="I346" s="118" t="s">
        <v>88</v>
      </c>
      <c r="J346" s="121"/>
      <c r="K346" s="123"/>
      <c r="L346" s="123"/>
      <c r="M346" s="123"/>
      <c r="N346" s="123"/>
      <c r="O346" s="104"/>
      <c r="P346" s="105"/>
      <c r="Q346" s="91">
        <f>IF(J346&gt;25,0.15,0)</f>
        <v>0</v>
      </c>
      <c r="R346" s="91"/>
      <c r="AJ346" s="94">
        <v>124</v>
      </c>
    </row>
    <row r="347" spans="1:37" x14ac:dyDescent="0.2">
      <c r="A347" s="79"/>
      <c r="B347" s="117" t="s">
        <v>89</v>
      </c>
      <c r="C347" s="124">
        <v>226</v>
      </c>
      <c r="D347" s="107"/>
      <c r="E347" s="120" t="s">
        <v>90</v>
      </c>
      <c r="F347" s="121" t="s">
        <v>91</v>
      </c>
      <c r="G347" s="122">
        <v>44</v>
      </c>
      <c r="H347" s="121"/>
      <c r="I347" s="118" t="s">
        <v>92</v>
      </c>
      <c r="J347" s="121"/>
      <c r="K347" s="123"/>
      <c r="L347" s="123"/>
      <c r="M347" s="123"/>
      <c r="N347" s="123"/>
      <c r="O347" s="104"/>
      <c r="P347" s="105"/>
      <c r="Q347" s="91">
        <f>IF(J347&gt;25,0.15,0)</f>
        <v>0</v>
      </c>
      <c r="R347" s="91"/>
      <c r="AJ347" s="94">
        <v>227</v>
      </c>
    </row>
    <row r="348" spans="1:37" x14ac:dyDescent="0.2">
      <c r="A348" s="79"/>
      <c r="B348" s="117"/>
      <c r="C348" s="124"/>
      <c r="D348" s="107"/>
      <c r="E348" s="120"/>
      <c r="F348" s="121"/>
      <c r="G348" s="122"/>
      <c r="H348" s="121"/>
      <c r="I348" s="118"/>
      <c r="J348" s="121"/>
      <c r="K348" s="123"/>
      <c r="L348" s="123"/>
      <c r="M348" s="123"/>
      <c r="N348" s="123"/>
      <c r="O348" s="104"/>
      <c r="P348" s="105"/>
      <c r="Q348" s="91">
        <f>IF(J348&gt;25,0.15,0)</f>
        <v>0</v>
      </c>
      <c r="R348" s="91"/>
    </row>
    <row r="349" spans="1:37" x14ac:dyDescent="0.2">
      <c r="E349" s="146" t="s">
        <v>93</v>
      </c>
      <c r="F349" s="147" t="s">
        <v>94</v>
      </c>
      <c r="G349" s="94">
        <v>18</v>
      </c>
      <c r="I349" s="148" t="s">
        <v>95</v>
      </c>
      <c r="AJ349" s="94">
        <v>53</v>
      </c>
    </row>
    <row r="353" spans="1:36" x14ac:dyDescent="0.2">
      <c r="A353" s="117"/>
      <c r="B353" s="117"/>
      <c r="C353" s="124"/>
      <c r="D353" s="107"/>
      <c r="E353" s="120"/>
      <c r="F353" s="121"/>
      <c r="G353" s="122"/>
      <c r="H353" s="121"/>
      <c r="I353" s="118"/>
      <c r="J353" s="121"/>
      <c r="K353" s="123"/>
      <c r="L353" s="123"/>
      <c r="M353" s="123"/>
      <c r="N353" s="123"/>
      <c r="O353" s="104"/>
      <c r="P353" s="105"/>
      <c r="Q353" s="91">
        <f t="shared" ref="Q353:Q362" si="149">IF(J353&gt;25,0.15,0)</f>
        <v>0</v>
      </c>
      <c r="R353" s="91"/>
    </row>
    <row r="354" spans="1:36" x14ac:dyDescent="0.2">
      <c r="A354" s="79" t="s">
        <v>96</v>
      </c>
      <c r="B354" s="79"/>
      <c r="C354" s="106">
        <v>258</v>
      </c>
      <c r="D354" s="107"/>
      <c r="E354" s="108" t="s">
        <v>97</v>
      </c>
      <c r="F354" s="105" t="s">
        <v>98</v>
      </c>
      <c r="G354" s="109" t="s">
        <v>99</v>
      </c>
      <c r="H354" s="105"/>
      <c r="I354" s="110" t="s">
        <v>100</v>
      </c>
      <c r="J354" s="105"/>
      <c r="K354" s="104"/>
      <c r="L354" s="104"/>
      <c r="M354" s="104"/>
      <c r="N354" s="104"/>
      <c r="O354" s="104"/>
      <c r="P354" s="105"/>
      <c r="Q354" s="91">
        <f t="shared" si="149"/>
        <v>0</v>
      </c>
      <c r="R354" s="91"/>
      <c r="AJ354" s="94">
        <v>125</v>
      </c>
    </row>
    <row r="355" spans="1:36" x14ac:dyDescent="0.2">
      <c r="A355" s="117"/>
      <c r="B355" s="117"/>
      <c r="C355" s="124">
        <v>258</v>
      </c>
      <c r="D355" s="107"/>
      <c r="E355" s="120" t="s">
        <v>101</v>
      </c>
      <c r="F355" s="121" t="s">
        <v>98</v>
      </c>
      <c r="G355" s="122" t="s">
        <v>102</v>
      </c>
      <c r="H355" s="121"/>
      <c r="I355" s="118" t="s">
        <v>100</v>
      </c>
      <c r="J355" s="121"/>
      <c r="K355" s="123"/>
      <c r="L355" s="123"/>
      <c r="M355" s="123"/>
      <c r="N355" s="123"/>
      <c r="O355" s="104"/>
      <c r="P355" s="105"/>
      <c r="Q355" s="91">
        <f t="shared" si="149"/>
        <v>0</v>
      </c>
      <c r="R355" s="91"/>
      <c r="AJ355" s="94">
        <v>125</v>
      </c>
    </row>
    <row r="356" spans="1:36" x14ac:dyDescent="0.2">
      <c r="A356" s="79"/>
      <c r="B356" s="79"/>
      <c r="C356" s="106">
        <v>632</v>
      </c>
      <c r="D356" s="107"/>
      <c r="E356" s="120" t="s">
        <v>103</v>
      </c>
      <c r="F356" s="121" t="s">
        <v>98</v>
      </c>
      <c r="G356" s="109" t="s">
        <v>104</v>
      </c>
      <c r="H356" s="105"/>
      <c r="I356" s="118" t="s">
        <v>100</v>
      </c>
      <c r="J356" s="105"/>
      <c r="K356" s="104"/>
      <c r="L356" s="104"/>
      <c r="M356" s="104"/>
      <c r="N356" s="104"/>
      <c r="O356" s="104"/>
      <c r="P356" s="105"/>
      <c r="Q356" s="91">
        <f t="shared" si="149"/>
        <v>0</v>
      </c>
      <c r="R356" s="91"/>
      <c r="AJ356" s="94">
        <v>306</v>
      </c>
    </row>
    <row r="357" spans="1:36" x14ac:dyDescent="0.2">
      <c r="A357" s="79"/>
      <c r="B357" s="79"/>
      <c r="C357" s="106">
        <v>76</v>
      </c>
      <c r="D357" s="107"/>
      <c r="E357" s="120" t="s">
        <v>105</v>
      </c>
      <c r="F357" s="121" t="s">
        <v>98</v>
      </c>
      <c r="G357" s="109" t="s">
        <v>106</v>
      </c>
      <c r="H357" s="105"/>
      <c r="I357" s="118" t="s">
        <v>100</v>
      </c>
      <c r="J357" s="105"/>
      <c r="K357" s="104"/>
      <c r="L357" s="104"/>
      <c r="M357" s="104"/>
      <c r="N357" s="104"/>
      <c r="O357" s="104"/>
      <c r="P357" s="105"/>
      <c r="Q357" s="91">
        <f t="shared" si="149"/>
        <v>0</v>
      </c>
      <c r="R357" s="91"/>
      <c r="AJ357" s="94">
        <v>36</v>
      </c>
    </row>
    <row r="358" spans="1:36" x14ac:dyDescent="0.2">
      <c r="A358" s="79"/>
      <c r="B358" s="79"/>
      <c r="C358" s="106">
        <v>551</v>
      </c>
      <c r="D358" s="107"/>
      <c r="E358" s="120" t="s">
        <v>107</v>
      </c>
      <c r="F358" s="121" t="s">
        <v>98</v>
      </c>
      <c r="G358" s="109" t="s">
        <v>108</v>
      </c>
      <c r="H358" s="105"/>
      <c r="I358" s="118" t="s">
        <v>100</v>
      </c>
      <c r="J358" s="105"/>
      <c r="K358" s="104"/>
      <c r="L358" s="104"/>
      <c r="M358" s="104"/>
      <c r="N358" s="104"/>
      <c r="O358" s="104"/>
      <c r="P358" s="105"/>
      <c r="Q358" s="91">
        <f t="shared" si="149"/>
        <v>0</v>
      </c>
      <c r="R358" s="91"/>
      <c r="AJ358" s="94">
        <v>268</v>
      </c>
    </row>
    <row r="359" spans="1:36" x14ac:dyDescent="0.2">
      <c r="A359" s="79"/>
      <c r="B359" s="79"/>
      <c r="C359" s="106">
        <v>551</v>
      </c>
      <c r="D359" s="107"/>
      <c r="E359" s="120" t="s">
        <v>109</v>
      </c>
      <c r="F359" s="121" t="s">
        <v>98</v>
      </c>
      <c r="G359" s="109" t="s">
        <v>110</v>
      </c>
      <c r="H359" s="105"/>
      <c r="I359" s="118" t="s">
        <v>100</v>
      </c>
      <c r="J359" s="105"/>
      <c r="K359" s="104"/>
      <c r="L359" s="104"/>
      <c r="M359" s="104"/>
      <c r="N359" s="104"/>
      <c r="O359" s="104"/>
      <c r="P359" s="105"/>
      <c r="Q359" s="91">
        <f t="shared" si="149"/>
        <v>0</v>
      </c>
      <c r="R359" s="91"/>
      <c r="AJ359" s="94">
        <v>268</v>
      </c>
    </row>
    <row r="360" spans="1:36" x14ac:dyDescent="0.2">
      <c r="A360" s="79"/>
      <c r="B360" s="79"/>
      <c r="C360" s="106">
        <v>705</v>
      </c>
      <c r="D360" s="107"/>
      <c r="E360" s="120" t="s">
        <v>111</v>
      </c>
      <c r="F360" s="121" t="s">
        <v>98</v>
      </c>
      <c r="G360" s="109" t="s">
        <v>112</v>
      </c>
      <c r="H360" s="105"/>
      <c r="I360" s="118" t="s">
        <v>100</v>
      </c>
      <c r="J360" s="105"/>
      <c r="K360" s="104"/>
      <c r="L360" s="104"/>
      <c r="M360" s="104"/>
      <c r="N360" s="104"/>
      <c r="O360" s="104"/>
      <c r="P360" s="105"/>
      <c r="Q360" s="91">
        <f t="shared" si="149"/>
        <v>0</v>
      </c>
      <c r="R360" s="91"/>
      <c r="AJ360" s="94">
        <v>342</v>
      </c>
    </row>
    <row r="361" spans="1:36" x14ac:dyDescent="0.2">
      <c r="A361" s="79"/>
      <c r="B361" s="79"/>
      <c r="C361" s="106">
        <v>516</v>
      </c>
      <c r="D361" s="107"/>
      <c r="E361" s="120" t="s">
        <v>113</v>
      </c>
      <c r="F361" s="121" t="s">
        <v>98</v>
      </c>
      <c r="G361" s="109" t="s">
        <v>114</v>
      </c>
      <c r="H361" s="105"/>
      <c r="I361" s="118" t="s">
        <v>100</v>
      </c>
      <c r="J361" s="105"/>
      <c r="K361" s="104"/>
      <c r="L361" s="104"/>
      <c r="M361" s="104"/>
      <c r="N361" s="104"/>
      <c r="O361" s="104"/>
      <c r="P361" s="105"/>
      <c r="Q361" s="91">
        <f t="shared" si="149"/>
        <v>0</v>
      </c>
      <c r="R361" s="91"/>
      <c r="AJ361" s="94">
        <v>251</v>
      </c>
    </row>
    <row r="362" spans="1:36" x14ac:dyDescent="0.2">
      <c r="A362" s="79"/>
      <c r="B362" s="79"/>
      <c r="C362" s="106"/>
      <c r="D362" s="107"/>
      <c r="E362" s="120"/>
      <c r="F362" s="121"/>
      <c r="G362" s="109"/>
      <c r="H362" s="105"/>
      <c r="I362" s="118"/>
      <c r="J362" s="105"/>
      <c r="K362" s="104"/>
      <c r="L362" s="104"/>
      <c r="M362" s="104"/>
      <c r="N362" s="104"/>
      <c r="O362" s="104"/>
      <c r="P362" s="105"/>
      <c r="Q362" s="91">
        <f t="shared" si="149"/>
        <v>0</v>
      </c>
      <c r="R362" s="91"/>
    </row>
    <row r="364" spans="1:36" x14ac:dyDescent="0.2">
      <c r="A364" s="149"/>
      <c r="B364" s="149"/>
      <c r="C364" s="150"/>
      <c r="D364" s="151"/>
      <c r="E364" s="152"/>
      <c r="F364" s="153"/>
      <c r="G364" s="154"/>
      <c r="H364" s="153"/>
      <c r="I364" s="155"/>
      <c r="J364" s="153"/>
      <c r="K364" s="156"/>
      <c r="L364" s="156"/>
      <c r="M364" s="156"/>
      <c r="N364" s="156"/>
      <c r="O364" s="156"/>
      <c r="P364" s="153"/>
      <c r="Q364" s="153"/>
      <c r="R364" s="153"/>
    </row>
    <row r="365" spans="1:36" x14ac:dyDescent="0.2">
      <c r="A365" s="79"/>
      <c r="B365" s="117" t="s">
        <v>115</v>
      </c>
      <c r="C365" s="124">
        <v>82</v>
      </c>
      <c r="D365" s="119">
        <f>C365/$C$6</f>
        <v>1.961863291623801E-3</v>
      </c>
      <c r="E365" s="121" t="s">
        <v>116</v>
      </c>
      <c r="F365" s="120" t="s">
        <v>1871</v>
      </c>
      <c r="G365" s="122" t="s">
        <v>117</v>
      </c>
      <c r="H365" s="121"/>
      <c r="I365" s="118" t="s">
        <v>118</v>
      </c>
      <c r="J365" s="121"/>
      <c r="K365" s="123"/>
      <c r="L365" s="123"/>
      <c r="M365" s="123"/>
      <c r="N365" s="123"/>
      <c r="O365" s="104"/>
      <c r="P365" s="105"/>
      <c r="Q365" s="91">
        <f>IF(J365&gt;25,0.15,0)</f>
        <v>0</v>
      </c>
      <c r="R365" s="91"/>
      <c r="AJ365" s="94">
        <v>38</v>
      </c>
    </row>
    <row r="366" spans="1:36" x14ac:dyDescent="0.2">
      <c r="A366" s="79"/>
      <c r="B366" s="117" t="s">
        <v>119</v>
      </c>
      <c r="C366" s="124">
        <v>82</v>
      </c>
      <c r="D366" s="119">
        <f>C366/$C$6</f>
        <v>1.961863291623801E-3</v>
      </c>
      <c r="E366" s="121" t="s">
        <v>120</v>
      </c>
      <c r="F366" s="120" t="s">
        <v>1871</v>
      </c>
      <c r="G366" s="122" t="s">
        <v>121</v>
      </c>
      <c r="H366" s="121"/>
      <c r="I366" s="118" t="s">
        <v>118</v>
      </c>
      <c r="J366" s="121"/>
      <c r="K366" s="123"/>
      <c r="L366" s="123"/>
      <c r="M366" s="123"/>
      <c r="N366" s="123"/>
      <c r="O366" s="104"/>
      <c r="P366" s="105"/>
      <c r="Q366" s="91">
        <f>IF(J366&gt;25,0.15,0)</f>
        <v>0</v>
      </c>
      <c r="R366" s="91"/>
      <c r="AJ366" s="94">
        <v>38</v>
      </c>
    </row>
    <row r="367" spans="1:36" x14ac:dyDescent="0.2">
      <c r="A367" s="79"/>
      <c r="B367" s="117" t="s">
        <v>122</v>
      </c>
      <c r="C367" s="124">
        <v>82</v>
      </c>
      <c r="D367" s="119">
        <f>C367/$C$6</f>
        <v>1.961863291623801E-3</v>
      </c>
      <c r="E367" s="121" t="s">
        <v>123</v>
      </c>
      <c r="F367" s="120" t="s">
        <v>1871</v>
      </c>
      <c r="G367" s="122" t="s">
        <v>124</v>
      </c>
      <c r="H367" s="121"/>
      <c r="I367" s="118" t="s">
        <v>118</v>
      </c>
      <c r="J367" s="121"/>
      <c r="K367" s="123"/>
      <c r="L367" s="123"/>
      <c r="M367" s="123"/>
      <c r="N367" s="123"/>
      <c r="O367" s="104"/>
      <c r="P367" s="105"/>
      <c r="Q367" s="91">
        <f>IF(J367&gt;25,0.15,0)</f>
        <v>0</v>
      </c>
      <c r="R367" s="91"/>
      <c r="AJ367" s="94">
        <v>38</v>
      </c>
    </row>
    <row r="368" spans="1:36" x14ac:dyDescent="0.2">
      <c r="A368" s="79"/>
      <c r="B368" s="117" t="s">
        <v>125</v>
      </c>
      <c r="C368" s="124">
        <v>82</v>
      </c>
      <c r="D368" s="119">
        <f>C368/$C$6</f>
        <v>1.961863291623801E-3</v>
      </c>
      <c r="E368" s="121" t="s">
        <v>126</v>
      </c>
      <c r="F368" s="120" t="s">
        <v>1871</v>
      </c>
      <c r="G368" s="122" t="s">
        <v>127</v>
      </c>
      <c r="H368" s="121"/>
      <c r="I368" s="118" t="s">
        <v>118</v>
      </c>
      <c r="J368" s="121"/>
      <c r="K368" s="123"/>
      <c r="L368" s="123"/>
      <c r="M368" s="123"/>
      <c r="N368" s="123"/>
      <c r="O368" s="104"/>
      <c r="P368" s="105"/>
      <c r="Q368" s="91">
        <f>IF(J368&gt;25,0.15,0)</f>
        <v>0</v>
      </c>
      <c r="R368" s="91"/>
      <c r="AJ368" s="94">
        <v>38</v>
      </c>
    </row>
    <row r="369" spans="1:88" x14ac:dyDescent="0.2">
      <c r="D369" s="157"/>
      <c r="E369" s="158"/>
      <c r="F369" s="94"/>
      <c r="G369" s="159"/>
      <c r="H369" s="94"/>
    </row>
    <row r="370" spans="1:88" x14ac:dyDescent="0.2">
      <c r="A370" s="79"/>
      <c r="B370" s="117" t="s">
        <v>128</v>
      </c>
      <c r="C370" s="124">
        <v>38</v>
      </c>
      <c r="D370" s="119">
        <f>C370/$C$6</f>
        <v>9.0915615953298084E-4</v>
      </c>
      <c r="E370" s="121" t="s">
        <v>129</v>
      </c>
      <c r="F370" s="120" t="s">
        <v>1891</v>
      </c>
      <c r="G370" s="122" t="s">
        <v>130</v>
      </c>
      <c r="H370" s="121"/>
      <c r="I370" s="118" t="s">
        <v>131</v>
      </c>
      <c r="J370" s="121"/>
      <c r="K370" s="123"/>
      <c r="L370" s="123"/>
      <c r="M370" s="123"/>
      <c r="N370" s="123"/>
      <c r="O370" s="104"/>
      <c r="P370" s="105"/>
      <c r="Q370" s="91">
        <f>IF(J370&gt;25,0.15,0)</f>
        <v>0</v>
      </c>
      <c r="R370" s="91"/>
      <c r="AJ370" s="94">
        <v>17</v>
      </c>
    </row>
    <row r="371" spans="1:88" x14ac:dyDescent="0.2">
      <c r="A371" s="79"/>
      <c r="B371" s="117" t="s">
        <v>132</v>
      </c>
      <c r="C371" s="124">
        <v>37</v>
      </c>
      <c r="D371" s="119">
        <f>C371/$C$6</f>
        <v>8.8523099744000763E-4</v>
      </c>
      <c r="E371" s="121" t="s">
        <v>133</v>
      </c>
      <c r="F371" s="120" t="s">
        <v>1891</v>
      </c>
      <c r="G371" s="122" t="s">
        <v>134</v>
      </c>
      <c r="H371" s="121"/>
      <c r="I371" s="118" t="s">
        <v>131</v>
      </c>
      <c r="J371" s="121"/>
      <c r="K371" s="123"/>
      <c r="L371" s="123"/>
      <c r="M371" s="123"/>
      <c r="N371" s="123"/>
      <c r="O371" s="104"/>
      <c r="P371" s="105"/>
      <c r="Q371" s="91">
        <f>IF(J371&gt;25,0.15,0)</f>
        <v>0</v>
      </c>
      <c r="R371" s="91"/>
      <c r="AJ371" s="94">
        <v>17</v>
      </c>
    </row>
    <row r="372" spans="1:88" x14ac:dyDescent="0.2">
      <c r="A372" s="79"/>
      <c r="B372" s="117" t="s">
        <v>234</v>
      </c>
      <c r="C372" s="124">
        <v>37</v>
      </c>
      <c r="D372" s="119">
        <f>C372/$C$6</f>
        <v>8.8523099744000763E-4</v>
      </c>
      <c r="E372" s="121" t="s">
        <v>235</v>
      </c>
      <c r="F372" s="120" t="s">
        <v>1891</v>
      </c>
      <c r="G372" s="122" t="s">
        <v>236</v>
      </c>
      <c r="H372" s="121"/>
      <c r="I372" s="118" t="s">
        <v>131</v>
      </c>
      <c r="J372" s="121"/>
      <c r="K372" s="123"/>
      <c r="L372" s="123"/>
      <c r="M372" s="123"/>
      <c r="N372" s="123"/>
      <c r="O372" s="104"/>
      <c r="P372" s="105"/>
      <c r="Q372" s="91">
        <f>IF(J372&gt;25,0.15,0)</f>
        <v>0</v>
      </c>
      <c r="R372" s="91"/>
      <c r="AJ372" s="94">
        <v>17</v>
      </c>
      <c r="AL372" s="160"/>
    </row>
    <row r="373" spans="1:88" x14ac:dyDescent="0.2">
      <c r="A373" s="79"/>
      <c r="B373" s="117" t="s">
        <v>237</v>
      </c>
      <c r="C373" s="124">
        <v>37</v>
      </c>
      <c r="D373" s="119">
        <f>C373/$C$6</f>
        <v>8.8523099744000763E-4</v>
      </c>
      <c r="E373" s="121" t="s">
        <v>238</v>
      </c>
      <c r="F373" s="120" t="s">
        <v>1891</v>
      </c>
      <c r="G373" s="122" t="s">
        <v>239</v>
      </c>
      <c r="H373" s="121"/>
      <c r="I373" s="118" t="s">
        <v>131</v>
      </c>
      <c r="J373" s="121"/>
      <c r="K373" s="123"/>
      <c r="L373" s="123"/>
      <c r="M373" s="123"/>
      <c r="N373" s="123"/>
      <c r="O373" s="104"/>
      <c r="P373" s="105"/>
      <c r="Q373" s="91">
        <f>IF(J373&gt;25,0.15,0)</f>
        <v>0</v>
      </c>
      <c r="R373" s="91"/>
      <c r="AJ373" s="94">
        <v>17</v>
      </c>
      <c r="AL373" s="161"/>
    </row>
    <row r="374" spans="1:88" x14ac:dyDescent="0.2">
      <c r="A374" s="79"/>
      <c r="B374" s="79"/>
      <c r="C374" s="79"/>
      <c r="D374" s="162"/>
      <c r="E374" s="91"/>
      <c r="F374" s="163"/>
      <c r="G374" s="133"/>
      <c r="H374" s="91"/>
      <c r="I374" s="134"/>
      <c r="J374" s="91"/>
      <c r="K374" s="132"/>
      <c r="L374" s="132"/>
      <c r="M374" s="132"/>
      <c r="N374" s="132"/>
      <c r="O374" s="132"/>
      <c r="P374" s="91"/>
      <c r="Q374" s="91"/>
      <c r="R374" s="91"/>
      <c r="U374" s="92">
        <f>SUM(U375:U377)</f>
        <v>7438.2</v>
      </c>
      <c r="W374" s="92">
        <f>SUM(W375:W377)</f>
        <v>7438.2</v>
      </c>
      <c r="X374" s="94">
        <f>SUM(X375:X377)</f>
        <v>1</v>
      </c>
      <c r="Y374" s="92">
        <f>+U374-W374</f>
        <v>0</v>
      </c>
      <c r="Z374" s="92">
        <f>SUM(Z375:Z377)</f>
        <v>7438.2</v>
      </c>
      <c r="AA374" s="160">
        <f>+U374-Z374</f>
        <v>0</v>
      </c>
      <c r="AB374" s="160">
        <f>SUM(AB375:AB377)</f>
        <v>7438.2</v>
      </c>
      <c r="AC374" s="160">
        <f>+U374-AB374</f>
        <v>0</v>
      </c>
      <c r="AD374" s="160">
        <f>SUM(AD375:AD377)</f>
        <v>7438.2</v>
      </c>
      <c r="AE374" s="160">
        <f>+U374-AD374</f>
        <v>0</v>
      </c>
      <c r="AF374" s="160">
        <f>SUM(AF375:AF377)</f>
        <v>7438.2</v>
      </c>
      <c r="AG374" s="160">
        <f>+U374-AF374</f>
        <v>0</v>
      </c>
      <c r="AH374" s="160">
        <f>SUM(AH375:AH377)</f>
        <v>7438.2</v>
      </c>
      <c r="AI374" s="160">
        <f>+U374-AH374</f>
        <v>0</v>
      </c>
      <c r="AL374" s="161">
        <f>SUM(AL375:AL377)</f>
        <v>7438.2</v>
      </c>
      <c r="AM374" s="160">
        <f>+U374-AL374</f>
        <v>0</v>
      </c>
      <c r="AN374" s="160">
        <f>SUM(AN375:AN377)</f>
        <v>7438.2</v>
      </c>
      <c r="AO374" s="160">
        <f>+U374-AN374</f>
        <v>0</v>
      </c>
      <c r="AP374" s="160">
        <f>SUM(AP375:AP377)</f>
        <v>7438.2</v>
      </c>
      <c r="AQ374" s="160">
        <f>+U374-AP374</f>
        <v>0</v>
      </c>
      <c r="AR374" s="160">
        <f>SUM(AR375:AR377)</f>
        <v>7438.2</v>
      </c>
      <c r="AS374" s="160">
        <f>+U374-AR374</f>
        <v>0</v>
      </c>
      <c r="AT374" s="160">
        <f>SUM(AT375:AT377)</f>
        <v>7438.2</v>
      </c>
      <c r="AU374" s="160">
        <f>+U374-AT374</f>
        <v>0</v>
      </c>
      <c r="AV374" s="160">
        <f>SUM(AV375:AV377)</f>
        <v>7438.2</v>
      </c>
      <c r="AW374" s="160">
        <f>+U374-AV374</f>
        <v>0</v>
      </c>
      <c r="AX374" s="160">
        <f>SUM(AX375:AX377)</f>
        <v>7438.2</v>
      </c>
      <c r="AY374" s="160">
        <f>+U374-AX374</f>
        <v>0</v>
      </c>
      <c r="AZ374" s="160">
        <f>SUM(AZ375:AZ377)</f>
        <v>7438.2</v>
      </c>
      <c r="BA374" s="160">
        <f>+U374-AZ374</f>
        <v>0</v>
      </c>
      <c r="BB374" s="160">
        <f>SUM(BB375:BB377)</f>
        <v>7438.2</v>
      </c>
      <c r="BC374" s="160">
        <f>+U374-BB374</f>
        <v>0</v>
      </c>
      <c r="BD374" s="160">
        <f>SUM(BD375:BD377)</f>
        <v>7438.2</v>
      </c>
      <c r="BE374" s="160">
        <f>+U374-BD374</f>
        <v>0</v>
      </c>
      <c r="BF374" s="160">
        <f>SUM(BF375:BF377)</f>
        <v>7438.2</v>
      </c>
      <c r="BG374" s="160">
        <f>+U374-BF374</f>
        <v>0</v>
      </c>
      <c r="BH374" s="160">
        <f>SUM(BH375:BH377)</f>
        <v>7438.2</v>
      </c>
      <c r="BI374" s="160">
        <f>+U374-BH374</f>
        <v>0</v>
      </c>
      <c r="BJ374" s="160">
        <f>SUM(BJ375:BJ377)</f>
        <v>7438.2</v>
      </c>
      <c r="BK374" s="160">
        <f>+U374-BJ374</f>
        <v>0</v>
      </c>
      <c r="BL374" s="160">
        <f>SUM(BL375:BL377)</f>
        <v>7438.2</v>
      </c>
      <c r="BM374" s="160">
        <f>+U374-BL374</f>
        <v>0</v>
      </c>
      <c r="BN374" s="160">
        <f>SUM(BN375:BN377)</f>
        <v>7438.2</v>
      </c>
      <c r="BO374" s="160">
        <f>+U374-BN374</f>
        <v>0</v>
      </c>
      <c r="BP374" s="160">
        <f>SUM(BP375:BP377)</f>
        <v>7438.2</v>
      </c>
      <c r="BQ374" s="160">
        <f>+U374-BP374</f>
        <v>0</v>
      </c>
      <c r="BR374" s="160">
        <f>SUM(BR375:BR377)</f>
        <v>7438.2</v>
      </c>
      <c r="BS374" s="160">
        <f>+U374-BR374</f>
        <v>0</v>
      </c>
      <c r="BT374" s="160">
        <f>SUM(BT375:BT377)</f>
        <v>7438.2</v>
      </c>
      <c r="BU374" s="160">
        <f>+U374-BT374</f>
        <v>0</v>
      </c>
      <c r="BV374" s="160">
        <f>SUM(BV375:BV377)</f>
        <v>7438.2</v>
      </c>
      <c r="BW374" s="160">
        <f>+U374-BV374</f>
        <v>0</v>
      </c>
      <c r="BX374" s="160">
        <f>SUM(BX375:BX377)</f>
        <v>7438.2</v>
      </c>
      <c r="BY374" s="160">
        <f>+U374-BX374</f>
        <v>0</v>
      </c>
      <c r="BZ374" s="160">
        <f>SUM(BZ375:BZ377)</f>
        <v>7438.2</v>
      </c>
      <c r="CA374" s="160">
        <f>+U374-BZ374</f>
        <v>0</v>
      </c>
      <c r="CB374" s="160">
        <f>SUM(CB375:CB377)</f>
        <v>7438.2</v>
      </c>
      <c r="CC374" s="160">
        <f>+U374-CB374</f>
        <v>0</v>
      </c>
      <c r="CD374" s="160">
        <f>SUM(CD375:CD377)</f>
        <v>7438.2</v>
      </c>
      <c r="CE374" s="160">
        <f>+U374-CD374</f>
        <v>0</v>
      </c>
      <c r="CF374" s="160">
        <f>SUM(CF375:CF377)</f>
        <v>7438.2</v>
      </c>
      <c r="CG374" s="160">
        <f>+U374-CF374</f>
        <v>0</v>
      </c>
      <c r="CH374" s="160">
        <f>SUM(CH375:CH377)</f>
        <v>7438.2</v>
      </c>
      <c r="CI374" s="160">
        <f>+U374-CH374</f>
        <v>0</v>
      </c>
      <c r="CJ374" s="164">
        <f>SUM(CJ375:CJ377)</f>
        <v>7438.2</v>
      </c>
    </row>
    <row r="375" spans="1:88" x14ac:dyDescent="0.2">
      <c r="A375" s="79" t="s">
        <v>240</v>
      </c>
      <c r="B375" s="79"/>
      <c r="C375" s="79"/>
      <c r="D375" s="162"/>
      <c r="E375" s="91" t="s">
        <v>241</v>
      </c>
      <c r="F375" s="163"/>
      <c r="G375" s="133"/>
      <c r="H375" s="91"/>
      <c r="I375" s="134" t="s">
        <v>240</v>
      </c>
      <c r="J375" s="91"/>
      <c r="K375" s="132"/>
      <c r="L375" s="132">
        <v>231652</v>
      </c>
      <c r="M375" s="132">
        <v>230364</v>
      </c>
      <c r="N375" s="132">
        <v>261693</v>
      </c>
      <c r="O375" s="132">
        <v>261693</v>
      </c>
      <c r="P375" s="91"/>
      <c r="Q375" s="91"/>
      <c r="R375" s="132">
        <f>SUM(S375:S377)</f>
        <v>6148.4883269565307</v>
      </c>
      <c r="S375" s="92">
        <f>3037*1304/249205*0.7*261693/2000</f>
        <v>1455.5454864565315</v>
      </c>
      <c r="T375" s="94">
        <f>+R376/R375</f>
        <v>1.2097607744311796</v>
      </c>
      <c r="U375" s="92">
        <f>+S375*$T$375</f>
        <v>1760.8618349154615</v>
      </c>
      <c r="V375" s="92">
        <f>4788288/2000</f>
        <v>2394.1439999999998</v>
      </c>
      <c r="W375" s="92">
        <f>IF(U375&gt;V375,V375,U375)</f>
        <v>1760.8618349154615</v>
      </c>
      <c r="X375" s="94">
        <f>+U375/$U$374</f>
        <v>0.23673225174309129</v>
      </c>
      <c r="Y375" s="92">
        <f>+X375*$Y$374</f>
        <v>0</v>
      </c>
      <c r="Z375" s="92">
        <f>IF(W375&gt;=V375,V375,U375+Y375)</f>
        <v>1760.8618349154615</v>
      </c>
      <c r="AA375" s="92">
        <f>+X375*$AA$374</f>
        <v>0</v>
      </c>
      <c r="AB375" s="92">
        <f>IF(Z375+AA375&gt;=V375,V375,Z375+AA375)</f>
        <v>1760.8618349154615</v>
      </c>
      <c r="AC375" s="92">
        <f>+X375*$AC$374</f>
        <v>0</v>
      </c>
      <c r="AD375" s="92">
        <f>IF(AB375=V375,AB375,AB375+AC375)</f>
        <v>1760.8618349154615</v>
      </c>
      <c r="AE375" s="89">
        <f>+X375*$AE$374</f>
        <v>0</v>
      </c>
      <c r="AF375" s="92">
        <f>IF(AD375=V375,AD375,AD375+AE375)</f>
        <v>1760.8618349154615</v>
      </c>
      <c r="AG375" s="89">
        <f>+X375*$AG$374</f>
        <v>0</v>
      </c>
      <c r="AH375" s="92">
        <f>IF(AF375=V375,AF375,AF375+AG375)</f>
        <v>1760.8618349154615</v>
      </c>
      <c r="AI375" s="89">
        <f>+X375*$AI$374</f>
        <v>0</v>
      </c>
      <c r="AJ375" s="165">
        <f>+CJ375</f>
        <v>1760.8618349154615</v>
      </c>
      <c r="AL375" s="92">
        <f>IF(AH375=V375,V375,AH375+AI375)</f>
        <v>1760.8618349154615</v>
      </c>
      <c r="AM375" s="89">
        <f>+X375*$AM$374</f>
        <v>0</v>
      </c>
      <c r="AN375" s="92">
        <f>IF(AL375=V375,V375,AL375+AM375)</f>
        <v>1760.8618349154615</v>
      </c>
      <c r="AO375" s="89">
        <f>+X375*$AO$374</f>
        <v>0</v>
      </c>
      <c r="AP375" s="92">
        <f>IF(AN375=V375,V375,AN375+AO375)</f>
        <v>1760.8618349154615</v>
      </c>
      <c r="AQ375" s="89">
        <f>+X375*$AQ$374</f>
        <v>0</v>
      </c>
      <c r="AR375" s="92">
        <f>IF(AP375=V375,V375,AP375+AQ375)</f>
        <v>1760.8618349154615</v>
      </c>
      <c r="AS375" s="89">
        <f>+X375*$AS$374</f>
        <v>0</v>
      </c>
      <c r="AT375" s="92">
        <f>IF(AR375=V375,V375,AR375+AS375)</f>
        <v>1760.8618349154615</v>
      </c>
      <c r="AU375" s="89">
        <f>+X375*$AU$374</f>
        <v>0</v>
      </c>
      <c r="AV375" s="92">
        <f>IF(AT375=V375,V375,AT375+AU375)</f>
        <v>1760.8618349154615</v>
      </c>
      <c r="AW375" s="89">
        <f>+X375*$AW$374</f>
        <v>0</v>
      </c>
      <c r="AX375" s="92">
        <f>IF(AV375=V375,V375,AV375+AW375)</f>
        <v>1760.8618349154615</v>
      </c>
      <c r="AY375" s="89">
        <f>+X375*$AY$374</f>
        <v>0</v>
      </c>
      <c r="AZ375" s="92">
        <f>IF(AX375=V375,V375,AX375+AY375)</f>
        <v>1760.8618349154615</v>
      </c>
      <c r="BA375" s="89">
        <f>+X375*$BA$374</f>
        <v>0</v>
      </c>
      <c r="BB375" s="92">
        <f>IF(AZ375=V375,V375,AZ375+BA375)</f>
        <v>1760.8618349154615</v>
      </c>
      <c r="BC375" s="89">
        <f>+X375*$BC$374</f>
        <v>0</v>
      </c>
      <c r="BD375" s="92">
        <f>IF(BB375=V375,V375,BB375+BC375)</f>
        <v>1760.8618349154615</v>
      </c>
      <c r="BE375" s="89">
        <f>+X375*$BE$374</f>
        <v>0</v>
      </c>
      <c r="BF375" s="92">
        <f>IF(BD375=V375,V375,BD375+BE375)</f>
        <v>1760.8618349154615</v>
      </c>
      <c r="BG375" s="89">
        <f>+X375*$BG$374</f>
        <v>0</v>
      </c>
      <c r="BH375" s="92">
        <f>IF(BF375=V375,V375,BF375+BG375)</f>
        <v>1760.8618349154615</v>
      </c>
      <c r="BI375" s="89">
        <f>+X375*$BI$374</f>
        <v>0</v>
      </c>
      <c r="BJ375" s="92">
        <f>IF(BH375=V375,V375,BH375+BI375)</f>
        <v>1760.8618349154615</v>
      </c>
      <c r="BK375" s="89">
        <f>+X375*$BK$374</f>
        <v>0</v>
      </c>
      <c r="BL375" s="92">
        <f>IF(BJ375=V375,V375,BJ375+BK375)</f>
        <v>1760.8618349154615</v>
      </c>
      <c r="BM375" s="89">
        <f>+X375*$BM$374</f>
        <v>0</v>
      </c>
      <c r="BN375" s="92">
        <f>IF(BL375=V375,V375,BL375+BM375)</f>
        <v>1760.8618349154615</v>
      </c>
      <c r="BO375" s="89">
        <f>+X375*$BO$374</f>
        <v>0</v>
      </c>
      <c r="BP375" s="92">
        <f>IF(BN375=V375,V375,BN375+BO375)</f>
        <v>1760.8618349154615</v>
      </c>
      <c r="BQ375" s="89">
        <f>+X375*$BQ$374</f>
        <v>0</v>
      </c>
      <c r="BR375" s="92">
        <f>IF(BP375=V375,V375,BP375+BQ375)</f>
        <v>1760.8618349154615</v>
      </c>
      <c r="BS375" s="89">
        <f>+X375*$BS$374</f>
        <v>0</v>
      </c>
      <c r="BT375" s="92">
        <f>IF(BR375=V375,V375,BR375+BS375)</f>
        <v>1760.8618349154615</v>
      </c>
      <c r="BU375" s="89">
        <f>+X375*$BU$374</f>
        <v>0</v>
      </c>
      <c r="BV375" s="92">
        <f>IF(BT375=V375,V375,BT375+BU375)</f>
        <v>1760.8618349154615</v>
      </c>
      <c r="BW375" s="89">
        <f>+X375*$BW$374</f>
        <v>0</v>
      </c>
      <c r="BX375" s="92">
        <f>IF(BV375=V375,V375,BV375+BW375)</f>
        <v>1760.8618349154615</v>
      </c>
      <c r="BY375" s="89">
        <f>+X375*$BY$374</f>
        <v>0</v>
      </c>
      <c r="BZ375" s="92">
        <f>IF(BX375=V375,V375,BX375+BY375)</f>
        <v>1760.8618349154615</v>
      </c>
      <c r="CA375" s="89">
        <f>+X375*$CA$374</f>
        <v>0</v>
      </c>
      <c r="CB375" s="92">
        <f>IF(BZ375=V375,V375,BZ375+CA375)</f>
        <v>1760.8618349154615</v>
      </c>
      <c r="CC375" s="89">
        <f>+X375*$CC$374</f>
        <v>0</v>
      </c>
      <c r="CD375" s="92">
        <f>IF(CB375=V375,V375,CB375+CC375)</f>
        <v>1760.8618349154615</v>
      </c>
      <c r="CE375" s="89">
        <f>+X375*$CE$374</f>
        <v>0</v>
      </c>
      <c r="CF375" s="92">
        <f>IF(CD375=V375,V375,CD375+CE375)</f>
        <v>1760.8618349154615</v>
      </c>
      <c r="CG375" s="89">
        <f>+X375*$CG$374</f>
        <v>0</v>
      </c>
      <c r="CH375" s="92">
        <f>IF(CF375=V375,V375,CF375+CG375)</f>
        <v>1760.8618349154615</v>
      </c>
      <c r="CI375" s="157">
        <f>+X375*$CI$374</f>
        <v>0</v>
      </c>
      <c r="CJ375" s="166">
        <f>IF(CH375=V375,V375,CH375+CI375)</f>
        <v>1760.8618349154615</v>
      </c>
    </row>
    <row r="376" spans="1:88" x14ac:dyDescent="0.2">
      <c r="A376" s="79" t="s">
        <v>242</v>
      </c>
      <c r="B376" s="79"/>
      <c r="C376" s="79"/>
      <c r="D376" s="162"/>
      <c r="E376" s="91" t="s">
        <v>243</v>
      </c>
      <c r="F376" s="163"/>
      <c r="G376" s="133"/>
      <c r="H376" s="91"/>
      <c r="I376" s="134" t="s">
        <v>242</v>
      </c>
      <c r="J376" s="91"/>
      <c r="K376" s="132"/>
      <c r="L376" s="132">
        <v>679778</v>
      </c>
      <c r="M376" s="132">
        <v>795564</v>
      </c>
      <c r="N376" s="132">
        <v>834411</v>
      </c>
      <c r="O376" s="132">
        <v>834411</v>
      </c>
      <c r="P376" s="91"/>
      <c r="Q376" s="91"/>
      <c r="R376" s="92">
        <f>8085*0.92</f>
        <v>7438.2000000000007</v>
      </c>
      <c r="S376" s="132">
        <f>0.7*14.53*834411/2000</f>
        <v>4243.3971404999993</v>
      </c>
      <c r="T376" s="94"/>
      <c r="U376" s="92">
        <f>+S376*$T$375</f>
        <v>5133.4954109103319</v>
      </c>
      <c r="V376" s="92">
        <v>5216</v>
      </c>
      <c r="W376" s="92">
        <f>IF(U376&gt;V376,V376,U376)</f>
        <v>5133.4954109103319</v>
      </c>
      <c r="X376" s="94">
        <f>+U376/$U$374</f>
        <v>0.69015291480604612</v>
      </c>
      <c r="Y376" s="92">
        <f>+X376*$Y$374</f>
        <v>0</v>
      </c>
      <c r="Z376" s="92">
        <f>IF(W376&gt;=V376,V376,U376+Y376)</f>
        <v>5133.4954109103319</v>
      </c>
      <c r="AA376" s="92">
        <f>+X376*$AA$374</f>
        <v>0</v>
      </c>
      <c r="AB376" s="92">
        <f>IF(Z376+AA376&gt;=V376,V376,Z376+AA376)</f>
        <v>5133.4954109103319</v>
      </c>
      <c r="AC376" s="92">
        <f>+X376*$AC$374</f>
        <v>0</v>
      </c>
      <c r="AD376" s="92">
        <f>IF(AB376=V376,AB376,AB376+AC376)</f>
        <v>5133.4954109103319</v>
      </c>
      <c r="AE376" s="89">
        <f>+X376*$AE$374</f>
        <v>0</v>
      </c>
      <c r="AF376" s="92">
        <f>IF(AD376=V376,AD376,AD376+AE376)</f>
        <v>5133.4954109103319</v>
      </c>
      <c r="AG376" s="89">
        <f>+X376*$AG$374</f>
        <v>0</v>
      </c>
      <c r="AH376" s="92">
        <f>IF(AF376=V376,AF376,AF376+AG376)</f>
        <v>5133.4954109103319</v>
      </c>
      <c r="AI376" s="89">
        <f>+X376*$AI$374</f>
        <v>0</v>
      </c>
      <c r="AJ376" s="165">
        <f>+CJ376</f>
        <v>5133.4954109103319</v>
      </c>
      <c r="AL376" s="92">
        <f>IF(AH376=V376,V376,AH376+AI376)</f>
        <v>5133.4954109103319</v>
      </c>
      <c r="AM376" s="89">
        <f>+X376*$AM$374</f>
        <v>0</v>
      </c>
      <c r="AN376" s="92">
        <f>IF(AL376=V376,V376,AL376+AM376)</f>
        <v>5133.4954109103319</v>
      </c>
      <c r="AO376" s="89">
        <f>+X376*$AO$374</f>
        <v>0</v>
      </c>
      <c r="AP376" s="92">
        <f>IF(AN376=V376,V376,AN376+AO376)</f>
        <v>5133.4954109103319</v>
      </c>
      <c r="AQ376" s="89">
        <f>+X376*$AQ$374</f>
        <v>0</v>
      </c>
      <c r="AR376" s="92">
        <f>IF(AP376=V376,V376,AP376+AQ376)</f>
        <v>5133.4954109103319</v>
      </c>
      <c r="AS376" s="89">
        <f>+X376*$AS$374</f>
        <v>0</v>
      </c>
      <c r="AT376" s="92">
        <f>IF(AR376=V376,V376,AR376+AS376)</f>
        <v>5133.4954109103319</v>
      </c>
      <c r="AU376" s="89">
        <f>+X376*$AU$374</f>
        <v>0</v>
      </c>
      <c r="AV376" s="92">
        <f>IF(AT376=V376,V376,AT376+AU376)</f>
        <v>5133.4954109103319</v>
      </c>
      <c r="AW376" s="89">
        <f>+X376*$AW$374</f>
        <v>0</v>
      </c>
      <c r="AX376" s="92">
        <f>IF(AV376=V376,V376,AV376+AW376)</f>
        <v>5133.4954109103319</v>
      </c>
      <c r="AY376" s="89">
        <f>+X376*$AY$374</f>
        <v>0</v>
      </c>
      <c r="AZ376" s="92">
        <f>IF(AX376=V376,V376,AX376+AY376)</f>
        <v>5133.4954109103319</v>
      </c>
      <c r="BA376" s="89">
        <f>+X376*$BA$374</f>
        <v>0</v>
      </c>
      <c r="BB376" s="92">
        <f>IF(AZ376=V376,V376,AZ376+BA376)</f>
        <v>5133.4954109103319</v>
      </c>
      <c r="BC376" s="89">
        <f>+X376*$BC$374</f>
        <v>0</v>
      </c>
      <c r="BD376" s="92">
        <f>IF(BB376=V376,V376,BB376+BC376)</f>
        <v>5133.4954109103319</v>
      </c>
      <c r="BE376" s="89">
        <f>+X376*$BE$374</f>
        <v>0</v>
      </c>
      <c r="BF376" s="92">
        <f>IF(BD376=V376,V376,BD376+BE376)</f>
        <v>5133.4954109103319</v>
      </c>
      <c r="BG376" s="89">
        <f>+X376*$BG$374</f>
        <v>0</v>
      </c>
      <c r="BH376" s="92">
        <f>IF(BF376=V376,V376,BF376+BG376)</f>
        <v>5133.4954109103319</v>
      </c>
      <c r="BI376" s="89">
        <f>+X376*$BI$374</f>
        <v>0</v>
      </c>
      <c r="BJ376" s="92">
        <f>IF(BH376=V376,V376,BH376+BI376)</f>
        <v>5133.4954109103319</v>
      </c>
      <c r="BK376" s="89">
        <f>+X376*$BK$374</f>
        <v>0</v>
      </c>
      <c r="BL376" s="92">
        <f>IF(BJ376=V376,V376,BJ376+BK376)</f>
        <v>5133.4954109103319</v>
      </c>
      <c r="BM376" s="89">
        <f>+X376*$BM$374</f>
        <v>0</v>
      </c>
      <c r="BN376" s="92">
        <f>IF(BL376=V376,V376,BL376+BM376)</f>
        <v>5133.4954109103319</v>
      </c>
      <c r="BO376" s="89">
        <f>+X376*$BO$374</f>
        <v>0</v>
      </c>
      <c r="BP376" s="92">
        <f>IF(BN376=V376,V376,BN376+BO376)</f>
        <v>5133.4954109103319</v>
      </c>
      <c r="BQ376" s="89">
        <f>+X376*$BQ$374</f>
        <v>0</v>
      </c>
      <c r="BR376" s="92">
        <f>IF(BP376=V376,V376,BP376+BQ376)</f>
        <v>5133.4954109103319</v>
      </c>
      <c r="BS376" s="89">
        <f>+X376*$BS$374</f>
        <v>0</v>
      </c>
      <c r="BT376" s="92">
        <f>IF(BR376=V376,V376,BR376+BS376)</f>
        <v>5133.4954109103319</v>
      </c>
      <c r="BU376" s="89">
        <f>+X376*$BU$374</f>
        <v>0</v>
      </c>
      <c r="BV376" s="92">
        <f>IF(BT376=V376,V376,BT376+BU376)</f>
        <v>5133.4954109103319</v>
      </c>
      <c r="BW376" s="89">
        <f>+X376*$BW$374</f>
        <v>0</v>
      </c>
      <c r="BX376" s="92">
        <f>IF(BV376=V376,V376,BV376+BW376)</f>
        <v>5133.4954109103319</v>
      </c>
      <c r="BY376" s="89">
        <f>+X376*$BY$374</f>
        <v>0</v>
      </c>
      <c r="BZ376" s="92">
        <f>IF(BX376=V376,V376,BX376+BY376)</f>
        <v>5133.4954109103319</v>
      </c>
      <c r="CA376" s="89">
        <f>+X376*$CA$374</f>
        <v>0</v>
      </c>
      <c r="CB376" s="92">
        <f>IF(BZ376=V376,V376,BZ376+CA376)</f>
        <v>5133.4954109103319</v>
      </c>
      <c r="CC376" s="89">
        <f>+X376*$CC$374</f>
        <v>0</v>
      </c>
      <c r="CD376" s="92">
        <f>IF(CB376=V376,V376,CB376+CC376)</f>
        <v>5133.4954109103319</v>
      </c>
      <c r="CE376" s="89">
        <f>+X376*$CE$374</f>
        <v>0</v>
      </c>
      <c r="CF376" s="92">
        <f>IF(CD376=V376,V376,CD376+CE376)</f>
        <v>5133.4954109103319</v>
      </c>
      <c r="CG376" s="89">
        <f>+X376*$CG$374</f>
        <v>0</v>
      </c>
      <c r="CH376" s="92">
        <f>IF(CF376=V376,V376,CF376+CG376)</f>
        <v>5133.4954109103319</v>
      </c>
      <c r="CI376" s="157">
        <f>+X376*$CI$374</f>
        <v>0</v>
      </c>
      <c r="CJ376" s="166">
        <f>IF(CH376=V376,V376,CH376+CI376)</f>
        <v>5133.4954109103319</v>
      </c>
    </row>
    <row r="377" spans="1:88" x14ac:dyDescent="0.2">
      <c r="A377" s="79" t="s">
        <v>244</v>
      </c>
      <c r="B377" s="79"/>
      <c r="C377" s="79"/>
      <c r="D377" s="162"/>
      <c r="E377" s="91" t="s">
        <v>245</v>
      </c>
      <c r="F377" s="163"/>
      <c r="G377" s="133"/>
      <c r="H377" s="91"/>
      <c r="I377" s="134" t="s">
        <v>246</v>
      </c>
      <c r="J377" s="91"/>
      <c r="K377" s="132"/>
      <c r="L377" s="132">
        <v>200093</v>
      </c>
      <c r="M377" s="132">
        <v>236603</v>
      </c>
      <c r="N377" s="132">
        <v>225146</v>
      </c>
      <c r="O377" s="132">
        <v>236603</v>
      </c>
      <c r="P377" s="91"/>
      <c r="Q377" s="91"/>
      <c r="S377" s="132">
        <f>3.8*236603/2000</f>
        <v>449.54569999999995</v>
      </c>
      <c r="T377" s="94"/>
      <c r="U377" s="92">
        <f>+S377*$T$375</f>
        <v>543.84275417420668</v>
      </c>
      <c r="V377" s="92">
        <f>1368554.4/2000</f>
        <v>684.27719999999999</v>
      </c>
      <c r="W377" s="92">
        <f>IF(U377&gt;V377,V377,U377)</f>
        <v>543.84275417420668</v>
      </c>
      <c r="X377" s="94">
        <f>+U377/$U$374</f>
        <v>7.3114833450862671E-2</v>
      </c>
      <c r="Y377" s="92">
        <f>+X377*$Y$374</f>
        <v>0</v>
      </c>
      <c r="Z377" s="92">
        <f>IF(W377&gt;=V377,V377,U377+Y377)</f>
        <v>543.84275417420668</v>
      </c>
      <c r="AA377" s="92">
        <f>+X377*$AA$374</f>
        <v>0</v>
      </c>
      <c r="AB377" s="92">
        <f>IF(Z377+AA377&gt;=V377,V377,Z377+AA377)</f>
        <v>543.84275417420668</v>
      </c>
      <c r="AC377" s="92">
        <f>+X377*$AC$374</f>
        <v>0</v>
      </c>
      <c r="AD377" s="92">
        <f>IF(AB377=V377,AB377,AB377+AC377)</f>
        <v>543.84275417420668</v>
      </c>
      <c r="AE377" s="89">
        <f>+X377*$AE$374</f>
        <v>0</v>
      </c>
      <c r="AF377" s="92">
        <f>IF(AD377=V377,AD377,AD377+AE377)</f>
        <v>543.84275417420668</v>
      </c>
      <c r="AG377" s="89">
        <f>+X377*$AG$374</f>
        <v>0</v>
      </c>
      <c r="AH377" s="92">
        <f>IF(AF377=V377,AF377,AF377+AG377)</f>
        <v>543.84275417420668</v>
      </c>
      <c r="AI377" s="89">
        <f>+X377*$AI$374</f>
        <v>0</v>
      </c>
      <c r="AJ377" s="165">
        <f>+CJ377</f>
        <v>543.84275417420668</v>
      </c>
      <c r="AL377" s="92">
        <f>IF(AH377=V377,V377,AH377+AI377)</f>
        <v>543.84275417420668</v>
      </c>
      <c r="AM377" s="89">
        <f>+X377*$AM$374</f>
        <v>0</v>
      </c>
      <c r="AN377" s="92">
        <f>IF(AL377=V377,V377,AL377+AM377)</f>
        <v>543.84275417420668</v>
      </c>
      <c r="AO377" s="89">
        <f>+X377*$AO$374</f>
        <v>0</v>
      </c>
      <c r="AP377" s="92">
        <f>IF(AN377=V377,V377,AN377+AO377)</f>
        <v>543.84275417420668</v>
      </c>
      <c r="AQ377" s="89">
        <f>+X377*$AQ$374</f>
        <v>0</v>
      </c>
      <c r="AR377" s="92">
        <f>IF(AP377=V377,V377,AP377+AQ377)</f>
        <v>543.84275417420668</v>
      </c>
      <c r="AS377" s="89">
        <f>+X377*$AS$374</f>
        <v>0</v>
      </c>
      <c r="AT377" s="92">
        <f>IF(AR377=V377,V377,AR377+AS377)</f>
        <v>543.84275417420668</v>
      </c>
      <c r="AU377" s="89">
        <f>+X377*$AU$374</f>
        <v>0</v>
      </c>
      <c r="AV377" s="92">
        <f>IF(AT377=V377,V377,AT377+AU377)</f>
        <v>543.84275417420668</v>
      </c>
      <c r="AW377" s="89">
        <f>+X377*$AW$374</f>
        <v>0</v>
      </c>
      <c r="AX377" s="92">
        <f>IF(AV377=V377,V377,AV377+AW377)</f>
        <v>543.84275417420668</v>
      </c>
      <c r="AY377" s="89">
        <f>+X377*$AY$374</f>
        <v>0</v>
      </c>
      <c r="AZ377" s="92">
        <f>IF(AX377=V377,V377,AX377+AY377)</f>
        <v>543.84275417420668</v>
      </c>
      <c r="BA377" s="89">
        <f>+X377*$BA$374</f>
        <v>0</v>
      </c>
      <c r="BB377" s="92">
        <f>IF(AZ377=V377,V377,AZ377+BA377)</f>
        <v>543.84275417420668</v>
      </c>
      <c r="BC377" s="89">
        <f>+X377*$BC$374</f>
        <v>0</v>
      </c>
      <c r="BD377" s="92">
        <f>IF(BB377=V377,V377,BB377+BC377)</f>
        <v>543.84275417420668</v>
      </c>
      <c r="BE377" s="89">
        <f>+X377*$BE$374</f>
        <v>0</v>
      </c>
      <c r="BF377" s="92">
        <f>IF(BD377=V377,V377,BD377+BE377)</f>
        <v>543.84275417420668</v>
      </c>
      <c r="BG377" s="89">
        <f>+X377*$BG$374</f>
        <v>0</v>
      </c>
      <c r="BH377" s="92">
        <f>IF(BF377=V377,V377,BF377+BG377)</f>
        <v>543.84275417420668</v>
      </c>
      <c r="BI377" s="89">
        <f>+X377*$BI$374</f>
        <v>0</v>
      </c>
      <c r="BJ377" s="92">
        <f>IF(BH377=V377,V377,BH377+BI377)</f>
        <v>543.84275417420668</v>
      </c>
      <c r="BK377" s="89">
        <f>+X377*$BK$374</f>
        <v>0</v>
      </c>
      <c r="BL377" s="92">
        <f>IF(BJ377=V377,V377,BJ377+BK377)</f>
        <v>543.84275417420668</v>
      </c>
      <c r="BM377" s="89">
        <f>+X377*$BM$374</f>
        <v>0</v>
      </c>
      <c r="BN377" s="92">
        <f>IF(BL377=V377,V377,BL377+BM377)</f>
        <v>543.84275417420668</v>
      </c>
      <c r="BO377" s="89">
        <f>+X377*$BO$374</f>
        <v>0</v>
      </c>
      <c r="BP377" s="92">
        <f>IF(BN377=V377,V377,BN377+BO377)</f>
        <v>543.84275417420668</v>
      </c>
      <c r="BQ377" s="89">
        <f>+X377*$BQ$374</f>
        <v>0</v>
      </c>
      <c r="BR377" s="92">
        <f>IF(BP377=V377,V377,BP377+BQ377)</f>
        <v>543.84275417420668</v>
      </c>
      <c r="BS377" s="89">
        <f>+X377*$BS$374</f>
        <v>0</v>
      </c>
      <c r="BT377" s="92">
        <f>IF(BR377=V377,V377,BR377+BS377)</f>
        <v>543.84275417420668</v>
      </c>
      <c r="BU377" s="89">
        <f>+X377*$BU$374</f>
        <v>0</v>
      </c>
      <c r="BV377" s="92">
        <f>IF(BT377=V377,V377,BT377+BU377)</f>
        <v>543.84275417420668</v>
      </c>
      <c r="BW377" s="89">
        <f>+X377*$BW$374</f>
        <v>0</v>
      </c>
      <c r="BX377" s="92">
        <f>IF(BV377=V377,V377,BV377+BW377)</f>
        <v>543.84275417420668</v>
      </c>
      <c r="BY377" s="89">
        <f>+X377*$BY$374</f>
        <v>0</v>
      </c>
      <c r="BZ377" s="92">
        <f>IF(BX377=V377,V377,BX377+BY377)</f>
        <v>543.84275417420668</v>
      </c>
      <c r="CA377" s="89">
        <f>+X377*$CA$374</f>
        <v>0</v>
      </c>
      <c r="CB377" s="92">
        <f>IF(BZ377=V377,V377,BZ377+CA377)</f>
        <v>543.84275417420668</v>
      </c>
      <c r="CC377" s="89">
        <f>+X377*$CC$374</f>
        <v>0</v>
      </c>
      <c r="CD377" s="92">
        <f>IF(CB377=V377,V377,CB377+CC377)</f>
        <v>543.84275417420668</v>
      </c>
      <c r="CE377" s="89">
        <f>+X377*$CE$374</f>
        <v>0</v>
      </c>
      <c r="CF377" s="92">
        <f>IF(CD377=V377,V377,CD377+CE377)</f>
        <v>543.84275417420668</v>
      </c>
      <c r="CG377" s="89">
        <f>+X377*$CG$374</f>
        <v>0</v>
      </c>
      <c r="CH377" s="92">
        <f>IF(CF377=V377,V377,CF377+CG377)</f>
        <v>543.84275417420668</v>
      </c>
      <c r="CI377" s="157">
        <f>+X377*$CI$374</f>
        <v>0</v>
      </c>
      <c r="CJ377" s="166">
        <f>IF(CH377=V377,V377,CH377+CI377)</f>
        <v>543.84275417420668</v>
      </c>
    </row>
    <row r="378" spans="1:88" x14ac:dyDescent="0.2">
      <c r="D378" s="157"/>
      <c r="E378" s="158"/>
      <c r="F378" s="94"/>
      <c r="G378" s="159"/>
      <c r="H378" s="94"/>
      <c r="R378" s="92"/>
      <c r="Y378" s="92">
        <f>SUM(Y375:Y377)</f>
        <v>0</v>
      </c>
      <c r="AA378" s="160">
        <f>SUM(AA375:AA377)</f>
        <v>0</v>
      </c>
      <c r="AB378" s="160">
        <f>SUM(AB375:AB377)</f>
        <v>7438.2</v>
      </c>
    </row>
    <row r="379" spans="1:88" x14ac:dyDescent="0.2">
      <c r="D379" s="157"/>
      <c r="E379" s="158" t="s">
        <v>247</v>
      </c>
      <c r="F379" s="94"/>
      <c r="G379" s="159"/>
      <c r="H379" s="94"/>
      <c r="I379" s="148" t="s">
        <v>248</v>
      </c>
      <c r="AJ379" s="92">
        <f>+(30405*0.05)</f>
        <v>1520.25</v>
      </c>
      <c r="AL379" s="160"/>
    </row>
    <row r="380" spans="1:88" x14ac:dyDescent="0.2">
      <c r="D380" s="157"/>
      <c r="E380" s="158" t="s">
        <v>249</v>
      </c>
      <c r="F380" s="94"/>
      <c r="G380" s="159"/>
      <c r="H380" s="94"/>
      <c r="I380" s="148" t="s">
        <v>250</v>
      </c>
      <c r="AJ380" s="92">
        <f>2860*0.15</f>
        <v>429</v>
      </c>
    </row>
    <row r="381" spans="1:88" x14ac:dyDescent="0.2">
      <c r="D381" s="157"/>
      <c r="E381" s="158" t="s">
        <v>251</v>
      </c>
      <c r="F381" s="94"/>
      <c r="G381" s="159"/>
      <c r="H381" s="94"/>
      <c r="I381" s="148" t="s">
        <v>252</v>
      </c>
      <c r="Q381" s="89"/>
      <c r="AJ381" s="92">
        <f>(30405*0.03)</f>
        <v>912.15</v>
      </c>
    </row>
    <row r="382" spans="1:88" x14ac:dyDescent="0.2">
      <c r="D382" s="157"/>
      <c r="E382" s="158" t="s">
        <v>253</v>
      </c>
      <c r="F382" s="94"/>
      <c r="G382" s="159"/>
      <c r="H382" s="94"/>
      <c r="I382" s="148" t="s">
        <v>254</v>
      </c>
      <c r="Q382" s="89"/>
      <c r="AJ382" s="92">
        <f>2860*0.03</f>
        <v>85.8</v>
      </c>
    </row>
    <row r="383" spans="1:88" x14ac:dyDescent="0.2">
      <c r="D383" s="157"/>
      <c r="E383" s="158" t="s">
        <v>255</v>
      </c>
      <c r="F383" s="94"/>
      <c r="G383" s="159"/>
      <c r="H383" s="94"/>
      <c r="I383" s="148" t="s">
        <v>256</v>
      </c>
      <c r="Q383" s="89"/>
      <c r="AJ383" s="92">
        <f>8085*0.05</f>
        <v>404.25</v>
      </c>
    </row>
    <row r="384" spans="1:88" x14ac:dyDescent="0.2">
      <c r="D384" s="157"/>
      <c r="E384" s="158" t="s">
        <v>257</v>
      </c>
      <c r="F384" s="94"/>
      <c r="G384" s="159"/>
      <c r="H384" s="94"/>
      <c r="I384" s="148" t="s">
        <v>258</v>
      </c>
      <c r="Q384" s="89"/>
      <c r="AJ384" s="92">
        <f>8085*0.03</f>
        <v>242.54999999999998</v>
      </c>
    </row>
    <row r="385" spans="4:17" x14ac:dyDescent="0.2">
      <c r="D385" s="157"/>
      <c r="E385" s="158"/>
      <c r="F385" s="94"/>
      <c r="G385" s="159"/>
      <c r="H385" s="94"/>
      <c r="Q385" s="89"/>
    </row>
    <row r="386" spans="4:17" x14ac:dyDescent="0.2">
      <c r="D386" s="157"/>
      <c r="E386" s="158"/>
      <c r="F386" s="94"/>
      <c r="G386" s="159"/>
      <c r="H386" s="94"/>
      <c r="Q386" s="89"/>
    </row>
    <row r="387" spans="4:17" x14ac:dyDescent="0.2">
      <c r="D387" s="157"/>
      <c r="E387" s="158"/>
      <c r="F387" s="94"/>
      <c r="G387" s="159"/>
      <c r="H387" s="94"/>
      <c r="Q387" s="89"/>
    </row>
    <row r="388" spans="4:17" x14ac:dyDescent="0.2">
      <c r="D388" s="157"/>
      <c r="E388" s="158"/>
      <c r="F388" s="94"/>
      <c r="G388" s="159"/>
      <c r="H388" s="94"/>
      <c r="Q388" s="89"/>
    </row>
    <row r="389" spans="4:17" x14ac:dyDescent="0.2">
      <c r="D389" s="157"/>
      <c r="E389" s="158"/>
      <c r="F389" s="94"/>
      <c r="G389" s="159"/>
      <c r="H389" s="94"/>
      <c r="Q389" s="89"/>
    </row>
    <row r="390" spans="4:17" x14ac:dyDescent="0.2">
      <c r="D390" s="157"/>
      <c r="E390" s="158"/>
      <c r="F390" s="94"/>
      <c r="G390" s="159"/>
      <c r="H390" s="94"/>
      <c r="Q390" s="89"/>
    </row>
    <row r="391" spans="4:17" x14ac:dyDescent="0.2">
      <c r="D391" s="157"/>
      <c r="E391" s="158"/>
      <c r="F391" s="94"/>
      <c r="G391" s="159"/>
      <c r="H391" s="94"/>
      <c r="Q391" s="89"/>
    </row>
    <row r="392" spans="4:17" x14ac:dyDescent="0.2">
      <c r="D392" s="157"/>
      <c r="E392" s="158"/>
      <c r="F392" s="94"/>
      <c r="G392" s="159"/>
      <c r="H392" s="94"/>
      <c r="Q392" s="89"/>
    </row>
    <row r="393" spans="4:17" x14ac:dyDescent="0.2">
      <c r="D393" s="157"/>
      <c r="E393" s="158"/>
      <c r="F393" s="94"/>
      <c r="G393" s="159"/>
      <c r="H393" s="94"/>
      <c r="Q393" s="89"/>
    </row>
    <row r="394" spans="4:17" x14ac:dyDescent="0.2">
      <c r="D394" s="157"/>
      <c r="E394" s="158"/>
      <c r="F394" s="94"/>
      <c r="G394" s="159"/>
      <c r="H394" s="94"/>
      <c r="Q394" s="89"/>
    </row>
    <row r="395" spans="4:17" x14ac:dyDescent="0.2">
      <c r="D395" s="157"/>
      <c r="E395" s="158"/>
      <c r="F395" s="94"/>
      <c r="G395" s="159"/>
      <c r="H395" s="94"/>
      <c r="Q395" s="89"/>
    </row>
    <row r="396" spans="4:17" x14ac:dyDescent="0.2">
      <c r="D396" s="157"/>
      <c r="E396" s="158"/>
      <c r="F396" s="94"/>
      <c r="G396" s="159"/>
      <c r="H396" s="94"/>
      <c r="Q396" s="89"/>
    </row>
    <row r="397" spans="4:17" x14ac:dyDescent="0.2">
      <c r="D397" s="157"/>
      <c r="E397" s="158"/>
      <c r="F397" s="94"/>
      <c r="G397" s="159"/>
      <c r="H397" s="94"/>
      <c r="Q397" s="89"/>
    </row>
    <row r="398" spans="4:17" x14ac:dyDescent="0.2">
      <c r="D398" s="157"/>
      <c r="E398" s="158"/>
      <c r="F398" s="94"/>
      <c r="G398" s="159"/>
      <c r="H398" s="94"/>
      <c r="Q398" s="89"/>
    </row>
    <row r="399" spans="4:17" x14ac:dyDescent="0.2">
      <c r="D399" s="157"/>
      <c r="E399" s="158"/>
      <c r="F399" s="94"/>
      <c r="G399" s="159"/>
      <c r="H399" s="94"/>
      <c r="Q399" s="89"/>
    </row>
    <row r="400" spans="4:17" x14ac:dyDescent="0.2">
      <c r="D400" s="157"/>
      <c r="E400" s="158"/>
      <c r="F400" s="94"/>
      <c r="G400" s="159"/>
      <c r="H400" s="94"/>
      <c r="Q400" s="89"/>
    </row>
    <row r="401" spans="4:17" x14ac:dyDescent="0.2">
      <c r="D401" s="157"/>
      <c r="E401" s="158"/>
      <c r="F401" s="94"/>
      <c r="G401" s="159"/>
      <c r="H401" s="94"/>
      <c r="Q401" s="89"/>
    </row>
    <row r="402" spans="4:17" x14ac:dyDescent="0.2">
      <c r="D402" s="157"/>
      <c r="E402" s="158"/>
      <c r="F402" s="94"/>
      <c r="G402" s="159"/>
      <c r="H402" s="94"/>
      <c r="Q402" s="89"/>
    </row>
    <row r="403" spans="4:17" x14ac:dyDescent="0.2">
      <c r="D403" s="157"/>
      <c r="E403" s="158"/>
      <c r="F403" s="94"/>
      <c r="G403" s="159"/>
      <c r="H403" s="94"/>
      <c r="Q403" s="89"/>
    </row>
    <row r="404" spans="4:17" x14ac:dyDescent="0.2">
      <c r="D404" s="157"/>
      <c r="E404" s="158"/>
      <c r="F404" s="94"/>
      <c r="G404" s="159"/>
      <c r="H404" s="94"/>
      <c r="Q404" s="89"/>
    </row>
    <row r="405" spans="4:17" x14ac:dyDescent="0.2">
      <c r="D405" s="157"/>
      <c r="E405" s="158"/>
      <c r="F405" s="94"/>
      <c r="G405" s="159"/>
      <c r="H405" s="94"/>
      <c r="Q405" s="89"/>
    </row>
    <row r="406" spans="4:17" x14ac:dyDescent="0.2">
      <c r="D406" s="157"/>
      <c r="E406" s="158"/>
      <c r="F406" s="94"/>
      <c r="G406" s="159"/>
      <c r="H406" s="94"/>
      <c r="Q406" s="89"/>
    </row>
    <row r="407" spans="4:17" x14ac:dyDescent="0.2">
      <c r="D407" s="157"/>
      <c r="E407" s="158"/>
      <c r="F407" s="94"/>
      <c r="G407" s="159"/>
      <c r="H407" s="94"/>
      <c r="Q407" s="89"/>
    </row>
    <row r="408" spans="4:17" x14ac:dyDescent="0.2">
      <c r="D408" s="157"/>
      <c r="E408" s="158"/>
      <c r="F408" s="94"/>
      <c r="G408" s="159"/>
      <c r="H408" s="94"/>
      <c r="Q408" s="89"/>
    </row>
    <row r="409" spans="4:17" x14ac:dyDescent="0.2">
      <c r="D409" s="157"/>
      <c r="E409" s="158"/>
      <c r="F409" s="94"/>
      <c r="G409" s="159"/>
      <c r="H409" s="94"/>
      <c r="Q409" s="89"/>
    </row>
    <row r="410" spans="4:17" x14ac:dyDescent="0.2">
      <c r="D410" s="157"/>
      <c r="E410" s="158"/>
      <c r="F410" s="94"/>
      <c r="G410" s="159"/>
      <c r="H410" s="94"/>
      <c r="Q410" s="89"/>
    </row>
    <row r="411" spans="4:17" x14ac:dyDescent="0.2">
      <c r="D411" s="157"/>
      <c r="E411" s="158"/>
      <c r="F411" s="94"/>
      <c r="G411" s="159"/>
      <c r="H411" s="94"/>
      <c r="Q411" s="89"/>
    </row>
    <row r="412" spans="4:17" x14ac:dyDescent="0.2">
      <c r="D412" s="157"/>
      <c r="E412" s="158"/>
      <c r="F412" s="94"/>
      <c r="G412" s="159"/>
      <c r="H412" s="94"/>
      <c r="Q412" s="89"/>
    </row>
    <row r="413" spans="4:17" x14ac:dyDescent="0.2">
      <c r="D413" s="157"/>
      <c r="E413" s="158"/>
      <c r="F413" s="94"/>
      <c r="G413" s="159"/>
      <c r="H413" s="94"/>
      <c r="Q413" s="89"/>
    </row>
    <row r="414" spans="4:17" x14ac:dyDescent="0.2">
      <c r="D414" s="157"/>
      <c r="E414" s="158"/>
      <c r="F414" s="94"/>
      <c r="G414" s="159"/>
      <c r="H414" s="94"/>
      <c r="Q414" s="89"/>
    </row>
    <row r="415" spans="4:17" x14ac:dyDescent="0.2">
      <c r="D415" s="157"/>
      <c r="E415" s="158"/>
      <c r="F415" s="94"/>
      <c r="G415" s="159"/>
      <c r="H415" s="94"/>
      <c r="Q415" s="89"/>
    </row>
    <row r="416" spans="4:17" x14ac:dyDescent="0.2">
      <c r="D416" s="157"/>
      <c r="E416" s="158"/>
      <c r="F416" s="94"/>
      <c r="G416" s="159"/>
      <c r="H416" s="94"/>
      <c r="Q416" s="89"/>
    </row>
    <row r="417" spans="4:17" x14ac:dyDescent="0.2">
      <c r="D417" s="157"/>
      <c r="E417" s="158"/>
      <c r="F417" s="94"/>
      <c r="G417" s="159"/>
      <c r="H417" s="94"/>
      <c r="Q417" s="89"/>
    </row>
  </sheetData>
  <phoneticPr fontId="0" type="noConversion"/>
  <printOptions horizontalCentered="1" verticalCentered="1" gridLines="1"/>
  <pageMargins left="0.5" right="0.5" top="0.5" bottom="0.5" header="0" footer="0"/>
  <pageSetup scale="90" orientation="portrait" r:id="rId1"/>
  <headerFooter alignWithMargins="0">
    <oddHeader>&amp;C 2003 ALLOCATIONS</oddHeader>
    <oddFooter xml:space="preserve">&amp;CPage &amp;P &amp;R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409"/>
  <sheetViews>
    <sheetView topLeftCell="A80" workbookViewId="0">
      <selection activeCell="G83" sqref="G83"/>
    </sheetView>
  </sheetViews>
  <sheetFormatPr defaultRowHeight="12.75" x14ac:dyDescent="0.2"/>
  <cols>
    <col min="1" max="1" width="35.140625" customWidth="1"/>
    <col min="2" max="2" width="13" customWidth="1"/>
    <col min="3" max="3" width="15.140625" customWidth="1"/>
    <col min="4" max="4" width="14.7109375" customWidth="1"/>
    <col min="6" max="6" width="11.5703125" bestFit="1" customWidth="1"/>
    <col min="7" max="7" width="12.85546875" customWidth="1"/>
    <col min="8" max="8" width="13.140625" customWidth="1"/>
    <col min="9" max="9" width="11.7109375" customWidth="1"/>
    <col min="10" max="10" width="16.85546875" customWidth="1"/>
  </cols>
  <sheetData>
    <row r="1" spans="1:36" ht="25.5" x14ac:dyDescent="0.2">
      <c r="A1" s="1" t="s">
        <v>830</v>
      </c>
      <c r="B1" s="1" t="s">
        <v>260</v>
      </c>
      <c r="C1" s="1" t="s">
        <v>261</v>
      </c>
      <c r="D1" s="1" t="s">
        <v>262</v>
      </c>
      <c r="E1" s="1"/>
      <c r="F1" s="1"/>
      <c r="G1" s="1"/>
      <c r="H1" s="1"/>
      <c r="I1" s="1"/>
      <c r="J1" s="7"/>
      <c r="K1" s="8"/>
      <c r="L1" s="8"/>
      <c r="M1" s="8"/>
      <c r="N1" s="8"/>
      <c r="O1" s="8"/>
      <c r="P1" s="7"/>
      <c r="Q1" s="7"/>
      <c r="R1" s="7"/>
      <c r="S1" s="9"/>
      <c r="T1" s="10"/>
      <c r="U1" s="11"/>
      <c r="V1" s="1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3.5" thickBot="1" x14ac:dyDescent="0.25">
      <c r="A2" s="3" t="s">
        <v>263</v>
      </c>
      <c r="J2" s="7"/>
      <c r="K2" s="8"/>
      <c r="L2" s="8"/>
      <c r="M2" s="8"/>
      <c r="N2" s="8"/>
      <c r="O2" s="8"/>
      <c r="P2" s="7"/>
      <c r="Q2" s="12"/>
      <c r="R2" s="12"/>
      <c r="S2" s="13"/>
      <c r="T2" s="14"/>
      <c r="U2" s="15"/>
      <c r="V2" s="15"/>
      <c r="W2" s="16"/>
      <c r="X2" s="14"/>
      <c r="Y2" s="16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6"/>
    </row>
    <row r="3" spans="1:36" x14ac:dyDescent="0.2">
      <c r="B3">
        <v>26</v>
      </c>
      <c r="C3">
        <v>33</v>
      </c>
      <c r="D3">
        <v>49</v>
      </c>
      <c r="J3" s="21"/>
      <c r="K3" s="24"/>
      <c r="L3" s="24"/>
      <c r="M3" s="24"/>
      <c r="N3" s="24"/>
      <c r="O3" s="25"/>
      <c r="P3" s="26"/>
      <c r="Q3" s="12"/>
      <c r="R3" s="12"/>
      <c r="S3" s="13"/>
      <c r="T3" s="14"/>
      <c r="U3" s="15"/>
      <c r="V3" s="15"/>
      <c r="W3" s="16"/>
      <c r="X3" s="14"/>
      <c r="Y3" s="16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6"/>
    </row>
    <row r="4" spans="1:36" x14ac:dyDescent="0.2">
      <c r="B4">
        <v>26</v>
      </c>
      <c r="C4">
        <v>33</v>
      </c>
      <c r="D4">
        <v>49</v>
      </c>
      <c r="J4" s="26"/>
      <c r="K4" s="25"/>
      <c r="L4" s="25"/>
      <c r="M4" s="25"/>
      <c r="N4" s="25"/>
      <c r="O4" s="25"/>
      <c r="P4" s="26"/>
      <c r="Q4" s="12"/>
      <c r="R4" s="12"/>
      <c r="S4" s="13"/>
      <c r="T4" s="14"/>
      <c r="U4" s="15"/>
      <c r="V4" s="15"/>
      <c r="W4" s="16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6"/>
    </row>
    <row r="5" spans="1:36" x14ac:dyDescent="0.2">
      <c r="B5">
        <v>26</v>
      </c>
      <c r="C5">
        <v>33</v>
      </c>
      <c r="D5">
        <v>49</v>
      </c>
      <c r="J5" s="26"/>
      <c r="K5" s="25"/>
      <c r="L5" s="25"/>
      <c r="M5" s="25"/>
      <c r="N5" s="25"/>
      <c r="O5" s="25"/>
      <c r="P5" s="26"/>
      <c r="Q5" s="12"/>
      <c r="R5" s="12"/>
      <c r="S5" s="13"/>
      <c r="T5" s="14"/>
      <c r="U5" s="15"/>
      <c r="V5" s="15"/>
      <c r="W5" s="16"/>
      <c r="X5" s="14"/>
      <c r="Y5" s="16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6"/>
    </row>
    <row r="6" spans="1:36" x14ac:dyDescent="0.2">
      <c r="B6">
        <v>28</v>
      </c>
      <c r="C6">
        <v>35</v>
      </c>
      <c r="D6">
        <v>52</v>
      </c>
      <c r="J6" s="26"/>
      <c r="K6" s="25"/>
      <c r="L6" s="25"/>
      <c r="M6" s="25"/>
      <c r="N6" s="25"/>
      <c r="O6" s="25"/>
      <c r="P6" s="26"/>
      <c r="Q6" s="12"/>
      <c r="R6" s="12"/>
      <c r="S6" s="13"/>
      <c r="T6" s="14"/>
      <c r="U6" s="15"/>
      <c r="V6" s="15"/>
      <c r="W6" s="16"/>
      <c r="X6" s="14"/>
      <c r="Y6" s="16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6"/>
    </row>
    <row r="7" spans="1:36" x14ac:dyDescent="0.2">
      <c r="B7">
        <v>26</v>
      </c>
      <c r="C7">
        <v>33</v>
      </c>
      <c r="D7">
        <v>49</v>
      </c>
      <c r="J7" s="8"/>
      <c r="K7" s="8"/>
      <c r="L7" s="8"/>
      <c r="M7" s="8"/>
      <c r="N7" s="7"/>
      <c r="O7" s="7"/>
      <c r="P7" s="7"/>
      <c r="Q7" s="9"/>
      <c r="R7" s="10"/>
      <c r="S7" s="11"/>
      <c r="T7" s="11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4"/>
      <c r="AJ7" s="16"/>
    </row>
    <row r="8" spans="1:36" x14ac:dyDescent="0.2">
      <c r="B8">
        <v>26</v>
      </c>
      <c r="C8">
        <v>33</v>
      </c>
      <c r="D8">
        <v>49</v>
      </c>
      <c r="J8" s="26"/>
      <c r="K8" s="25"/>
      <c r="L8" s="25"/>
      <c r="M8" s="25"/>
      <c r="N8" s="25"/>
      <c r="O8" s="25"/>
      <c r="P8" s="26"/>
      <c r="Q8" s="12"/>
      <c r="R8" s="14"/>
      <c r="S8" s="13"/>
      <c r="T8" s="14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3"/>
    </row>
    <row r="9" spans="1:36" x14ac:dyDescent="0.2">
      <c r="B9">
        <v>69</v>
      </c>
      <c r="C9">
        <v>86</v>
      </c>
      <c r="D9">
        <v>126</v>
      </c>
      <c r="J9" s="26"/>
      <c r="K9" s="25"/>
      <c r="L9" s="25"/>
      <c r="M9" s="25"/>
      <c r="N9" s="25"/>
      <c r="O9" s="25"/>
      <c r="P9" s="26"/>
      <c r="Q9" s="12"/>
      <c r="R9" s="14"/>
      <c r="S9" s="13"/>
      <c r="T9" s="14"/>
      <c r="U9" s="15"/>
      <c r="V9" s="15"/>
      <c r="W9" s="16"/>
      <c r="X9" s="14"/>
      <c r="Y9" s="15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6"/>
    </row>
    <row r="10" spans="1:36" ht="13.5" thickBot="1" x14ac:dyDescent="0.25">
      <c r="A10" s="3" t="s">
        <v>264</v>
      </c>
      <c r="J10" s="26"/>
      <c r="K10" s="25"/>
      <c r="L10" s="25"/>
      <c r="M10" s="25"/>
      <c r="N10" s="25"/>
      <c r="O10" s="25"/>
      <c r="P10" s="26"/>
      <c r="Q10" s="12"/>
      <c r="R10" s="14"/>
      <c r="S10" s="13"/>
      <c r="T10" s="14"/>
      <c r="U10" s="15"/>
      <c r="V10" s="15"/>
      <c r="W10" s="16"/>
      <c r="X10" s="14"/>
      <c r="Y10" s="16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6"/>
    </row>
    <row r="11" spans="1:36" x14ac:dyDescent="0.2">
      <c r="A11" t="s">
        <v>265</v>
      </c>
      <c r="B11">
        <v>318</v>
      </c>
      <c r="C11">
        <v>398</v>
      </c>
      <c r="D11">
        <v>351</v>
      </c>
      <c r="J11" s="21"/>
      <c r="K11" s="24"/>
      <c r="L11" s="24"/>
      <c r="M11" s="24"/>
      <c r="N11" s="24"/>
      <c r="O11" s="25"/>
      <c r="P11" s="26"/>
      <c r="Q11" s="12"/>
      <c r="R11" s="33"/>
      <c r="S11" s="13"/>
      <c r="T11" s="14"/>
      <c r="U11" s="15"/>
      <c r="V11" s="15"/>
      <c r="W11" s="16"/>
      <c r="X11" s="14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</row>
    <row r="12" spans="1:36" x14ac:dyDescent="0.2">
      <c r="A12" s="3" t="s">
        <v>266</v>
      </c>
      <c r="J12" s="38"/>
      <c r="K12" s="40"/>
      <c r="L12" s="40"/>
      <c r="M12" s="40"/>
      <c r="N12" s="40"/>
      <c r="O12" s="25"/>
      <c r="P12" s="26"/>
      <c r="Q12" s="12"/>
      <c r="R12" s="12"/>
      <c r="S12" s="13"/>
      <c r="T12" s="14"/>
      <c r="U12" s="15"/>
      <c r="V12" s="15"/>
      <c r="W12" s="15"/>
      <c r="X12" s="14"/>
      <c r="Y12" s="15"/>
      <c r="Z12" s="13"/>
      <c r="AA12" s="15"/>
      <c r="AB12" s="15"/>
      <c r="AC12" s="15"/>
      <c r="AD12" s="15"/>
      <c r="AE12" s="15"/>
      <c r="AF12" s="13"/>
      <c r="AG12" s="15"/>
      <c r="AH12" s="13"/>
      <c r="AI12" s="15"/>
      <c r="AJ12" s="13"/>
    </row>
    <row r="13" spans="1:36" x14ac:dyDescent="0.2">
      <c r="A13" t="s">
        <v>267</v>
      </c>
      <c r="B13">
        <v>114</v>
      </c>
      <c r="C13">
        <v>143</v>
      </c>
      <c r="D13">
        <v>126</v>
      </c>
      <c r="J13" s="38"/>
      <c r="K13" s="40"/>
      <c r="L13" s="40"/>
      <c r="M13" s="40"/>
      <c r="N13" s="40"/>
      <c r="O13" s="25"/>
      <c r="P13" s="26"/>
      <c r="Q13" s="12"/>
      <c r="R13" s="12"/>
      <c r="S13" s="13"/>
      <c r="T13" s="14"/>
      <c r="U13" s="15"/>
      <c r="V13" s="15"/>
      <c r="W13" s="15"/>
      <c r="X13" s="14"/>
      <c r="Y13" s="15"/>
      <c r="Z13" s="13"/>
      <c r="AA13" s="15"/>
      <c r="AB13" s="15"/>
      <c r="AC13" s="15"/>
      <c r="AD13" s="15"/>
      <c r="AE13" s="15"/>
      <c r="AF13" s="13"/>
      <c r="AG13" s="15"/>
      <c r="AH13" s="13"/>
      <c r="AI13" s="15"/>
      <c r="AJ13" s="13"/>
    </row>
    <row r="14" spans="1:36" x14ac:dyDescent="0.2">
      <c r="A14" s="3" t="s">
        <v>268</v>
      </c>
      <c r="B14" t="s">
        <v>1016</v>
      </c>
      <c r="J14" s="38"/>
      <c r="K14" s="40"/>
      <c r="L14" s="40"/>
      <c r="M14" s="40"/>
      <c r="N14" s="40"/>
      <c r="O14" s="40"/>
      <c r="P14" s="26"/>
      <c r="Q14" s="12"/>
      <c r="R14" s="12"/>
      <c r="S14" s="13"/>
      <c r="T14" s="14"/>
      <c r="U14" s="15"/>
      <c r="V14" s="15"/>
      <c r="W14" s="15"/>
      <c r="X14" s="14"/>
      <c r="Y14" s="15"/>
      <c r="Z14" s="13"/>
      <c r="AA14" s="15"/>
      <c r="AB14" s="15"/>
      <c r="AC14" s="15"/>
      <c r="AD14" s="15"/>
      <c r="AE14" s="15"/>
      <c r="AF14" s="13"/>
      <c r="AG14" s="15"/>
      <c r="AH14" s="13"/>
      <c r="AI14" s="15"/>
      <c r="AJ14" s="13"/>
    </row>
    <row r="15" spans="1:36" x14ac:dyDescent="0.2">
      <c r="A15" t="s">
        <v>269</v>
      </c>
      <c r="B15">
        <v>102</v>
      </c>
      <c r="C15">
        <v>128</v>
      </c>
      <c r="D15">
        <v>113</v>
      </c>
      <c r="J15" s="38"/>
      <c r="K15" s="40"/>
      <c r="L15" s="40"/>
      <c r="M15" s="40"/>
      <c r="N15" s="40"/>
      <c r="O15" s="40"/>
      <c r="P15" s="26"/>
      <c r="Q15" s="12"/>
      <c r="R15" s="12"/>
      <c r="S15" s="13"/>
      <c r="T15" s="14"/>
      <c r="U15" s="15"/>
      <c r="V15" s="15"/>
      <c r="W15" s="15"/>
      <c r="X15" s="14"/>
      <c r="Y15" s="15"/>
      <c r="Z15" s="13"/>
      <c r="AA15" s="15"/>
      <c r="AB15" s="15"/>
      <c r="AC15" s="15"/>
      <c r="AD15" s="15"/>
      <c r="AE15" s="15"/>
      <c r="AF15" s="13"/>
      <c r="AG15" s="15"/>
      <c r="AH15" s="13"/>
      <c r="AI15" s="15"/>
      <c r="AJ15" s="13"/>
    </row>
    <row r="16" spans="1:36" x14ac:dyDescent="0.2">
      <c r="A16" s="3" t="s">
        <v>270</v>
      </c>
      <c r="B16" t="s">
        <v>1016</v>
      </c>
      <c r="J16" s="38"/>
      <c r="K16" s="40"/>
      <c r="L16" s="40"/>
      <c r="M16" s="40"/>
      <c r="N16" s="40"/>
      <c r="O16" s="40"/>
      <c r="P16" s="26"/>
      <c r="Q16" s="12"/>
      <c r="R16" s="33"/>
      <c r="S16" s="13"/>
      <c r="T16" s="14"/>
      <c r="U16" s="15"/>
      <c r="V16" s="15"/>
      <c r="W16" s="15"/>
      <c r="X16" s="14"/>
      <c r="Y16" s="15"/>
      <c r="Z16" s="13"/>
      <c r="AA16" s="15"/>
      <c r="AB16" s="15"/>
      <c r="AC16" s="15"/>
      <c r="AD16" s="15"/>
      <c r="AE16" s="15"/>
      <c r="AF16" s="13"/>
      <c r="AG16" s="15"/>
      <c r="AH16" s="13"/>
      <c r="AI16" s="15"/>
      <c r="AJ16" s="13"/>
    </row>
    <row r="17" spans="1:36" x14ac:dyDescent="0.2">
      <c r="A17" t="s">
        <v>267</v>
      </c>
      <c r="B17">
        <v>114</v>
      </c>
      <c r="C17">
        <v>142</v>
      </c>
      <c r="D17">
        <v>125</v>
      </c>
      <c r="J17" s="38"/>
      <c r="K17" s="40"/>
      <c r="L17" s="40"/>
      <c r="M17" s="40"/>
      <c r="N17" s="40"/>
      <c r="O17" s="25"/>
      <c r="P17" s="26"/>
      <c r="Q17" s="12"/>
      <c r="R17" s="12"/>
      <c r="S17" s="13"/>
      <c r="T17" s="14"/>
      <c r="U17" s="15"/>
      <c r="V17" s="15"/>
      <c r="W17" s="15"/>
      <c r="X17" s="14"/>
      <c r="Y17" s="15"/>
      <c r="Z17" s="13"/>
      <c r="AA17" s="15"/>
      <c r="AB17" s="15"/>
      <c r="AC17" s="15"/>
      <c r="AD17" s="15"/>
      <c r="AE17" s="15"/>
      <c r="AF17" s="13"/>
      <c r="AG17" s="15"/>
      <c r="AH17" s="13"/>
      <c r="AI17" s="15"/>
      <c r="AJ17" s="13"/>
    </row>
    <row r="18" spans="1:36" x14ac:dyDescent="0.2">
      <c r="J18" s="38"/>
      <c r="K18" s="40"/>
      <c r="L18" s="40"/>
      <c r="M18" s="40"/>
      <c r="N18" s="40"/>
      <c r="O18" s="40"/>
      <c r="P18" s="26"/>
      <c r="Q18" s="12"/>
      <c r="R18" s="12"/>
      <c r="S18" s="13"/>
      <c r="T18" s="14"/>
      <c r="U18" s="15"/>
      <c r="V18" s="15"/>
      <c r="W18" s="15"/>
      <c r="X18" s="14"/>
      <c r="Y18" s="15"/>
      <c r="Z18" s="13"/>
      <c r="AA18" s="15"/>
      <c r="AB18" s="15"/>
      <c r="AC18" s="15"/>
      <c r="AD18" s="15"/>
      <c r="AE18" s="15"/>
      <c r="AF18" s="13"/>
      <c r="AG18" s="15"/>
      <c r="AH18" s="13"/>
      <c r="AI18" s="15"/>
      <c r="AJ18" s="13"/>
    </row>
    <row r="19" spans="1:36" x14ac:dyDescent="0.2">
      <c r="A19" s="3" t="s">
        <v>271</v>
      </c>
      <c r="B19" t="s">
        <v>1016</v>
      </c>
      <c r="J19" s="38"/>
      <c r="K19" s="40"/>
      <c r="L19" s="40"/>
      <c r="M19" s="40"/>
      <c r="N19" s="40"/>
      <c r="O19" s="40"/>
      <c r="P19" s="26"/>
      <c r="Q19" s="12"/>
      <c r="R19" s="12"/>
      <c r="S19" s="13"/>
      <c r="T19" s="14"/>
      <c r="U19" s="15"/>
      <c r="V19" s="15"/>
      <c r="W19" s="15"/>
      <c r="X19" s="14"/>
      <c r="Y19" s="15"/>
      <c r="Z19" s="13"/>
      <c r="AA19" s="15"/>
      <c r="AB19" s="15"/>
      <c r="AC19" s="15"/>
      <c r="AD19" s="15"/>
      <c r="AE19" s="15"/>
      <c r="AF19" s="13"/>
      <c r="AG19" s="15"/>
      <c r="AH19" s="13"/>
      <c r="AI19" s="15"/>
      <c r="AJ19" s="13"/>
    </row>
    <row r="20" spans="1:36" x14ac:dyDescent="0.2">
      <c r="A20" s="3"/>
      <c r="B20">
        <v>174</v>
      </c>
      <c r="C20">
        <v>218</v>
      </c>
      <c r="D20">
        <v>192</v>
      </c>
      <c r="J20" s="38"/>
      <c r="K20" s="40"/>
      <c r="L20" s="40"/>
      <c r="M20" s="40"/>
      <c r="N20" s="40"/>
      <c r="O20" s="40"/>
      <c r="P20" s="26"/>
      <c r="Q20" s="12"/>
      <c r="R20" s="12"/>
      <c r="S20" s="13"/>
      <c r="T20" s="14"/>
      <c r="U20" s="15"/>
      <c r="V20" s="15"/>
      <c r="W20" s="15"/>
      <c r="X20" s="14"/>
      <c r="Y20" s="15"/>
      <c r="Z20" s="13"/>
      <c r="AA20" s="15"/>
      <c r="AB20" s="15"/>
      <c r="AC20" s="15"/>
      <c r="AD20" s="15"/>
      <c r="AE20" s="15"/>
      <c r="AF20" s="13"/>
      <c r="AG20" s="15"/>
      <c r="AH20" s="13"/>
      <c r="AI20" s="15"/>
      <c r="AJ20" s="13"/>
    </row>
    <row r="21" spans="1:36" x14ac:dyDescent="0.2">
      <c r="A21" s="3" t="s">
        <v>272</v>
      </c>
      <c r="J21" s="38"/>
      <c r="K21" s="40"/>
      <c r="L21" s="40"/>
      <c r="M21" s="40"/>
      <c r="N21" s="40"/>
      <c r="O21" s="40"/>
      <c r="P21" s="26"/>
      <c r="Q21" s="12"/>
      <c r="R21" s="12"/>
      <c r="S21" s="13"/>
      <c r="T21" s="14"/>
      <c r="U21" s="15"/>
      <c r="V21" s="15"/>
      <c r="W21" s="15"/>
      <c r="X21" s="14"/>
      <c r="Y21" s="15"/>
      <c r="Z21" s="13"/>
      <c r="AA21" s="15"/>
      <c r="AB21" s="15"/>
      <c r="AC21" s="15"/>
      <c r="AD21" s="15"/>
      <c r="AE21" s="15"/>
      <c r="AF21" s="13"/>
      <c r="AG21" s="15"/>
      <c r="AH21" s="13"/>
      <c r="AI21" s="15"/>
      <c r="AJ21" s="13"/>
    </row>
    <row r="22" spans="1:36" x14ac:dyDescent="0.2">
      <c r="A22" s="3"/>
      <c r="B22">
        <v>354</v>
      </c>
      <c r="C22">
        <v>443</v>
      </c>
      <c r="D22">
        <v>391</v>
      </c>
      <c r="J22" s="38"/>
      <c r="K22" s="40"/>
      <c r="L22" s="40"/>
      <c r="M22" s="40"/>
      <c r="N22" s="40"/>
      <c r="O22" s="40"/>
      <c r="P22" s="26"/>
      <c r="Q22" s="12"/>
      <c r="R22" s="12"/>
      <c r="S22" s="13"/>
      <c r="T22" s="14"/>
      <c r="U22" s="15"/>
      <c r="V22" s="15"/>
      <c r="W22" s="15"/>
      <c r="X22" s="14"/>
      <c r="Y22" s="15"/>
      <c r="Z22" s="13"/>
      <c r="AA22" s="15"/>
      <c r="AB22" s="15"/>
      <c r="AC22" s="15"/>
      <c r="AD22" s="15"/>
      <c r="AE22" s="15"/>
      <c r="AF22" s="13"/>
      <c r="AG22" s="15"/>
      <c r="AH22" s="13"/>
      <c r="AI22" s="15"/>
      <c r="AJ22" s="13"/>
    </row>
    <row r="23" spans="1:36" hidden="1" x14ac:dyDescent="0.2">
      <c r="A23" s="3"/>
      <c r="J23" s="38"/>
      <c r="K23" s="40"/>
      <c r="L23" s="40"/>
      <c r="M23" s="40"/>
      <c r="N23" s="40"/>
      <c r="O23" s="25"/>
      <c r="P23" s="26"/>
      <c r="Q23" s="12"/>
      <c r="R23" s="33"/>
      <c r="S23" s="13"/>
      <c r="T23" s="14"/>
      <c r="U23" s="15"/>
      <c r="V23" s="15"/>
      <c r="W23" s="15"/>
      <c r="X23" s="14"/>
      <c r="Y23" s="15"/>
      <c r="Z23" s="13"/>
      <c r="AA23" s="15"/>
      <c r="AB23" s="15"/>
      <c r="AC23" s="15"/>
      <c r="AD23" s="15"/>
      <c r="AE23" s="15"/>
      <c r="AF23" s="13"/>
      <c r="AG23" s="15"/>
      <c r="AH23" s="13"/>
      <c r="AI23" s="15"/>
      <c r="AJ23" s="13"/>
    </row>
    <row r="24" spans="1:36" hidden="1" x14ac:dyDescent="0.2">
      <c r="A24" s="3"/>
      <c r="J24" s="38"/>
      <c r="K24" s="40"/>
      <c r="L24" s="40"/>
      <c r="M24" s="40"/>
      <c r="N24" s="40"/>
      <c r="O24" s="25"/>
      <c r="P24" s="26"/>
      <c r="Q24" s="12"/>
      <c r="R24" s="12"/>
      <c r="S24" s="13"/>
      <c r="T24" s="14"/>
      <c r="U24" s="15"/>
      <c r="V24" s="15"/>
      <c r="W24" s="15"/>
      <c r="X24" s="14"/>
      <c r="Y24" s="15"/>
      <c r="Z24" s="13"/>
      <c r="AA24" s="15"/>
      <c r="AB24" s="15"/>
      <c r="AC24" s="15"/>
      <c r="AD24" s="15"/>
      <c r="AE24" s="15"/>
      <c r="AF24" s="13"/>
      <c r="AG24" s="15"/>
      <c r="AH24" s="13"/>
      <c r="AI24" s="15"/>
      <c r="AJ24" s="13"/>
    </row>
    <row r="25" spans="1:36" hidden="1" x14ac:dyDescent="0.2">
      <c r="A25" s="3"/>
      <c r="J25" s="38"/>
      <c r="K25" s="40"/>
      <c r="L25" s="40"/>
      <c r="M25" s="40"/>
      <c r="N25" s="40"/>
      <c r="O25" s="25"/>
      <c r="P25" s="26"/>
      <c r="Q25" s="12"/>
      <c r="R25" s="12"/>
      <c r="S25" s="13"/>
      <c r="T25" s="14"/>
      <c r="U25" s="15"/>
      <c r="V25" s="15"/>
      <c r="W25" s="15"/>
      <c r="X25" s="14"/>
      <c r="Y25" s="15"/>
      <c r="Z25" s="13"/>
      <c r="AA25" s="15"/>
      <c r="AB25" s="15"/>
      <c r="AC25" s="15"/>
      <c r="AD25" s="15"/>
      <c r="AE25" s="15"/>
      <c r="AF25" s="13"/>
      <c r="AG25" s="15"/>
      <c r="AH25" s="13"/>
      <c r="AI25" s="15"/>
      <c r="AJ25" s="13"/>
    </row>
    <row r="26" spans="1:36" x14ac:dyDescent="0.2">
      <c r="A26" s="3" t="s">
        <v>273</v>
      </c>
      <c r="J26" s="38"/>
      <c r="K26" s="40"/>
      <c r="L26" s="40"/>
      <c r="M26" s="40"/>
      <c r="N26" s="40"/>
      <c r="O26" s="25"/>
      <c r="P26" s="26"/>
      <c r="Q26" s="12"/>
      <c r="R26" s="12"/>
      <c r="S26" s="13"/>
      <c r="T26" s="14"/>
      <c r="U26" s="15"/>
      <c r="V26" s="15"/>
      <c r="W26" s="15"/>
      <c r="X26" s="14"/>
      <c r="Y26" s="15"/>
      <c r="Z26" s="13"/>
      <c r="AA26" s="15"/>
      <c r="AB26" s="15"/>
      <c r="AC26" s="15"/>
      <c r="AD26" s="15"/>
      <c r="AE26" s="15"/>
      <c r="AF26" s="13"/>
      <c r="AG26" s="15"/>
      <c r="AH26" s="13"/>
      <c r="AI26" s="15"/>
      <c r="AJ26" s="13"/>
    </row>
    <row r="27" spans="1:36" x14ac:dyDescent="0.2">
      <c r="B27">
        <v>452</v>
      </c>
      <c r="C27">
        <v>565</v>
      </c>
      <c r="D27">
        <v>565</v>
      </c>
      <c r="J27" s="38"/>
      <c r="K27" s="40"/>
      <c r="L27" s="40"/>
      <c r="M27" s="40"/>
      <c r="N27" s="40"/>
      <c r="O27" s="25"/>
      <c r="P27" s="26"/>
      <c r="Q27" s="12"/>
      <c r="R27" s="12"/>
      <c r="S27" s="13"/>
      <c r="T27" s="14"/>
      <c r="U27" s="15"/>
      <c r="V27" s="15"/>
      <c r="W27" s="15"/>
      <c r="X27" s="14"/>
      <c r="Y27" s="15"/>
      <c r="Z27" s="13"/>
      <c r="AA27" s="15"/>
      <c r="AB27" s="15"/>
      <c r="AC27" s="15"/>
      <c r="AD27" s="15"/>
      <c r="AE27" s="15"/>
      <c r="AF27" s="13"/>
      <c r="AG27" s="15"/>
      <c r="AH27" s="13"/>
      <c r="AI27" s="15"/>
      <c r="AJ27" s="13"/>
    </row>
    <row r="28" spans="1:36" hidden="1" x14ac:dyDescent="0.2">
      <c r="A28" s="3"/>
      <c r="J28" s="38"/>
      <c r="K28" s="40"/>
      <c r="L28" s="40"/>
      <c r="M28" s="40"/>
      <c r="N28" s="40"/>
      <c r="O28" s="25"/>
      <c r="P28" s="26"/>
      <c r="Q28" s="12"/>
      <c r="R28" s="12"/>
      <c r="S28" s="13"/>
      <c r="T28" s="14"/>
      <c r="U28" s="15"/>
      <c r="V28" s="15"/>
      <c r="W28" s="15"/>
      <c r="X28" s="14"/>
      <c r="Y28" s="15"/>
      <c r="Z28" s="13"/>
      <c r="AA28" s="15"/>
      <c r="AB28" s="15"/>
      <c r="AC28" s="15"/>
      <c r="AD28" s="15"/>
      <c r="AE28" s="15"/>
      <c r="AF28" s="13"/>
      <c r="AG28" s="15"/>
      <c r="AH28" s="13"/>
      <c r="AI28" s="15"/>
      <c r="AJ28" s="13"/>
    </row>
    <row r="29" spans="1:36" hidden="1" x14ac:dyDescent="0.2">
      <c r="J29" s="38"/>
      <c r="K29" s="40"/>
      <c r="L29" s="40"/>
      <c r="M29" s="40"/>
      <c r="N29" s="40"/>
      <c r="O29" s="25"/>
      <c r="P29" s="26"/>
      <c r="Q29" s="12"/>
      <c r="R29" s="12"/>
      <c r="S29" s="13"/>
      <c r="T29" s="14"/>
      <c r="U29" s="15"/>
      <c r="V29" s="15"/>
      <c r="W29" s="15"/>
      <c r="X29" s="14"/>
      <c r="Y29" s="15"/>
      <c r="Z29" s="13"/>
      <c r="AA29" s="15"/>
      <c r="AB29" s="15"/>
      <c r="AC29" s="15"/>
      <c r="AD29" s="15"/>
      <c r="AE29" s="15"/>
      <c r="AF29" s="13"/>
      <c r="AG29" s="15"/>
      <c r="AH29" s="13"/>
      <c r="AI29" s="15"/>
      <c r="AJ29" s="13"/>
    </row>
    <row r="30" spans="1:36" hidden="1" x14ac:dyDescent="0.2">
      <c r="J30" s="38"/>
      <c r="K30" s="40"/>
      <c r="L30" s="40"/>
      <c r="M30" s="40"/>
      <c r="N30" s="40"/>
      <c r="O30" s="25"/>
      <c r="P30" s="26"/>
      <c r="Q30" s="12"/>
      <c r="R30" s="12"/>
      <c r="S30" s="13"/>
      <c r="T30" s="14"/>
      <c r="U30" s="15"/>
      <c r="V30" s="15"/>
      <c r="W30" s="15"/>
      <c r="X30" s="14"/>
      <c r="Y30" s="15"/>
      <c r="Z30" s="13"/>
      <c r="AA30" s="15"/>
      <c r="AB30" s="15"/>
      <c r="AC30" s="15"/>
      <c r="AD30" s="15"/>
      <c r="AE30" s="15"/>
      <c r="AF30" s="13"/>
      <c r="AG30" s="15"/>
      <c r="AH30" s="13"/>
      <c r="AI30" s="15"/>
      <c r="AJ30" s="13"/>
    </row>
    <row r="31" spans="1:36" x14ac:dyDescent="0.2">
      <c r="A31" s="3" t="s">
        <v>274</v>
      </c>
      <c r="J31" s="38"/>
      <c r="K31" s="40"/>
      <c r="L31" s="40"/>
      <c r="M31" s="40"/>
      <c r="N31" s="40"/>
      <c r="O31" s="25"/>
      <c r="P31" s="26"/>
      <c r="Q31" s="12"/>
      <c r="R31" s="12"/>
      <c r="S31" s="13"/>
      <c r="T31" s="14"/>
      <c r="U31" s="15"/>
      <c r="V31" s="15"/>
      <c r="W31" s="15"/>
      <c r="X31" s="14"/>
      <c r="Y31" s="15"/>
      <c r="Z31" s="13"/>
      <c r="AA31" s="15"/>
      <c r="AB31" s="15"/>
      <c r="AC31" s="15"/>
      <c r="AD31" s="15"/>
      <c r="AE31" s="15"/>
      <c r="AF31" s="13"/>
      <c r="AG31" s="15"/>
      <c r="AH31" s="13"/>
      <c r="AI31" s="15"/>
      <c r="AJ31" s="13"/>
    </row>
    <row r="32" spans="1:36" x14ac:dyDescent="0.2">
      <c r="A32" t="s">
        <v>275</v>
      </c>
      <c r="B32">
        <v>18</v>
      </c>
      <c r="C32">
        <v>23</v>
      </c>
      <c r="D32">
        <v>23</v>
      </c>
      <c r="J32" s="38"/>
      <c r="K32" s="40"/>
      <c r="L32" s="40"/>
      <c r="M32" s="40"/>
      <c r="N32" s="40"/>
      <c r="O32" s="25"/>
      <c r="P32" s="26"/>
      <c r="Q32" s="12"/>
      <c r="R32" s="12"/>
      <c r="S32" s="13"/>
      <c r="T32" s="14"/>
      <c r="U32" s="15"/>
      <c r="V32" s="15"/>
      <c r="W32" s="15"/>
      <c r="X32" s="14"/>
      <c r="Y32" s="15"/>
      <c r="Z32" s="13"/>
      <c r="AA32" s="15"/>
      <c r="AB32" s="15"/>
      <c r="AC32" s="15"/>
      <c r="AD32" s="15"/>
      <c r="AE32" s="15"/>
      <c r="AF32" s="13"/>
      <c r="AG32" s="15"/>
      <c r="AH32" s="13"/>
      <c r="AI32" s="15"/>
      <c r="AJ32" s="13"/>
    </row>
    <row r="33" spans="1:36" x14ac:dyDescent="0.2">
      <c r="A33" t="s">
        <v>275</v>
      </c>
      <c r="B33">
        <v>18</v>
      </c>
      <c r="C33">
        <v>23</v>
      </c>
      <c r="D33">
        <v>23</v>
      </c>
      <c r="J33" s="38"/>
      <c r="K33" s="40"/>
      <c r="L33" s="40"/>
      <c r="M33" s="40"/>
      <c r="N33" s="40"/>
      <c r="O33" s="25"/>
      <c r="P33" s="26"/>
      <c r="Q33" s="12"/>
      <c r="R33" s="12"/>
      <c r="S33" s="13"/>
      <c r="T33" s="14"/>
      <c r="U33" s="15"/>
      <c r="V33" s="15"/>
      <c r="W33" s="15"/>
      <c r="X33" s="14"/>
      <c r="Y33" s="15"/>
      <c r="Z33" s="13"/>
      <c r="AA33" s="15"/>
      <c r="AB33" s="15"/>
      <c r="AC33" s="15"/>
      <c r="AD33" s="15"/>
      <c r="AE33" s="15"/>
      <c r="AF33" s="13"/>
      <c r="AG33" s="15"/>
      <c r="AH33" s="13"/>
      <c r="AI33" s="15"/>
      <c r="AJ33" s="13"/>
    </row>
    <row r="34" spans="1:36" x14ac:dyDescent="0.2">
      <c r="A34" t="s">
        <v>276</v>
      </c>
      <c r="B34">
        <v>18</v>
      </c>
      <c r="C34">
        <v>23</v>
      </c>
      <c r="D34">
        <v>23</v>
      </c>
      <c r="J34" s="38"/>
      <c r="K34" s="40"/>
      <c r="L34" s="40"/>
      <c r="M34" s="40"/>
      <c r="N34" s="40"/>
      <c r="O34" s="40"/>
      <c r="P34" s="26"/>
      <c r="Q34" s="12"/>
      <c r="R34" s="12"/>
      <c r="S34" s="13"/>
      <c r="T34" s="14"/>
      <c r="U34" s="15"/>
      <c r="V34" s="15"/>
      <c r="W34" s="15"/>
      <c r="X34" s="14"/>
      <c r="Y34" s="15"/>
      <c r="Z34" s="13"/>
      <c r="AA34" s="15"/>
      <c r="AB34" s="15"/>
      <c r="AC34" s="15"/>
      <c r="AD34" s="15"/>
      <c r="AE34" s="15"/>
      <c r="AF34" s="13"/>
      <c r="AG34" s="15"/>
      <c r="AH34" s="13"/>
      <c r="AI34" s="15"/>
      <c r="AJ34" s="13"/>
    </row>
    <row r="35" spans="1:36" x14ac:dyDescent="0.2">
      <c r="A35" t="s">
        <v>276</v>
      </c>
      <c r="B35">
        <v>18</v>
      </c>
      <c r="C35">
        <v>23</v>
      </c>
      <c r="D35">
        <v>23</v>
      </c>
      <c r="J35" s="38"/>
      <c r="K35" s="40"/>
      <c r="L35" s="40"/>
      <c r="M35" s="40"/>
      <c r="N35" s="40"/>
      <c r="O35" s="40"/>
      <c r="P35" s="26"/>
      <c r="Q35" s="12"/>
      <c r="R35" s="12"/>
      <c r="S35" s="13"/>
      <c r="T35" s="14"/>
      <c r="U35" s="15"/>
      <c r="V35" s="15"/>
      <c r="W35" s="15"/>
      <c r="X35" s="14"/>
      <c r="Y35" s="15"/>
      <c r="Z35" s="13"/>
      <c r="AA35" s="15"/>
      <c r="AB35" s="15"/>
      <c r="AC35" s="15"/>
      <c r="AD35" s="15"/>
      <c r="AE35" s="15"/>
      <c r="AF35" s="13"/>
      <c r="AG35" s="15"/>
      <c r="AH35" s="13"/>
      <c r="AI35" s="15"/>
      <c r="AJ35" s="13"/>
    </row>
    <row r="36" spans="1:36" x14ac:dyDescent="0.2">
      <c r="A36" t="s">
        <v>276</v>
      </c>
      <c r="B36">
        <v>18</v>
      </c>
      <c r="C36">
        <v>23</v>
      </c>
      <c r="D36">
        <v>23</v>
      </c>
      <c r="J36" s="38"/>
      <c r="K36" s="40"/>
      <c r="L36" s="40"/>
      <c r="M36" s="40"/>
      <c r="N36" s="40"/>
      <c r="O36" s="40"/>
      <c r="P36" s="26"/>
      <c r="Q36" s="12"/>
      <c r="R36" s="12"/>
      <c r="S36" s="13"/>
      <c r="T36" s="14"/>
      <c r="U36" s="15"/>
      <c r="V36" s="15"/>
      <c r="W36" s="15"/>
      <c r="X36" s="14"/>
      <c r="Y36" s="15"/>
      <c r="Z36" s="13"/>
      <c r="AA36" s="15"/>
      <c r="AB36" s="15"/>
      <c r="AC36" s="15"/>
      <c r="AD36" s="15"/>
      <c r="AE36" s="15"/>
      <c r="AF36" s="13"/>
      <c r="AG36" s="15"/>
      <c r="AH36" s="13"/>
      <c r="AI36" s="15"/>
      <c r="AJ36" s="13"/>
    </row>
    <row r="37" spans="1:36" x14ac:dyDescent="0.2">
      <c r="A37" t="s">
        <v>276</v>
      </c>
      <c r="B37">
        <v>18</v>
      </c>
      <c r="C37">
        <v>23</v>
      </c>
      <c r="D37">
        <v>23</v>
      </c>
      <c r="J37" s="38"/>
      <c r="K37" s="40"/>
      <c r="L37" s="40"/>
      <c r="M37" s="40"/>
      <c r="N37" s="40"/>
      <c r="O37" s="25"/>
      <c r="P37" s="26"/>
      <c r="Q37" s="12"/>
      <c r="R37" s="12"/>
      <c r="S37" s="13"/>
      <c r="T37" s="14"/>
      <c r="U37" s="15"/>
      <c r="V37" s="15"/>
      <c r="W37" s="15"/>
      <c r="X37" s="14"/>
      <c r="Y37" s="15"/>
      <c r="Z37" s="13"/>
      <c r="AA37" s="15"/>
      <c r="AB37" s="15"/>
      <c r="AC37" s="15"/>
      <c r="AD37" s="15"/>
      <c r="AE37" s="15"/>
      <c r="AF37" s="13"/>
      <c r="AG37" s="15"/>
      <c r="AH37" s="13"/>
      <c r="AI37" s="15"/>
      <c r="AJ37" s="13"/>
    </row>
    <row r="38" spans="1:36" x14ac:dyDescent="0.2">
      <c r="A38" t="s">
        <v>275</v>
      </c>
      <c r="B38">
        <v>18</v>
      </c>
      <c r="C38">
        <v>23</v>
      </c>
      <c r="D38">
        <v>23</v>
      </c>
      <c r="J38" s="38"/>
      <c r="K38" s="40"/>
      <c r="L38" s="40"/>
      <c r="M38" s="40"/>
      <c r="N38" s="40"/>
      <c r="O38" s="25"/>
      <c r="P38" s="26"/>
      <c r="Q38" s="12"/>
      <c r="R38" s="12"/>
      <c r="S38" s="13"/>
      <c r="T38" s="14"/>
      <c r="U38" s="15"/>
      <c r="V38" s="15"/>
      <c r="W38" s="15"/>
      <c r="X38" s="14"/>
      <c r="Y38" s="15"/>
      <c r="Z38" s="13"/>
      <c r="AA38" s="15"/>
      <c r="AB38" s="15"/>
      <c r="AC38" s="15"/>
      <c r="AD38" s="15"/>
      <c r="AE38" s="15"/>
      <c r="AF38" s="13"/>
      <c r="AG38" s="15"/>
      <c r="AH38" s="13"/>
      <c r="AI38" s="15"/>
      <c r="AJ38" s="13"/>
    </row>
    <row r="39" spans="1:36" x14ac:dyDescent="0.2">
      <c r="A39" t="s">
        <v>276</v>
      </c>
      <c r="B39">
        <v>18</v>
      </c>
      <c r="C39">
        <v>23</v>
      </c>
      <c r="D39">
        <v>23</v>
      </c>
      <c r="J39" s="38"/>
      <c r="K39" s="40"/>
      <c r="L39" s="40"/>
      <c r="M39" s="40"/>
      <c r="N39" s="40"/>
      <c r="O39" s="25"/>
      <c r="P39" s="26"/>
      <c r="Q39" s="12"/>
      <c r="R39" s="12"/>
      <c r="S39" s="13"/>
      <c r="T39" s="14"/>
      <c r="U39" s="15"/>
      <c r="V39" s="15"/>
      <c r="W39" s="15"/>
      <c r="X39" s="14"/>
      <c r="Y39" s="15"/>
      <c r="Z39" s="13"/>
      <c r="AA39" s="15"/>
      <c r="AB39" s="15"/>
      <c r="AC39" s="15"/>
      <c r="AD39" s="15"/>
      <c r="AE39" s="15"/>
      <c r="AF39" s="13"/>
      <c r="AG39" s="15"/>
      <c r="AH39" s="13"/>
      <c r="AI39" s="15"/>
      <c r="AJ39" s="13"/>
    </row>
    <row r="40" spans="1:36" x14ac:dyDescent="0.2">
      <c r="A40" t="s">
        <v>276</v>
      </c>
      <c r="B40">
        <v>18</v>
      </c>
      <c r="C40">
        <v>23</v>
      </c>
      <c r="D40">
        <v>23</v>
      </c>
      <c r="J40" s="38"/>
      <c r="K40" s="40"/>
      <c r="L40" s="40"/>
      <c r="M40" s="40"/>
      <c r="N40" s="40"/>
      <c r="O40" s="25"/>
      <c r="P40" s="26"/>
      <c r="Q40" s="12"/>
      <c r="R40" s="12"/>
      <c r="S40" s="13"/>
      <c r="T40" s="14"/>
      <c r="U40" s="15"/>
      <c r="V40" s="15"/>
      <c r="W40" s="15"/>
      <c r="X40" s="14"/>
      <c r="Y40" s="15"/>
      <c r="Z40" s="13"/>
      <c r="AA40" s="15"/>
      <c r="AB40" s="15"/>
      <c r="AC40" s="15"/>
      <c r="AD40" s="15"/>
      <c r="AE40" s="15"/>
      <c r="AF40" s="13"/>
      <c r="AG40" s="15"/>
      <c r="AH40" s="13"/>
      <c r="AI40" s="15"/>
      <c r="AJ40" s="13"/>
    </row>
    <row r="41" spans="1:36" x14ac:dyDescent="0.2">
      <c r="A41" t="s">
        <v>276</v>
      </c>
      <c r="B41">
        <v>18</v>
      </c>
      <c r="C41">
        <v>23</v>
      </c>
      <c r="D41">
        <v>23</v>
      </c>
      <c r="J41" s="38"/>
      <c r="K41" s="40"/>
      <c r="L41" s="40"/>
      <c r="M41" s="40"/>
      <c r="N41" s="40"/>
      <c r="O41" s="25"/>
      <c r="P41" s="26"/>
      <c r="Q41" s="12"/>
      <c r="R41" s="12"/>
      <c r="S41" s="13"/>
      <c r="T41" s="14"/>
      <c r="U41" s="15"/>
      <c r="V41" s="15"/>
      <c r="W41" s="15"/>
      <c r="X41" s="14"/>
      <c r="Y41" s="15"/>
      <c r="Z41" s="13"/>
      <c r="AA41" s="15"/>
      <c r="AB41" s="15"/>
      <c r="AC41" s="15"/>
      <c r="AD41" s="15"/>
      <c r="AE41" s="15"/>
      <c r="AF41" s="13"/>
      <c r="AG41" s="15"/>
      <c r="AH41" s="13"/>
      <c r="AI41" s="15"/>
      <c r="AJ41" s="13"/>
    </row>
    <row r="42" spans="1:36" x14ac:dyDescent="0.2">
      <c r="A42" t="s">
        <v>276</v>
      </c>
      <c r="B42">
        <v>18</v>
      </c>
      <c r="C42">
        <v>23</v>
      </c>
      <c r="D42">
        <v>23</v>
      </c>
      <c r="J42" s="38"/>
      <c r="K42" s="40"/>
      <c r="L42" s="40"/>
      <c r="M42" s="40"/>
      <c r="N42" s="40"/>
      <c r="O42" s="25"/>
      <c r="P42" s="26"/>
      <c r="Q42" s="12"/>
      <c r="R42" s="12"/>
      <c r="S42" s="13"/>
      <c r="T42" s="14"/>
      <c r="U42" s="15"/>
      <c r="V42" s="15"/>
      <c r="W42" s="15"/>
      <c r="X42" s="14"/>
      <c r="Y42" s="15"/>
      <c r="Z42" s="13"/>
      <c r="AA42" s="15"/>
      <c r="AB42" s="15"/>
      <c r="AC42" s="15"/>
      <c r="AD42" s="15"/>
      <c r="AE42" s="15"/>
      <c r="AF42" s="13"/>
      <c r="AG42" s="15"/>
      <c r="AH42" s="13"/>
      <c r="AI42" s="15"/>
      <c r="AJ42" s="13"/>
    </row>
    <row r="43" spans="1:36" x14ac:dyDescent="0.2">
      <c r="A43" t="s">
        <v>276</v>
      </c>
      <c r="B43">
        <v>18</v>
      </c>
      <c r="C43">
        <v>23</v>
      </c>
      <c r="D43">
        <v>23</v>
      </c>
      <c r="J43" s="38"/>
      <c r="K43" s="40"/>
      <c r="L43" s="40"/>
      <c r="M43" s="40"/>
      <c r="N43" s="40"/>
      <c r="O43" s="25"/>
      <c r="P43" s="26"/>
      <c r="Q43" s="12"/>
      <c r="R43" s="12"/>
      <c r="S43" s="13"/>
      <c r="T43" s="14"/>
      <c r="U43" s="15"/>
      <c r="V43" s="15"/>
      <c r="W43" s="15"/>
      <c r="X43" s="14"/>
      <c r="Y43" s="15"/>
      <c r="Z43" s="13"/>
      <c r="AA43" s="15"/>
      <c r="AB43" s="15"/>
      <c r="AC43" s="15"/>
      <c r="AD43" s="15"/>
      <c r="AE43" s="15"/>
      <c r="AF43" s="13"/>
      <c r="AG43" s="15"/>
      <c r="AH43" s="13"/>
      <c r="AI43" s="15"/>
      <c r="AJ43" s="13"/>
    </row>
    <row r="44" spans="1:36" x14ac:dyDescent="0.2">
      <c r="A44" t="s">
        <v>276</v>
      </c>
      <c r="B44">
        <v>18</v>
      </c>
      <c r="C44">
        <v>23</v>
      </c>
      <c r="D44">
        <v>23</v>
      </c>
      <c r="J44" s="38"/>
      <c r="K44" s="40"/>
      <c r="L44" s="40"/>
      <c r="M44" s="40"/>
      <c r="N44" s="40"/>
      <c r="O44" s="25"/>
      <c r="P44" s="26"/>
      <c r="Q44" s="12"/>
      <c r="R44" s="12"/>
      <c r="S44" s="13"/>
      <c r="T44" s="14"/>
      <c r="U44" s="15"/>
      <c r="V44" s="15"/>
      <c r="W44" s="15"/>
      <c r="X44" s="14"/>
      <c r="Y44" s="15"/>
      <c r="Z44" s="13"/>
      <c r="AA44" s="15"/>
      <c r="AB44" s="15"/>
      <c r="AC44" s="15"/>
      <c r="AD44" s="15"/>
      <c r="AE44" s="15"/>
      <c r="AF44" s="13"/>
      <c r="AG44" s="15"/>
      <c r="AH44" s="13"/>
      <c r="AI44" s="15"/>
      <c r="AJ44" s="13"/>
    </row>
    <row r="45" spans="1:36" x14ac:dyDescent="0.2">
      <c r="A45" t="s">
        <v>276</v>
      </c>
      <c r="B45">
        <v>18</v>
      </c>
      <c r="C45">
        <v>23</v>
      </c>
      <c r="D45">
        <v>23</v>
      </c>
      <c r="J45" s="38"/>
      <c r="K45" s="40"/>
      <c r="L45" s="40"/>
      <c r="M45" s="40"/>
      <c r="N45" s="40"/>
      <c r="O45" s="25"/>
      <c r="P45" s="26"/>
      <c r="Q45" s="12"/>
      <c r="R45" s="12"/>
      <c r="S45" s="13"/>
      <c r="T45" s="14"/>
      <c r="U45" s="15"/>
      <c r="V45" s="15"/>
      <c r="W45" s="15"/>
      <c r="X45" s="14"/>
      <c r="Y45" s="15"/>
      <c r="Z45" s="13"/>
      <c r="AA45" s="15"/>
      <c r="AB45" s="15"/>
      <c r="AC45" s="15"/>
      <c r="AD45" s="15"/>
      <c r="AE45" s="15"/>
      <c r="AF45" s="13"/>
      <c r="AG45" s="15"/>
      <c r="AH45" s="13"/>
      <c r="AI45" s="15"/>
      <c r="AJ45" s="13"/>
    </row>
    <row r="46" spans="1:36" x14ac:dyDescent="0.2">
      <c r="A46" t="s">
        <v>276</v>
      </c>
      <c r="B46">
        <v>18</v>
      </c>
      <c r="C46">
        <v>23</v>
      </c>
      <c r="D46">
        <v>23</v>
      </c>
      <c r="J46" s="38"/>
      <c r="K46" s="40"/>
      <c r="L46" s="40"/>
      <c r="M46" s="40"/>
      <c r="N46" s="40"/>
      <c r="O46" s="25"/>
      <c r="P46" s="26"/>
      <c r="Q46" s="12"/>
      <c r="R46" s="12"/>
      <c r="S46" s="13"/>
      <c r="T46" s="14"/>
      <c r="U46" s="15"/>
      <c r="V46" s="15"/>
      <c r="W46" s="15"/>
      <c r="X46" s="14"/>
      <c r="Y46" s="15"/>
      <c r="Z46" s="13"/>
      <c r="AA46" s="15"/>
      <c r="AB46" s="15"/>
      <c r="AC46" s="15"/>
      <c r="AD46" s="15"/>
      <c r="AE46" s="15"/>
      <c r="AF46" s="13"/>
      <c r="AG46" s="15"/>
      <c r="AH46" s="13"/>
      <c r="AI46" s="15"/>
      <c r="AJ46" s="13"/>
    </row>
    <row r="47" spans="1:36" x14ac:dyDescent="0.2">
      <c r="A47" t="s">
        <v>276</v>
      </c>
      <c r="B47">
        <v>19</v>
      </c>
      <c r="C47">
        <v>24</v>
      </c>
      <c r="D47">
        <v>24</v>
      </c>
      <c r="J47" s="38"/>
      <c r="K47" s="40"/>
      <c r="L47" s="40"/>
      <c r="M47" s="40"/>
      <c r="N47" s="40"/>
      <c r="O47" s="25"/>
      <c r="P47" s="26"/>
      <c r="Q47" s="12"/>
      <c r="R47" s="12"/>
      <c r="S47" s="13"/>
      <c r="T47" s="14"/>
      <c r="U47" s="15"/>
      <c r="V47" s="15"/>
      <c r="W47" s="15"/>
      <c r="X47" s="14"/>
      <c r="Y47" s="15"/>
      <c r="Z47" s="13"/>
      <c r="AA47" s="15"/>
      <c r="AB47" s="15"/>
      <c r="AC47" s="15"/>
      <c r="AD47" s="15"/>
      <c r="AE47" s="15"/>
      <c r="AF47" s="13"/>
      <c r="AG47" s="15"/>
      <c r="AH47" s="13"/>
      <c r="AI47" s="15"/>
      <c r="AJ47" s="13"/>
    </row>
    <row r="48" spans="1:36" x14ac:dyDescent="0.2">
      <c r="A48" s="3" t="s">
        <v>277</v>
      </c>
      <c r="B48" t="s">
        <v>1016</v>
      </c>
      <c r="J48" s="38"/>
      <c r="K48" s="40"/>
      <c r="L48" s="40"/>
      <c r="M48" s="40"/>
      <c r="N48" s="40"/>
      <c r="O48" s="25"/>
      <c r="P48" s="26"/>
      <c r="Q48" s="12"/>
      <c r="R48" s="12"/>
      <c r="S48" s="13"/>
      <c r="T48" s="14"/>
      <c r="U48" s="15"/>
      <c r="V48" s="15"/>
      <c r="W48" s="15"/>
      <c r="X48" s="14"/>
      <c r="Y48" s="15"/>
      <c r="Z48" s="13"/>
      <c r="AA48" s="15"/>
      <c r="AB48" s="15"/>
      <c r="AC48" s="15"/>
      <c r="AD48" s="15"/>
      <c r="AE48" s="15"/>
      <c r="AF48" s="13"/>
      <c r="AG48" s="15"/>
      <c r="AH48" s="13"/>
      <c r="AI48" s="15"/>
      <c r="AJ48" s="13"/>
    </row>
    <row r="49" spans="1:36" x14ac:dyDescent="0.2">
      <c r="B49">
        <v>34</v>
      </c>
      <c r="C49">
        <v>43</v>
      </c>
      <c r="D49">
        <v>32</v>
      </c>
      <c r="J49" s="38"/>
      <c r="K49" s="40"/>
      <c r="L49" s="40"/>
      <c r="M49" s="40"/>
      <c r="N49" s="40"/>
      <c r="O49" s="25"/>
      <c r="P49" s="26"/>
      <c r="Q49" s="12"/>
      <c r="R49" s="12"/>
      <c r="S49" s="13"/>
      <c r="T49" s="14"/>
      <c r="U49" s="15"/>
      <c r="V49" s="15"/>
      <c r="W49" s="15"/>
      <c r="X49" s="14"/>
      <c r="Y49" s="15"/>
      <c r="Z49" s="13"/>
      <c r="AA49" s="15"/>
      <c r="AB49" s="15"/>
      <c r="AC49" s="15"/>
      <c r="AD49" s="15"/>
      <c r="AE49" s="15"/>
      <c r="AF49" s="13"/>
      <c r="AG49" s="15"/>
      <c r="AH49" s="13"/>
      <c r="AI49" s="15"/>
      <c r="AJ49" s="13"/>
    </row>
    <row r="50" spans="1:36" x14ac:dyDescent="0.2">
      <c r="B50">
        <v>25</v>
      </c>
      <c r="C50">
        <v>31</v>
      </c>
      <c r="D50">
        <v>23</v>
      </c>
      <c r="J50" s="38"/>
      <c r="K50" s="40"/>
      <c r="L50" s="40"/>
      <c r="M50" s="40"/>
      <c r="N50" s="40"/>
      <c r="O50" s="25"/>
      <c r="P50" s="26"/>
      <c r="Q50" s="12"/>
      <c r="R50" s="12"/>
      <c r="S50" s="13"/>
      <c r="T50" s="14"/>
      <c r="U50" s="15"/>
      <c r="V50" s="15"/>
      <c r="W50" s="15"/>
      <c r="X50" s="14"/>
      <c r="Y50" s="15"/>
      <c r="Z50" s="13"/>
      <c r="AA50" s="15"/>
      <c r="AB50" s="15"/>
      <c r="AC50" s="15"/>
      <c r="AD50" s="15"/>
      <c r="AE50" s="15"/>
      <c r="AF50" s="13"/>
      <c r="AG50" s="15"/>
      <c r="AH50" s="13"/>
      <c r="AI50" s="15"/>
      <c r="AJ50" s="13"/>
    </row>
    <row r="51" spans="1:36" x14ac:dyDescent="0.2">
      <c r="A51" s="3" t="s">
        <v>278</v>
      </c>
      <c r="B51" t="s">
        <v>1016</v>
      </c>
      <c r="J51" s="38"/>
      <c r="K51" s="40"/>
      <c r="L51" s="40"/>
      <c r="M51" s="40"/>
      <c r="N51" s="40"/>
      <c r="O51" s="25"/>
      <c r="P51" s="26"/>
      <c r="Q51" s="12"/>
      <c r="R51" s="12"/>
      <c r="S51" s="13"/>
      <c r="T51" s="14"/>
      <c r="U51" s="15"/>
      <c r="V51" s="15"/>
      <c r="W51" s="15"/>
      <c r="X51" s="14"/>
      <c r="Y51" s="15"/>
      <c r="Z51" s="13"/>
      <c r="AA51" s="15"/>
      <c r="AB51" s="15"/>
      <c r="AC51" s="15"/>
      <c r="AD51" s="15"/>
      <c r="AE51" s="15"/>
      <c r="AF51" s="13"/>
      <c r="AG51" s="15"/>
      <c r="AH51" s="13"/>
      <c r="AI51" s="15"/>
      <c r="AJ51" s="13"/>
    </row>
    <row r="52" spans="1:36" x14ac:dyDescent="0.2">
      <c r="B52">
        <v>446</v>
      </c>
      <c r="C52">
        <v>557</v>
      </c>
      <c r="D52">
        <v>492</v>
      </c>
      <c r="J52" s="38"/>
      <c r="K52" s="40"/>
      <c r="L52" s="40"/>
      <c r="M52" s="40"/>
      <c r="N52" s="40"/>
      <c r="O52" s="25"/>
      <c r="P52" s="26"/>
      <c r="Q52" s="12"/>
      <c r="R52" s="12"/>
      <c r="S52" s="13"/>
      <c r="T52" s="14"/>
      <c r="U52" s="15"/>
      <c r="V52" s="15"/>
      <c r="W52" s="15"/>
      <c r="X52" s="14"/>
      <c r="Y52" s="15"/>
      <c r="Z52" s="13"/>
      <c r="AA52" s="15"/>
      <c r="AB52" s="15"/>
      <c r="AC52" s="15"/>
      <c r="AD52" s="15"/>
      <c r="AE52" s="15"/>
      <c r="AF52" s="13"/>
      <c r="AG52" s="15"/>
      <c r="AH52" s="13"/>
      <c r="AI52" s="15"/>
      <c r="AJ52" s="13"/>
    </row>
    <row r="53" spans="1:36" x14ac:dyDescent="0.2">
      <c r="B53">
        <v>142</v>
      </c>
      <c r="C53">
        <v>178</v>
      </c>
      <c r="D53">
        <v>167</v>
      </c>
      <c r="J53" s="38"/>
      <c r="K53" s="40"/>
      <c r="L53" s="40"/>
      <c r="M53" s="40"/>
      <c r="N53" s="40"/>
      <c r="O53" s="25"/>
      <c r="P53" s="26"/>
      <c r="Q53" s="12"/>
      <c r="R53" s="12"/>
      <c r="S53" s="13"/>
      <c r="T53" s="14"/>
      <c r="U53" s="15"/>
      <c r="V53" s="15"/>
      <c r="W53" s="15"/>
      <c r="X53" s="14"/>
      <c r="Y53" s="15"/>
      <c r="Z53" s="13"/>
      <c r="AA53" s="15"/>
      <c r="AB53" s="15"/>
      <c r="AC53" s="15"/>
      <c r="AD53" s="15"/>
      <c r="AE53" s="15"/>
      <c r="AF53" s="13"/>
      <c r="AG53" s="15"/>
      <c r="AH53" s="13"/>
      <c r="AI53" s="15"/>
      <c r="AJ53" s="13"/>
    </row>
    <row r="54" spans="1:36" x14ac:dyDescent="0.2">
      <c r="A54" s="3" t="s">
        <v>279</v>
      </c>
      <c r="J54" s="38"/>
      <c r="K54" s="40"/>
      <c r="L54" s="40"/>
      <c r="M54" s="40"/>
      <c r="N54" s="40"/>
      <c r="O54" s="25"/>
      <c r="P54" s="26"/>
      <c r="Q54" s="12"/>
      <c r="R54" s="12"/>
      <c r="S54" s="13"/>
      <c r="T54" s="14"/>
      <c r="U54" s="15"/>
      <c r="V54" s="15"/>
      <c r="W54" s="15"/>
      <c r="X54" s="14"/>
      <c r="Y54" s="15"/>
      <c r="Z54" s="13"/>
      <c r="AA54" s="15"/>
      <c r="AB54" s="15"/>
      <c r="AC54" s="15"/>
      <c r="AD54" s="15"/>
      <c r="AE54" s="15"/>
      <c r="AF54" s="13"/>
      <c r="AG54" s="15"/>
      <c r="AH54" s="13"/>
      <c r="AI54" s="15"/>
      <c r="AJ54" s="13"/>
    </row>
    <row r="55" spans="1:36" x14ac:dyDescent="0.2">
      <c r="A55" t="s">
        <v>280</v>
      </c>
      <c r="B55">
        <v>194</v>
      </c>
      <c r="C55">
        <v>243</v>
      </c>
      <c r="D55">
        <v>64</v>
      </c>
      <c r="J55" s="38"/>
      <c r="K55" s="40"/>
      <c r="L55" s="40"/>
      <c r="M55" s="40"/>
      <c r="N55" s="40"/>
      <c r="O55" s="40"/>
      <c r="P55" s="26"/>
      <c r="Q55" s="12"/>
      <c r="R55" s="12"/>
      <c r="S55" s="13"/>
      <c r="T55" s="14"/>
      <c r="U55" s="15"/>
      <c r="V55" s="15"/>
      <c r="W55" s="15"/>
      <c r="X55" s="14"/>
      <c r="Y55" s="15"/>
      <c r="Z55" s="13"/>
      <c r="AA55" s="15"/>
      <c r="AB55" s="15"/>
      <c r="AC55" s="15"/>
      <c r="AD55" s="15"/>
      <c r="AE55" s="15"/>
      <c r="AF55" s="13"/>
      <c r="AG55" s="15"/>
      <c r="AH55" s="13"/>
      <c r="AI55" s="15"/>
      <c r="AJ55" s="13"/>
    </row>
    <row r="56" spans="1:36" x14ac:dyDescent="0.2">
      <c r="A56" t="s">
        <v>281</v>
      </c>
      <c r="B56">
        <v>218</v>
      </c>
      <c r="C56">
        <v>273</v>
      </c>
      <c r="D56">
        <v>64</v>
      </c>
      <c r="J56" s="38"/>
      <c r="K56" s="40"/>
      <c r="L56" s="40"/>
      <c r="M56" s="40"/>
      <c r="N56" s="40"/>
      <c r="O56" s="40"/>
      <c r="P56" s="26"/>
      <c r="Q56" s="12"/>
      <c r="R56" s="12"/>
      <c r="S56" s="13"/>
      <c r="T56" s="14"/>
      <c r="U56" s="15"/>
      <c r="V56" s="15"/>
      <c r="W56" s="15"/>
      <c r="X56" s="14"/>
      <c r="Y56" s="15"/>
      <c r="Z56" s="13"/>
      <c r="AA56" s="15"/>
      <c r="AB56" s="15"/>
      <c r="AC56" s="15"/>
      <c r="AD56" s="15"/>
      <c r="AE56" s="15"/>
      <c r="AF56" s="13"/>
      <c r="AG56" s="15"/>
      <c r="AH56" s="13"/>
      <c r="AI56" s="15"/>
      <c r="AJ56" s="13"/>
    </row>
    <row r="57" spans="1:36" x14ac:dyDescent="0.2">
      <c r="A57" t="s">
        <v>282</v>
      </c>
      <c r="B57">
        <v>178</v>
      </c>
      <c r="C57">
        <v>223</v>
      </c>
      <c r="D57">
        <v>64</v>
      </c>
      <c r="J57" s="38"/>
      <c r="K57" s="40"/>
      <c r="L57" s="40"/>
      <c r="M57" s="40"/>
      <c r="N57" s="40"/>
      <c r="O57" s="40"/>
      <c r="P57" s="26"/>
      <c r="Q57" s="12"/>
      <c r="R57" s="12"/>
      <c r="S57" s="13"/>
      <c r="T57" s="14"/>
      <c r="U57" s="15"/>
      <c r="V57" s="15"/>
      <c r="W57" s="15"/>
      <c r="X57" s="14"/>
      <c r="Y57" s="15"/>
      <c r="Z57" s="13"/>
      <c r="AA57" s="15"/>
      <c r="AB57" s="15"/>
      <c r="AC57" s="15"/>
      <c r="AD57" s="15"/>
      <c r="AE57" s="15"/>
      <c r="AF57" s="13"/>
      <c r="AG57" s="15"/>
      <c r="AH57" s="13"/>
      <c r="AI57" s="15"/>
      <c r="AJ57" s="13"/>
    </row>
    <row r="58" spans="1:36" x14ac:dyDescent="0.2">
      <c r="A58" t="s">
        <v>283</v>
      </c>
      <c r="B58">
        <v>190</v>
      </c>
      <c r="C58">
        <v>238</v>
      </c>
      <c r="D58">
        <v>64</v>
      </c>
      <c r="J58" s="38"/>
      <c r="K58" s="40"/>
      <c r="L58" s="40"/>
      <c r="M58" s="40"/>
      <c r="N58" s="40"/>
      <c r="O58" s="40"/>
      <c r="P58" s="26"/>
      <c r="Q58" s="12"/>
      <c r="R58" s="12"/>
      <c r="S58" s="13"/>
      <c r="T58" s="14"/>
      <c r="U58" s="15"/>
      <c r="V58" s="15"/>
      <c r="W58" s="15"/>
      <c r="X58" s="14"/>
      <c r="Y58" s="15"/>
      <c r="Z58" s="13"/>
      <c r="AA58" s="15"/>
      <c r="AB58" s="15"/>
      <c r="AC58" s="15"/>
      <c r="AD58" s="15"/>
      <c r="AE58" s="15"/>
      <c r="AF58" s="13"/>
      <c r="AG58" s="15"/>
      <c r="AH58" s="13"/>
      <c r="AI58" s="15"/>
      <c r="AJ58" s="13"/>
    </row>
    <row r="59" spans="1:36" x14ac:dyDescent="0.2">
      <c r="A59" s="3" t="s">
        <v>284</v>
      </c>
      <c r="J59" s="38"/>
      <c r="K59" s="40"/>
      <c r="L59" s="40"/>
      <c r="M59" s="40"/>
      <c r="N59" s="40"/>
      <c r="O59" s="25"/>
      <c r="P59" s="26"/>
      <c r="Q59" s="12"/>
      <c r="R59" s="12"/>
      <c r="S59" s="13"/>
      <c r="T59" s="14"/>
      <c r="U59" s="15"/>
      <c r="V59" s="15"/>
      <c r="W59" s="15"/>
      <c r="X59" s="14"/>
      <c r="Y59" s="15"/>
      <c r="Z59" s="13"/>
      <c r="AA59" s="15"/>
      <c r="AB59" s="15"/>
      <c r="AC59" s="15"/>
      <c r="AD59" s="15"/>
      <c r="AE59" s="15"/>
      <c r="AF59" s="13"/>
      <c r="AG59" s="15"/>
      <c r="AH59" s="13"/>
      <c r="AI59" s="15"/>
      <c r="AJ59" s="13"/>
    </row>
    <row r="60" spans="1:36" x14ac:dyDescent="0.2">
      <c r="A60" t="s">
        <v>285</v>
      </c>
      <c r="B60">
        <v>116</v>
      </c>
      <c r="C60">
        <v>145</v>
      </c>
      <c r="D60">
        <v>128</v>
      </c>
      <c r="J60" s="38"/>
      <c r="K60" s="40"/>
      <c r="L60" s="40"/>
      <c r="M60" s="40"/>
      <c r="N60" s="40"/>
      <c r="O60" s="25"/>
      <c r="P60" s="26"/>
      <c r="Q60" s="12"/>
      <c r="R60" s="12"/>
      <c r="S60" s="13"/>
      <c r="T60" s="14"/>
      <c r="U60" s="15"/>
      <c r="V60" s="15"/>
      <c r="W60" s="15"/>
      <c r="X60" s="14"/>
      <c r="Y60" s="15"/>
      <c r="Z60" s="13"/>
      <c r="AA60" s="15"/>
      <c r="AB60" s="15"/>
      <c r="AC60" s="15"/>
      <c r="AD60" s="15"/>
      <c r="AE60" s="15"/>
      <c r="AF60" s="13"/>
      <c r="AG60" s="15"/>
      <c r="AH60" s="13"/>
      <c r="AI60" s="15"/>
      <c r="AJ60" s="13"/>
    </row>
    <row r="61" spans="1:36" x14ac:dyDescent="0.2">
      <c r="A61" t="s">
        <v>286</v>
      </c>
      <c r="B61">
        <v>120</v>
      </c>
      <c r="C61">
        <v>150</v>
      </c>
      <c r="D61">
        <v>113</v>
      </c>
      <c r="J61" s="38"/>
      <c r="K61" s="40"/>
      <c r="L61" s="40"/>
      <c r="M61" s="40"/>
      <c r="N61" s="40"/>
      <c r="O61" s="25"/>
      <c r="P61" s="26"/>
      <c r="Q61" s="12"/>
      <c r="R61" s="12"/>
      <c r="S61" s="13"/>
      <c r="T61" s="14"/>
      <c r="U61" s="15"/>
      <c r="V61" s="15"/>
      <c r="W61" s="15"/>
      <c r="X61" s="14"/>
      <c r="Y61" s="15"/>
      <c r="Z61" s="13"/>
      <c r="AA61" s="15"/>
      <c r="AB61" s="15"/>
      <c r="AC61" s="15"/>
      <c r="AD61" s="15"/>
      <c r="AE61" s="15"/>
      <c r="AF61" s="13"/>
      <c r="AG61" s="15"/>
      <c r="AH61" s="13"/>
      <c r="AI61" s="15"/>
      <c r="AJ61" s="13"/>
    </row>
    <row r="62" spans="1:36" x14ac:dyDescent="0.2">
      <c r="A62" s="3" t="s">
        <v>287</v>
      </c>
      <c r="J62" s="38"/>
      <c r="K62" s="40"/>
      <c r="L62" s="40"/>
      <c r="M62" s="40"/>
      <c r="N62" s="40"/>
      <c r="O62" s="25"/>
      <c r="P62" s="26"/>
      <c r="Q62" s="12"/>
      <c r="R62" s="12"/>
      <c r="S62" s="13"/>
      <c r="T62" s="14"/>
      <c r="U62" s="15"/>
      <c r="V62" s="15"/>
      <c r="W62" s="15"/>
      <c r="X62" s="14"/>
      <c r="Y62" s="15"/>
      <c r="Z62" s="13"/>
      <c r="AA62" s="15"/>
      <c r="AB62" s="15"/>
      <c r="AC62" s="15"/>
      <c r="AD62" s="15"/>
      <c r="AE62" s="15"/>
      <c r="AF62" s="13"/>
      <c r="AG62" s="15"/>
      <c r="AH62" s="13"/>
      <c r="AI62" s="15"/>
      <c r="AJ62" s="13"/>
    </row>
    <row r="63" spans="1:36" x14ac:dyDescent="0.2">
      <c r="A63" t="s">
        <v>275</v>
      </c>
      <c r="B63">
        <v>25</v>
      </c>
      <c r="C63">
        <v>31</v>
      </c>
      <c r="D63">
        <v>31</v>
      </c>
      <c r="J63" s="38"/>
      <c r="K63" s="40"/>
      <c r="L63" s="40"/>
      <c r="M63" s="40"/>
      <c r="N63" s="40"/>
      <c r="O63" s="25"/>
      <c r="P63" s="26"/>
      <c r="Q63" s="12"/>
      <c r="R63" s="12"/>
      <c r="S63" s="13"/>
      <c r="T63" s="14"/>
      <c r="U63" s="15"/>
      <c r="V63" s="15"/>
      <c r="W63" s="15"/>
      <c r="X63" s="14"/>
      <c r="Y63" s="15"/>
      <c r="Z63" s="13"/>
      <c r="AA63" s="15"/>
      <c r="AB63" s="15"/>
      <c r="AC63" s="15"/>
      <c r="AD63" s="15"/>
      <c r="AE63" s="15"/>
      <c r="AF63" s="13"/>
      <c r="AG63" s="15"/>
      <c r="AH63" s="13"/>
      <c r="AI63" s="15"/>
      <c r="AJ63" s="13"/>
    </row>
    <row r="64" spans="1:36" x14ac:dyDescent="0.2">
      <c r="A64" t="s">
        <v>275</v>
      </c>
      <c r="B64">
        <v>25</v>
      </c>
      <c r="C64">
        <v>31</v>
      </c>
      <c r="D64">
        <v>31</v>
      </c>
      <c r="J64" s="38"/>
      <c r="K64" s="40"/>
      <c r="L64" s="40"/>
      <c r="M64" s="40"/>
      <c r="N64" s="40"/>
      <c r="O64" s="25"/>
      <c r="P64" s="26"/>
      <c r="Q64" s="12"/>
      <c r="R64" s="12"/>
      <c r="S64" s="13"/>
      <c r="T64" s="14"/>
      <c r="U64" s="15"/>
      <c r="V64" s="15"/>
      <c r="W64" s="15"/>
      <c r="X64" s="14"/>
      <c r="Y64" s="15"/>
      <c r="Z64" s="13"/>
      <c r="AA64" s="15"/>
      <c r="AB64" s="15"/>
      <c r="AC64" s="15"/>
      <c r="AD64" s="15"/>
      <c r="AE64" s="15"/>
      <c r="AF64" s="13"/>
      <c r="AG64" s="15"/>
      <c r="AH64" s="13"/>
      <c r="AI64" s="15"/>
      <c r="AJ64" s="13"/>
    </row>
    <row r="65" spans="1:36" x14ac:dyDescent="0.2">
      <c r="A65" t="s">
        <v>275</v>
      </c>
      <c r="B65">
        <v>92</v>
      </c>
      <c r="C65">
        <v>115</v>
      </c>
      <c r="D65">
        <v>115</v>
      </c>
      <c r="J65" s="38"/>
      <c r="K65" s="40"/>
      <c r="L65" s="40"/>
      <c r="M65" s="40"/>
      <c r="N65" s="40"/>
      <c r="O65" s="40"/>
      <c r="P65" s="26"/>
      <c r="Q65" s="12"/>
      <c r="R65" s="12"/>
      <c r="S65" s="13"/>
      <c r="T65" s="14"/>
      <c r="U65" s="15"/>
      <c r="V65" s="15"/>
      <c r="W65" s="15"/>
      <c r="X65" s="14"/>
      <c r="Y65" s="15"/>
      <c r="Z65" s="13"/>
      <c r="AA65" s="15"/>
      <c r="AB65" s="15"/>
      <c r="AC65" s="15"/>
      <c r="AD65" s="15"/>
      <c r="AE65" s="15"/>
      <c r="AF65" s="13"/>
      <c r="AG65" s="15"/>
      <c r="AH65" s="13"/>
      <c r="AI65" s="15"/>
      <c r="AJ65" s="13"/>
    </row>
    <row r="66" spans="1:36" x14ac:dyDescent="0.2">
      <c r="A66" t="s">
        <v>288</v>
      </c>
      <c r="B66">
        <v>92</v>
      </c>
      <c r="C66">
        <v>115</v>
      </c>
      <c r="D66">
        <v>115</v>
      </c>
      <c r="J66" s="38"/>
      <c r="K66" s="40"/>
      <c r="L66" s="40"/>
      <c r="M66" s="40"/>
      <c r="N66" s="40"/>
      <c r="O66" s="40"/>
      <c r="P66" s="26"/>
      <c r="Q66" s="12"/>
      <c r="R66" s="12"/>
      <c r="S66" s="13"/>
      <c r="T66" s="14"/>
      <c r="U66" s="15"/>
      <c r="V66" s="15"/>
      <c r="W66" s="15"/>
      <c r="X66" s="14"/>
      <c r="Y66" s="15"/>
      <c r="Z66" s="13"/>
      <c r="AA66" s="15"/>
      <c r="AB66" s="15"/>
      <c r="AC66" s="15"/>
      <c r="AD66" s="15"/>
      <c r="AE66" s="15"/>
      <c r="AF66" s="13"/>
      <c r="AG66" s="15"/>
      <c r="AH66" s="13"/>
      <c r="AI66" s="15"/>
      <c r="AJ66" s="13"/>
    </row>
    <row r="67" spans="1:36" x14ac:dyDescent="0.2">
      <c r="A67" t="s">
        <v>275</v>
      </c>
      <c r="B67">
        <v>22</v>
      </c>
      <c r="C67">
        <v>27</v>
      </c>
      <c r="D67">
        <v>27</v>
      </c>
      <c r="J67" s="38"/>
      <c r="K67" s="40"/>
      <c r="L67" s="40"/>
      <c r="M67" s="40"/>
      <c r="N67" s="40"/>
      <c r="O67" s="25"/>
      <c r="P67" s="26"/>
      <c r="Q67" s="12"/>
      <c r="R67" s="12"/>
      <c r="S67" s="13"/>
      <c r="T67" s="14"/>
      <c r="U67" s="15"/>
      <c r="V67" s="15"/>
      <c r="W67" s="15"/>
      <c r="X67" s="14"/>
      <c r="Y67" s="15"/>
      <c r="Z67" s="13"/>
      <c r="AA67" s="15"/>
      <c r="AB67" s="15"/>
      <c r="AC67" s="15"/>
      <c r="AD67" s="15"/>
      <c r="AE67" s="15"/>
      <c r="AF67" s="13"/>
      <c r="AG67" s="15"/>
      <c r="AH67" s="13"/>
      <c r="AI67" s="15"/>
      <c r="AJ67" s="13"/>
    </row>
    <row r="68" spans="1:36" x14ac:dyDescent="0.2">
      <c r="A68" t="s">
        <v>275</v>
      </c>
      <c r="B68">
        <v>22</v>
      </c>
      <c r="C68">
        <v>27</v>
      </c>
      <c r="D68">
        <v>27</v>
      </c>
      <c r="J68" s="38"/>
      <c r="K68" s="40"/>
      <c r="L68" s="40"/>
      <c r="M68" s="40"/>
      <c r="N68" s="40"/>
      <c r="O68" s="25"/>
      <c r="P68" s="26"/>
      <c r="Q68" s="12"/>
      <c r="R68" s="12"/>
      <c r="S68" s="13"/>
      <c r="T68" s="14"/>
      <c r="U68" s="15"/>
      <c r="V68" s="15"/>
      <c r="W68" s="15"/>
      <c r="X68" s="14"/>
      <c r="Y68" s="15"/>
      <c r="Z68" s="13"/>
      <c r="AA68" s="15"/>
      <c r="AB68" s="15"/>
      <c r="AC68" s="15"/>
      <c r="AD68" s="15"/>
      <c r="AE68" s="15"/>
      <c r="AF68" s="13"/>
      <c r="AG68" s="15"/>
      <c r="AH68" s="13"/>
      <c r="AI68" s="15"/>
      <c r="AJ68" s="13"/>
    </row>
    <row r="69" spans="1:36" x14ac:dyDescent="0.2">
      <c r="A69" t="s">
        <v>289</v>
      </c>
      <c r="B69">
        <v>22</v>
      </c>
      <c r="C69">
        <v>27</v>
      </c>
      <c r="D69">
        <v>27</v>
      </c>
      <c r="J69" s="38"/>
      <c r="K69" s="40"/>
      <c r="L69" s="40"/>
      <c r="M69" s="40"/>
      <c r="N69" s="40"/>
      <c r="O69" s="25"/>
      <c r="P69" s="26"/>
      <c r="Q69" s="12"/>
      <c r="R69" s="12"/>
      <c r="S69" s="13"/>
      <c r="T69" s="14"/>
      <c r="U69" s="15"/>
      <c r="V69" s="15"/>
      <c r="W69" s="15"/>
      <c r="X69" s="14"/>
      <c r="Y69" s="15"/>
      <c r="Z69" s="13"/>
      <c r="AA69" s="15"/>
      <c r="AB69" s="15"/>
      <c r="AC69" s="15"/>
      <c r="AD69" s="15"/>
      <c r="AE69" s="15"/>
      <c r="AF69" s="13"/>
      <c r="AG69" s="15"/>
      <c r="AH69" s="13"/>
      <c r="AI69" s="15"/>
      <c r="AJ69" s="13"/>
    </row>
    <row r="70" spans="1:36" x14ac:dyDescent="0.2">
      <c r="A70" t="s">
        <v>275</v>
      </c>
      <c r="B70">
        <v>22</v>
      </c>
      <c r="C70">
        <v>27</v>
      </c>
      <c r="D70">
        <v>27</v>
      </c>
      <c r="J70" s="44"/>
      <c r="K70" s="46"/>
      <c r="L70" s="46"/>
      <c r="M70" s="46"/>
      <c r="N70" s="46"/>
      <c r="O70" s="47"/>
      <c r="P70" s="12"/>
      <c r="Q70" s="12"/>
      <c r="R70" s="12"/>
      <c r="S70" s="13"/>
      <c r="T70" s="14"/>
      <c r="U70" s="15"/>
      <c r="V70" s="15"/>
      <c r="W70" s="15"/>
      <c r="X70" s="14"/>
      <c r="Y70" s="15"/>
      <c r="Z70" s="13"/>
      <c r="AA70" s="15"/>
      <c r="AB70" s="15"/>
      <c r="AC70" s="15"/>
      <c r="AD70" s="15"/>
      <c r="AE70" s="15"/>
      <c r="AF70" s="13"/>
      <c r="AG70" s="15"/>
      <c r="AH70" s="13"/>
      <c r="AI70" s="15"/>
      <c r="AJ70" s="13"/>
    </row>
    <row r="71" spans="1:36" x14ac:dyDescent="0.2">
      <c r="A71" s="3" t="s">
        <v>290</v>
      </c>
      <c r="J71" s="12"/>
      <c r="K71" s="47"/>
      <c r="L71" s="47"/>
      <c r="M71" s="47"/>
      <c r="N71" s="47"/>
      <c r="O71" s="47"/>
      <c r="P71" s="12"/>
      <c r="Q71" s="12"/>
      <c r="R71" s="12"/>
      <c r="S71" s="13"/>
      <c r="T71" s="14"/>
      <c r="U71" s="15"/>
      <c r="V71" s="15"/>
      <c r="W71" s="15"/>
      <c r="X71" s="14"/>
      <c r="Y71" s="15"/>
      <c r="Z71" s="13"/>
      <c r="AA71" s="15"/>
      <c r="AB71" s="15"/>
      <c r="AC71" s="15"/>
      <c r="AD71" s="15"/>
      <c r="AE71" s="15"/>
      <c r="AF71" s="13"/>
      <c r="AG71" s="15"/>
      <c r="AH71" s="13"/>
      <c r="AI71" s="15"/>
      <c r="AJ71" s="13"/>
    </row>
    <row r="72" spans="1:36" x14ac:dyDescent="0.2">
      <c r="A72" t="s">
        <v>275</v>
      </c>
      <c r="B72">
        <v>22</v>
      </c>
      <c r="C72">
        <v>27</v>
      </c>
      <c r="D72">
        <v>27</v>
      </c>
      <c r="J72" s="12"/>
      <c r="K72" s="47"/>
      <c r="L72" s="47"/>
      <c r="M72" s="47"/>
      <c r="N72" s="47"/>
      <c r="O72" s="47"/>
      <c r="P72" s="12"/>
      <c r="Q72" s="12"/>
      <c r="R72" s="12"/>
      <c r="S72" s="13"/>
      <c r="T72" s="14"/>
      <c r="U72" s="15"/>
      <c r="V72" s="15"/>
      <c r="W72" s="15"/>
      <c r="X72" s="14"/>
      <c r="Y72" s="15"/>
      <c r="Z72" s="13"/>
      <c r="AA72" s="15"/>
      <c r="AB72" s="15"/>
      <c r="AC72" s="15"/>
      <c r="AD72" s="15"/>
      <c r="AE72" s="15"/>
      <c r="AF72" s="13"/>
      <c r="AG72" s="15"/>
      <c r="AH72" s="13"/>
      <c r="AI72" s="15"/>
      <c r="AJ72" s="13"/>
    </row>
    <row r="73" spans="1:36" x14ac:dyDescent="0.2">
      <c r="A73" t="s">
        <v>275</v>
      </c>
      <c r="B73">
        <v>22</v>
      </c>
      <c r="C73">
        <v>27</v>
      </c>
      <c r="D73">
        <v>27</v>
      </c>
      <c r="J73" s="12"/>
      <c r="K73" s="47"/>
      <c r="L73" s="47"/>
      <c r="M73" s="47"/>
      <c r="N73" s="47"/>
      <c r="O73" s="47"/>
      <c r="P73" s="12"/>
      <c r="Q73" s="12"/>
      <c r="R73" s="12"/>
      <c r="S73" s="13"/>
      <c r="T73" s="14"/>
      <c r="U73" s="15"/>
      <c r="V73" s="15"/>
      <c r="W73" s="15"/>
      <c r="X73" s="14"/>
      <c r="Y73" s="15"/>
      <c r="Z73" s="13"/>
      <c r="AA73" s="15"/>
      <c r="AB73" s="15"/>
      <c r="AC73" s="15"/>
      <c r="AD73" s="15"/>
      <c r="AE73" s="15"/>
      <c r="AF73" s="13"/>
      <c r="AG73" s="15"/>
      <c r="AH73" s="13"/>
      <c r="AI73" s="15"/>
      <c r="AJ73" s="13"/>
    </row>
    <row r="74" spans="1:36" ht="13.5" thickBot="1" x14ac:dyDescent="0.25">
      <c r="A74" t="s">
        <v>289</v>
      </c>
      <c r="B74">
        <v>22</v>
      </c>
      <c r="C74">
        <v>27</v>
      </c>
      <c r="D74">
        <v>27</v>
      </c>
      <c r="J74" s="12"/>
      <c r="K74" s="47"/>
      <c r="L74" s="47"/>
      <c r="M74" s="47"/>
      <c r="N74" s="47"/>
      <c r="O74" s="47"/>
      <c r="P74" s="12"/>
      <c r="Q74" s="12"/>
      <c r="R74" s="12"/>
      <c r="S74" s="13"/>
      <c r="T74" s="14"/>
      <c r="U74" s="15"/>
      <c r="V74" s="15"/>
      <c r="W74" s="15"/>
      <c r="X74" s="14"/>
      <c r="Y74" s="15"/>
      <c r="Z74" s="13"/>
      <c r="AA74" s="15"/>
      <c r="AB74" s="15"/>
      <c r="AC74" s="15"/>
      <c r="AD74" s="15"/>
      <c r="AE74" s="15"/>
      <c r="AF74" s="13"/>
      <c r="AG74" s="15"/>
      <c r="AH74" s="13"/>
      <c r="AI74" s="15"/>
      <c r="AJ74" s="13"/>
    </row>
    <row r="75" spans="1:36" x14ac:dyDescent="0.2">
      <c r="A75" t="s">
        <v>275</v>
      </c>
      <c r="B75">
        <v>22</v>
      </c>
      <c r="C75">
        <v>27</v>
      </c>
      <c r="D75">
        <v>27</v>
      </c>
      <c r="J75" s="21"/>
      <c r="K75" s="24"/>
      <c r="L75" s="24"/>
      <c r="M75" s="24"/>
      <c r="N75" s="24"/>
      <c r="O75" s="25"/>
      <c r="P75" s="26"/>
      <c r="Q75" s="12"/>
      <c r="R75" s="12"/>
      <c r="S75" s="13"/>
      <c r="T75" s="14"/>
      <c r="U75" s="15"/>
      <c r="V75" s="15"/>
      <c r="W75" s="15"/>
      <c r="X75" s="14"/>
      <c r="Y75" s="15"/>
      <c r="Z75" s="13"/>
      <c r="AA75" s="15"/>
      <c r="AB75" s="15"/>
      <c r="AC75" s="15"/>
      <c r="AD75" s="15"/>
      <c r="AE75" s="15"/>
      <c r="AF75" s="13"/>
      <c r="AG75" s="15"/>
      <c r="AH75" s="13"/>
      <c r="AI75" s="15"/>
      <c r="AJ75" s="13"/>
    </row>
    <row r="76" spans="1:36" x14ac:dyDescent="0.2">
      <c r="A76" t="s">
        <v>291</v>
      </c>
      <c r="B76">
        <v>22</v>
      </c>
      <c r="C76">
        <v>27</v>
      </c>
      <c r="D76">
        <v>27</v>
      </c>
      <c r="J76" s="44"/>
      <c r="K76" s="46"/>
      <c r="L76" s="46"/>
      <c r="M76" s="46"/>
      <c r="N76" s="46"/>
      <c r="O76" s="25"/>
      <c r="P76" s="26"/>
      <c r="Q76" s="12"/>
      <c r="R76" s="12"/>
      <c r="S76" s="13"/>
      <c r="T76" s="14"/>
      <c r="U76" s="15"/>
      <c r="V76" s="15"/>
      <c r="W76" s="15"/>
      <c r="X76" s="14"/>
      <c r="Y76" s="15"/>
      <c r="Z76" s="13"/>
      <c r="AA76" s="15"/>
      <c r="AB76" s="15"/>
      <c r="AC76" s="15"/>
      <c r="AD76" s="15"/>
      <c r="AE76" s="15"/>
      <c r="AF76" s="13"/>
      <c r="AG76" s="15"/>
      <c r="AH76" s="13"/>
      <c r="AI76" s="15"/>
      <c r="AJ76" s="13"/>
    </row>
    <row r="77" spans="1:36" x14ac:dyDescent="0.2">
      <c r="A77" t="s">
        <v>275</v>
      </c>
      <c r="B77">
        <v>22</v>
      </c>
      <c r="C77">
        <v>27</v>
      </c>
      <c r="D77">
        <v>27</v>
      </c>
      <c r="J77" s="44"/>
      <c r="K77" s="46"/>
      <c r="L77" s="46"/>
      <c r="M77" s="46"/>
      <c r="N77" s="46"/>
      <c r="O77" s="25"/>
      <c r="P77" s="26"/>
      <c r="Q77" s="12"/>
      <c r="R77" s="12"/>
      <c r="S77" s="13"/>
      <c r="T77" s="14"/>
      <c r="U77" s="15"/>
      <c r="V77" s="15"/>
      <c r="W77" s="15"/>
      <c r="X77" s="14"/>
      <c r="Y77" s="15"/>
      <c r="Z77" s="13"/>
      <c r="AA77" s="15"/>
      <c r="AB77" s="15"/>
      <c r="AC77" s="15"/>
      <c r="AD77" s="15"/>
      <c r="AE77" s="15"/>
      <c r="AF77" s="13"/>
      <c r="AG77" s="15"/>
      <c r="AH77" s="13"/>
      <c r="AI77" s="15"/>
      <c r="AJ77" s="13"/>
    </row>
    <row r="78" spans="1:36" x14ac:dyDescent="0.2">
      <c r="A78" t="s">
        <v>289</v>
      </c>
      <c r="B78">
        <v>22</v>
      </c>
      <c r="C78">
        <v>28</v>
      </c>
      <c r="D78">
        <v>28</v>
      </c>
      <c r="J78" s="44"/>
      <c r="K78" s="46"/>
      <c r="L78" s="46"/>
      <c r="M78" s="46"/>
      <c r="N78" s="46"/>
      <c r="O78" s="25"/>
      <c r="P78" s="26"/>
      <c r="Q78" s="12"/>
      <c r="R78" s="12"/>
      <c r="S78" s="13"/>
      <c r="T78" s="14"/>
      <c r="U78" s="15"/>
      <c r="V78" s="15"/>
      <c r="W78" s="15"/>
      <c r="X78" s="14"/>
      <c r="Y78" s="15"/>
      <c r="Z78" s="13"/>
      <c r="AA78" s="15"/>
      <c r="AB78" s="15"/>
      <c r="AC78" s="15"/>
      <c r="AD78" s="15"/>
      <c r="AE78" s="15"/>
      <c r="AF78" s="13"/>
      <c r="AG78" s="15"/>
      <c r="AH78" s="13"/>
      <c r="AI78" s="15"/>
      <c r="AJ78" s="13"/>
    </row>
    <row r="79" spans="1:36" x14ac:dyDescent="0.2">
      <c r="A79" s="3" t="s">
        <v>292</v>
      </c>
      <c r="J79" s="44"/>
      <c r="K79" s="46"/>
      <c r="L79" s="46"/>
      <c r="M79" s="46"/>
      <c r="N79" s="46"/>
      <c r="O79" s="25"/>
      <c r="P79" s="26"/>
      <c r="Q79" s="12"/>
      <c r="R79" s="12"/>
      <c r="S79" s="13"/>
      <c r="T79" s="14"/>
      <c r="U79" s="15"/>
      <c r="V79" s="15"/>
      <c r="W79" s="15"/>
      <c r="X79" s="14"/>
      <c r="Y79" s="15"/>
      <c r="Z79" s="13"/>
      <c r="AA79" s="15"/>
      <c r="AB79" s="15"/>
      <c r="AC79" s="15"/>
      <c r="AD79" s="15"/>
      <c r="AE79" s="15"/>
      <c r="AF79" s="13"/>
      <c r="AG79" s="15"/>
      <c r="AH79" s="13"/>
      <c r="AI79" s="15"/>
      <c r="AJ79" s="13"/>
    </row>
    <row r="80" spans="1:36" x14ac:dyDescent="0.2">
      <c r="A80" t="s">
        <v>275</v>
      </c>
      <c r="B80">
        <v>60</v>
      </c>
      <c r="C80">
        <v>75</v>
      </c>
      <c r="D80">
        <v>75</v>
      </c>
      <c r="J80" s="44"/>
      <c r="K80" s="46"/>
      <c r="L80" s="46"/>
      <c r="M80" s="46"/>
      <c r="N80" s="46"/>
      <c r="O80" s="25"/>
      <c r="P80" s="26"/>
      <c r="Q80" s="12"/>
      <c r="R80" s="12"/>
      <c r="S80" s="13"/>
      <c r="T80" s="14"/>
      <c r="U80" s="15"/>
      <c r="V80" s="15"/>
      <c r="W80" s="15"/>
      <c r="X80" s="14"/>
      <c r="Y80" s="15"/>
      <c r="Z80" s="13"/>
      <c r="AA80" s="15"/>
      <c r="AB80" s="15"/>
      <c r="AC80" s="15"/>
      <c r="AD80" s="15"/>
      <c r="AE80" s="15"/>
      <c r="AF80" s="13"/>
      <c r="AG80" s="15"/>
      <c r="AH80" s="13"/>
      <c r="AI80" s="15"/>
      <c r="AJ80" s="13"/>
    </row>
    <row r="81" spans="1:36" x14ac:dyDescent="0.2">
      <c r="A81" t="s">
        <v>275</v>
      </c>
      <c r="B81">
        <v>60</v>
      </c>
      <c r="C81">
        <v>75</v>
      </c>
      <c r="D81">
        <v>75</v>
      </c>
      <c r="J81" s="44"/>
      <c r="K81" s="46"/>
      <c r="L81" s="46"/>
      <c r="M81" s="46"/>
      <c r="N81" s="46"/>
      <c r="O81" s="25"/>
      <c r="P81" s="26"/>
      <c r="Q81" s="12"/>
      <c r="R81" s="12"/>
      <c r="S81" s="13"/>
      <c r="T81" s="14"/>
      <c r="U81" s="15"/>
      <c r="V81" s="15"/>
      <c r="W81" s="15"/>
      <c r="X81" s="14"/>
      <c r="Y81" s="15"/>
      <c r="Z81" s="13"/>
      <c r="AA81" s="15"/>
      <c r="AB81" s="15"/>
      <c r="AC81" s="15"/>
      <c r="AD81" s="15"/>
      <c r="AE81" s="15"/>
      <c r="AF81" s="13"/>
      <c r="AG81" s="15"/>
      <c r="AH81" s="13"/>
      <c r="AI81" s="15"/>
      <c r="AJ81" s="13"/>
    </row>
    <row r="82" spans="1:36" s="168" customFormat="1" ht="13.5" thickBot="1" x14ac:dyDescent="0.25">
      <c r="F82" s="168">
        <f>SUM(B3:B81)</f>
        <v>4403</v>
      </c>
      <c r="G82" s="181">
        <f>F82+F83</f>
        <v>9097</v>
      </c>
      <c r="J82" s="169"/>
      <c r="K82" s="170"/>
      <c r="L82" s="170"/>
      <c r="M82" s="171"/>
      <c r="N82" s="171"/>
      <c r="O82" s="172"/>
      <c r="P82" s="173"/>
      <c r="Q82" s="174"/>
      <c r="R82" s="174"/>
      <c r="S82" s="175"/>
      <c r="T82" s="176"/>
      <c r="U82" s="177"/>
      <c r="V82" s="177"/>
      <c r="W82" s="177"/>
      <c r="X82" s="176"/>
      <c r="Y82" s="177"/>
      <c r="Z82" s="175"/>
      <c r="AA82" s="177"/>
      <c r="AB82" s="177"/>
      <c r="AC82" s="177"/>
      <c r="AD82" s="177"/>
      <c r="AE82" s="177"/>
      <c r="AF82" s="175"/>
      <c r="AG82" s="177"/>
      <c r="AH82" s="175"/>
      <c r="AI82" s="177"/>
      <c r="AJ82" s="175"/>
    </row>
    <row r="83" spans="1:36" x14ac:dyDescent="0.2">
      <c r="A83" s="167" t="s">
        <v>293</v>
      </c>
      <c r="B83" s="6"/>
      <c r="C83" s="27"/>
      <c r="D83" s="28"/>
      <c r="E83" s="26"/>
      <c r="F83" s="180">
        <f>SUM(B87:B121)</f>
        <v>4694</v>
      </c>
      <c r="G83" s="30"/>
      <c r="H83" s="26"/>
      <c r="I83" s="31"/>
      <c r="J83" s="12"/>
      <c r="K83" s="47"/>
      <c r="L83" s="47"/>
      <c r="M83" s="50"/>
      <c r="N83" s="50"/>
      <c r="O83" s="25"/>
      <c r="P83" s="26"/>
      <c r="Q83" s="12"/>
      <c r="R83" s="12"/>
      <c r="S83" s="13"/>
      <c r="T83" s="14"/>
      <c r="U83" s="15"/>
      <c r="V83" s="15"/>
      <c r="W83" s="15"/>
      <c r="X83" s="14"/>
      <c r="Y83" s="15"/>
      <c r="Z83" s="13"/>
      <c r="AA83" s="15"/>
      <c r="AB83" s="15"/>
      <c r="AC83" s="15"/>
      <c r="AD83" s="15"/>
      <c r="AE83" s="15"/>
      <c r="AF83" s="13"/>
      <c r="AG83" s="15"/>
      <c r="AH83" s="13"/>
      <c r="AI83" s="15"/>
      <c r="AJ83" s="13"/>
    </row>
    <row r="84" spans="1:36" ht="25.5" x14ac:dyDescent="0.2">
      <c r="A84" s="1" t="s">
        <v>830</v>
      </c>
      <c r="B84" s="1" t="s">
        <v>260</v>
      </c>
      <c r="C84" s="1" t="s">
        <v>261</v>
      </c>
      <c r="D84" s="1" t="s">
        <v>262</v>
      </c>
      <c r="E84" s="1"/>
      <c r="F84" s="37"/>
      <c r="G84" s="39"/>
      <c r="H84" s="38"/>
      <c r="I84" s="35"/>
      <c r="J84" s="38"/>
      <c r="K84" s="40"/>
      <c r="L84" s="40"/>
      <c r="M84" s="40"/>
      <c r="N84" s="40"/>
      <c r="O84" s="25"/>
      <c r="P84" s="26"/>
      <c r="Q84" s="12"/>
      <c r="R84" s="12"/>
      <c r="S84" s="13"/>
      <c r="T84" s="14"/>
      <c r="U84" s="15"/>
      <c r="V84" s="15"/>
      <c r="W84" s="15"/>
      <c r="X84" s="14"/>
      <c r="Y84" s="15"/>
      <c r="Z84" s="13"/>
      <c r="AA84" s="15"/>
      <c r="AB84" s="15"/>
      <c r="AC84" s="15"/>
      <c r="AD84" s="15"/>
      <c r="AE84" s="15"/>
      <c r="AF84" s="13"/>
      <c r="AG84" s="15"/>
      <c r="AH84" s="13"/>
      <c r="AI84" s="15"/>
      <c r="AJ84" s="13"/>
    </row>
    <row r="85" spans="1:36" x14ac:dyDescent="0.2">
      <c r="F85" s="29"/>
      <c r="G85" s="30"/>
      <c r="H85" s="26"/>
      <c r="I85" s="31"/>
      <c r="J85" s="26"/>
      <c r="K85" s="25"/>
      <c r="L85" s="25"/>
      <c r="M85" s="25"/>
      <c r="N85" s="25"/>
      <c r="O85" s="25"/>
      <c r="P85" s="26"/>
      <c r="Q85" s="12"/>
      <c r="R85" s="12"/>
      <c r="S85" s="13"/>
      <c r="T85" s="14"/>
      <c r="U85" s="15"/>
      <c r="V85" s="15"/>
      <c r="W85" s="15"/>
      <c r="X85" s="14"/>
      <c r="Y85" s="15"/>
      <c r="Z85" s="13"/>
      <c r="AA85" s="15"/>
      <c r="AB85" s="15"/>
      <c r="AC85" s="15"/>
      <c r="AD85" s="15"/>
      <c r="AE85" s="15"/>
      <c r="AF85" s="13"/>
      <c r="AG85" s="15"/>
      <c r="AH85" s="13"/>
      <c r="AI85" s="15"/>
      <c r="AJ85" s="13"/>
    </row>
    <row r="86" spans="1:36" x14ac:dyDescent="0.2">
      <c r="A86" s="3" t="s">
        <v>294</v>
      </c>
      <c r="F86" s="37"/>
      <c r="G86" s="39"/>
      <c r="H86" s="38"/>
      <c r="I86" s="35"/>
      <c r="J86" s="38"/>
      <c r="K86" s="40"/>
      <c r="L86" s="40"/>
      <c r="M86" s="40"/>
      <c r="N86" s="40"/>
      <c r="O86" s="25"/>
      <c r="P86" s="26"/>
      <c r="Q86" s="12"/>
      <c r="R86" s="12"/>
      <c r="S86" s="13"/>
      <c r="T86" s="14"/>
      <c r="U86" s="15"/>
      <c r="V86" s="15"/>
      <c r="W86" s="15"/>
      <c r="X86" s="14"/>
      <c r="Y86" s="15"/>
      <c r="Z86" s="13"/>
      <c r="AA86" s="15"/>
      <c r="AB86" s="15"/>
      <c r="AC86" s="15"/>
      <c r="AD86" s="15"/>
      <c r="AE86" s="15"/>
      <c r="AF86" s="13"/>
      <c r="AG86" s="15"/>
      <c r="AH86" s="13"/>
      <c r="AI86" s="15"/>
      <c r="AJ86" s="13"/>
    </row>
    <row r="87" spans="1:36" x14ac:dyDescent="0.2">
      <c r="A87" t="s">
        <v>295</v>
      </c>
      <c r="B87">
        <v>567</v>
      </c>
      <c r="C87">
        <v>709</v>
      </c>
      <c r="D87">
        <v>379</v>
      </c>
      <c r="F87" s="37"/>
      <c r="G87" s="39"/>
      <c r="H87" s="38"/>
      <c r="I87" s="35"/>
      <c r="J87" s="38"/>
      <c r="K87" s="40"/>
      <c r="L87" s="40"/>
      <c r="M87" s="40"/>
      <c r="N87" s="40"/>
      <c r="O87" s="25"/>
      <c r="P87" s="26"/>
      <c r="Q87" s="12"/>
      <c r="R87" s="12"/>
      <c r="S87" s="13"/>
      <c r="T87" s="14"/>
      <c r="U87" s="15"/>
      <c r="V87" s="15"/>
      <c r="W87" s="15"/>
      <c r="X87" s="14"/>
      <c r="Y87" s="15"/>
      <c r="Z87" s="13"/>
      <c r="AA87" s="15"/>
      <c r="AB87" s="15"/>
      <c r="AC87" s="15"/>
      <c r="AD87" s="15"/>
      <c r="AE87" s="15"/>
      <c r="AF87" s="13"/>
      <c r="AG87" s="15"/>
      <c r="AH87" s="13"/>
      <c r="AI87" s="15"/>
      <c r="AJ87" s="13"/>
    </row>
    <row r="88" spans="1:36" x14ac:dyDescent="0.2">
      <c r="A88" t="s">
        <v>296</v>
      </c>
      <c r="B88">
        <v>20</v>
      </c>
      <c r="C88">
        <v>25</v>
      </c>
      <c r="D88">
        <v>25</v>
      </c>
      <c r="F88" s="37"/>
      <c r="G88" s="39"/>
      <c r="H88" s="38"/>
      <c r="I88" s="35"/>
      <c r="J88" s="38"/>
      <c r="K88" s="40"/>
      <c r="L88" s="40"/>
      <c r="M88" s="40"/>
      <c r="N88" s="40"/>
      <c r="O88" s="25"/>
      <c r="P88" s="26"/>
      <c r="Q88" s="12"/>
      <c r="R88" s="12"/>
      <c r="S88" s="13"/>
      <c r="T88" s="14"/>
      <c r="U88" s="15"/>
      <c r="V88" s="15"/>
      <c r="W88" s="15"/>
      <c r="X88" s="14"/>
      <c r="Y88" s="15"/>
      <c r="Z88" s="13"/>
      <c r="AA88" s="15"/>
      <c r="AB88" s="15"/>
      <c r="AC88" s="15"/>
      <c r="AD88" s="15"/>
      <c r="AE88" s="15"/>
      <c r="AF88" s="13"/>
      <c r="AG88" s="15"/>
      <c r="AH88" s="13"/>
      <c r="AI88" s="15"/>
      <c r="AJ88" s="13"/>
    </row>
    <row r="89" spans="1:36" x14ac:dyDescent="0.2">
      <c r="A89" s="3" t="s">
        <v>297</v>
      </c>
      <c r="F89" s="37"/>
      <c r="G89" s="39"/>
      <c r="H89" s="38"/>
      <c r="I89" s="35"/>
      <c r="J89" s="38"/>
      <c r="K89" s="40"/>
      <c r="L89" s="40"/>
      <c r="M89" s="40"/>
      <c r="N89" s="40"/>
      <c r="O89" s="25"/>
      <c r="P89" s="26"/>
      <c r="Q89" s="12"/>
      <c r="R89" s="12"/>
      <c r="S89" s="13"/>
      <c r="T89" s="14"/>
      <c r="U89" s="15"/>
      <c r="V89" s="15"/>
      <c r="W89" s="15"/>
      <c r="X89" s="14"/>
      <c r="Y89" s="15"/>
      <c r="Z89" s="13"/>
      <c r="AA89" s="15"/>
      <c r="AB89" s="15"/>
      <c r="AC89" s="15"/>
      <c r="AD89" s="15"/>
      <c r="AE89" s="15"/>
      <c r="AF89" s="13"/>
      <c r="AG89" s="15"/>
      <c r="AH89" s="13"/>
      <c r="AI89" s="15"/>
      <c r="AJ89" s="13"/>
    </row>
    <row r="90" spans="1:36" x14ac:dyDescent="0.2">
      <c r="A90" t="s">
        <v>298</v>
      </c>
      <c r="B90">
        <v>212</v>
      </c>
      <c r="C90">
        <v>265</v>
      </c>
      <c r="D90">
        <v>141</v>
      </c>
      <c r="F90" s="37"/>
      <c r="G90" s="39"/>
      <c r="H90" s="38"/>
      <c r="I90" s="35"/>
      <c r="J90" s="38"/>
      <c r="K90" s="40"/>
      <c r="L90" s="40"/>
      <c r="M90" s="40"/>
      <c r="N90" s="40"/>
      <c r="O90" s="25"/>
      <c r="P90" s="26"/>
      <c r="Q90" s="12"/>
      <c r="R90" s="12"/>
      <c r="S90" s="13"/>
      <c r="T90" s="14"/>
      <c r="U90" s="15"/>
      <c r="V90" s="15"/>
      <c r="W90" s="15"/>
      <c r="X90" s="14"/>
      <c r="Y90" s="15"/>
      <c r="Z90" s="13"/>
      <c r="AA90" s="15"/>
      <c r="AB90" s="15"/>
      <c r="AC90" s="15"/>
      <c r="AD90" s="15"/>
      <c r="AE90" s="15"/>
      <c r="AF90" s="13"/>
      <c r="AG90" s="15"/>
      <c r="AH90" s="13"/>
      <c r="AI90" s="15"/>
      <c r="AJ90" s="13"/>
    </row>
    <row r="91" spans="1:36" x14ac:dyDescent="0.2">
      <c r="A91" t="s">
        <v>298</v>
      </c>
      <c r="B91">
        <v>187</v>
      </c>
      <c r="C91">
        <v>234</v>
      </c>
      <c r="D91">
        <v>125</v>
      </c>
      <c r="F91" s="37"/>
      <c r="G91" s="39"/>
      <c r="H91" s="38"/>
      <c r="I91" s="35"/>
      <c r="J91" s="38"/>
      <c r="K91" s="40"/>
      <c r="L91" s="40"/>
      <c r="M91" s="40"/>
      <c r="N91" s="40"/>
      <c r="O91" s="25"/>
      <c r="P91" s="26"/>
      <c r="Q91" s="12"/>
      <c r="R91" s="12"/>
      <c r="S91" s="13"/>
      <c r="T91" s="14"/>
      <c r="U91" s="15"/>
      <c r="V91" s="15"/>
      <c r="W91" s="15"/>
      <c r="X91" s="14"/>
      <c r="Y91" s="15"/>
      <c r="Z91" s="13"/>
      <c r="AA91" s="15"/>
      <c r="AB91" s="15"/>
      <c r="AC91" s="15"/>
      <c r="AD91" s="15"/>
      <c r="AE91" s="15"/>
      <c r="AF91" s="13"/>
      <c r="AG91" s="15"/>
      <c r="AH91" s="13"/>
      <c r="AI91" s="15"/>
      <c r="AJ91" s="13"/>
    </row>
    <row r="92" spans="1:36" x14ac:dyDescent="0.2">
      <c r="A92" t="s">
        <v>298</v>
      </c>
      <c r="B92">
        <v>358</v>
      </c>
      <c r="C92">
        <v>447</v>
      </c>
      <c r="D92">
        <v>239</v>
      </c>
      <c r="F92" s="37"/>
      <c r="G92" s="39"/>
      <c r="H92" s="44"/>
      <c r="I92" s="45"/>
      <c r="J92" s="38"/>
      <c r="K92" s="40"/>
      <c r="L92" s="40"/>
      <c r="M92" s="40"/>
      <c r="N92" s="40"/>
      <c r="O92" s="25"/>
      <c r="P92" s="26"/>
      <c r="Q92" s="12"/>
      <c r="R92" s="12"/>
      <c r="S92" s="13"/>
      <c r="T92" s="14"/>
      <c r="U92" s="15"/>
      <c r="V92" s="15"/>
      <c r="W92" s="15"/>
      <c r="X92" s="14"/>
      <c r="Y92" s="15"/>
      <c r="Z92" s="13"/>
      <c r="AA92" s="15"/>
      <c r="AB92" s="15"/>
      <c r="AC92" s="15"/>
      <c r="AD92" s="15"/>
      <c r="AE92" s="15"/>
      <c r="AF92" s="13"/>
      <c r="AG92" s="15"/>
      <c r="AH92" s="13"/>
      <c r="AI92" s="15"/>
      <c r="AJ92" s="13"/>
    </row>
    <row r="93" spans="1:36" x14ac:dyDescent="0.2">
      <c r="A93" t="s">
        <v>299</v>
      </c>
      <c r="B93">
        <v>365</v>
      </c>
      <c r="C93">
        <v>456</v>
      </c>
      <c r="D93">
        <v>244</v>
      </c>
      <c r="F93" s="37"/>
      <c r="G93" s="30"/>
      <c r="H93" s="26"/>
      <c r="I93" s="35"/>
      <c r="J93" s="38"/>
      <c r="K93" s="40"/>
      <c r="L93" s="40"/>
      <c r="M93" s="40"/>
      <c r="N93" s="40"/>
      <c r="O93" s="25"/>
      <c r="P93" s="26"/>
      <c r="Q93" s="12"/>
      <c r="R93" s="12"/>
      <c r="S93" s="13"/>
      <c r="T93" s="14"/>
      <c r="U93" s="15"/>
      <c r="V93" s="15"/>
      <c r="W93" s="15"/>
      <c r="X93" s="14"/>
      <c r="Y93" s="15"/>
      <c r="Z93" s="13"/>
      <c r="AA93" s="15"/>
      <c r="AB93" s="15"/>
      <c r="AC93" s="15"/>
      <c r="AD93" s="15"/>
      <c r="AE93" s="15"/>
      <c r="AF93" s="13"/>
      <c r="AG93" s="15"/>
      <c r="AH93" s="13"/>
      <c r="AI93" s="15"/>
      <c r="AJ93" s="13"/>
    </row>
    <row r="94" spans="1:36" x14ac:dyDescent="0.2">
      <c r="A94" t="s">
        <v>300</v>
      </c>
      <c r="B94">
        <v>135</v>
      </c>
      <c r="C94">
        <v>169</v>
      </c>
      <c r="D94">
        <v>90</v>
      </c>
      <c r="F94" s="37"/>
      <c r="G94" s="39"/>
      <c r="H94" s="38"/>
      <c r="I94" s="35"/>
      <c r="J94" s="38"/>
      <c r="K94" s="40"/>
      <c r="L94" s="40"/>
      <c r="M94" s="40"/>
      <c r="N94" s="40"/>
      <c r="O94" s="25"/>
      <c r="P94" s="26"/>
      <c r="Q94" s="12"/>
      <c r="R94" s="12"/>
      <c r="S94" s="13"/>
      <c r="T94" s="14"/>
      <c r="U94" s="15"/>
      <c r="V94" s="15"/>
      <c r="W94" s="15"/>
      <c r="X94" s="14"/>
      <c r="Y94" s="15"/>
      <c r="Z94" s="13"/>
      <c r="AA94" s="15"/>
      <c r="AB94" s="15"/>
      <c r="AC94" s="15"/>
      <c r="AD94" s="15"/>
      <c r="AE94" s="15"/>
      <c r="AF94" s="13"/>
      <c r="AG94" s="15"/>
      <c r="AH94" s="13"/>
      <c r="AI94" s="15"/>
      <c r="AJ94" s="13"/>
    </row>
    <row r="95" spans="1:36" x14ac:dyDescent="0.2">
      <c r="A95" s="3" t="s">
        <v>301</v>
      </c>
      <c r="F95" s="37"/>
      <c r="G95" s="39"/>
      <c r="H95" s="38"/>
      <c r="I95" s="35"/>
      <c r="J95" s="38"/>
      <c r="K95" s="40"/>
      <c r="L95" s="40"/>
      <c r="M95" s="40"/>
      <c r="N95" s="40"/>
      <c r="O95" s="25"/>
      <c r="P95" s="26"/>
      <c r="Q95" s="12"/>
      <c r="R95" s="12"/>
      <c r="S95" s="13"/>
      <c r="T95" s="14"/>
      <c r="U95" s="15"/>
      <c r="V95" s="15"/>
      <c r="W95" s="15"/>
      <c r="X95" s="14"/>
      <c r="Y95" s="15"/>
      <c r="Z95" s="13"/>
      <c r="AA95" s="15"/>
      <c r="AB95" s="15"/>
      <c r="AC95" s="15"/>
      <c r="AD95" s="15"/>
      <c r="AE95" s="15"/>
      <c r="AF95" s="13"/>
      <c r="AG95" s="15"/>
      <c r="AH95" s="13"/>
      <c r="AI95" s="15"/>
      <c r="AJ95" s="13"/>
    </row>
    <row r="96" spans="1:36" x14ac:dyDescent="0.2">
      <c r="A96" t="s">
        <v>302</v>
      </c>
      <c r="B96">
        <v>518</v>
      </c>
      <c r="C96">
        <v>648</v>
      </c>
      <c r="D96">
        <v>346</v>
      </c>
      <c r="F96" s="37"/>
      <c r="G96" s="39"/>
      <c r="H96" s="38"/>
      <c r="I96" s="35"/>
      <c r="J96" s="38"/>
      <c r="K96" s="40"/>
      <c r="L96" s="40"/>
      <c r="M96" s="40"/>
      <c r="N96" s="40"/>
      <c r="O96" s="25"/>
      <c r="P96" s="26"/>
      <c r="Q96" s="12"/>
      <c r="R96" s="12"/>
      <c r="S96" s="13"/>
      <c r="T96" s="14"/>
      <c r="U96" s="15"/>
      <c r="V96" s="15"/>
      <c r="W96" s="15"/>
      <c r="X96" s="14"/>
      <c r="Y96" s="15"/>
      <c r="Z96" s="13"/>
      <c r="AA96" s="15"/>
      <c r="AB96" s="15"/>
      <c r="AC96" s="15"/>
      <c r="AD96" s="15"/>
      <c r="AE96" s="15"/>
      <c r="AF96" s="13"/>
      <c r="AG96" s="15"/>
      <c r="AH96" s="13"/>
      <c r="AI96" s="15"/>
      <c r="AJ96" s="13"/>
    </row>
    <row r="97" spans="1:36" x14ac:dyDescent="0.2">
      <c r="A97" s="3" t="s">
        <v>303</v>
      </c>
      <c r="F97" s="37"/>
      <c r="G97" s="39"/>
      <c r="H97" s="38"/>
      <c r="I97" s="35"/>
      <c r="J97" s="38"/>
      <c r="K97" s="40"/>
      <c r="L97" s="40"/>
      <c r="M97" s="40"/>
      <c r="N97" s="40"/>
      <c r="O97" s="25"/>
      <c r="P97" s="26"/>
      <c r="Q97" s="12"/>
      <c r="R97" s="12"/>
      <c r="S97" s="13"/>
      <c r="T97" s="14"/>
      <c r="U97" s="15"/>
      <c r="V97" s="15"/>
      <c r="W97" s="15"/>
      <c r="X97" s="14"/>
      <c r="Y97" s="15"/>
      <c r="Z97" s="13"/>
      <c r="AA97" s="15"/>
      <c r="AB97" s="15"/>
      <c r="AC97" s="15"/>
      <c r="AD97" s="15"/>
      <c r="AE97" s="15"/>
      <c r="AF97" s="13"/>
      <c r="AG97" s="15"/>
      <c r="AH97" s="13"/>
      <c r="AI97" s="15"/>
      <c r="AJ97" s="13"/>
    </row>
    <row r="98" spans="1:36" x14ac:dyDescent="0.2">
      <c r="A98" t="s">
        <v>304</v>
      </c>
      <c r="B98">
        <v>181</v>
      </c>
      <c r="C98">
        <v>226</v>
      </c>
      <c r="D98">
        <v>121</v>
      </c>
      <c r="F98" s="37"/>
      <c r="G98" s="39"/>
      <c r="H98" s="38"/>
      <c r="I98" s="35"/>
      <c r="J98" s="38"/>
      <c r="K98" s="40"/>
      <c r="L98" s="40"/>
      <c r="M98" s="40"/>
      <c r="N98" s="40"/>
      <c r="O98" s="25"/>
      <c r="P98" s="26"/>
      <c r="Q98" s="12"/>
      <c r="R98" s="12"/>
      <c r="S98" s="13"/>
      <c r="T98" s="14"/>
      <c r="U98" s="15"/>
      <c r="V98" s="15"/>
      <c r="W98" s="15"/>
      <c r="X98" s="14"/>
      <c r="Y98" s="15"/>
      <c r="Z98" s="13"/>
      <c r="AA98" s="15"/>
      <c r="AB98" s="15"/>
      <c r="AC98" s="15"/>
      <c r="AD98" s="15"/>
      <c r="AE98" s="15"/>
      <c r="AF98" s="13"/>
      <c r="AG98" s="15"/>
      <c r="AH98" s="13"/>
      <c r="AI98" s="15"/>
      <c r="AJ98" s="13"/>
    </row>
    <row r="99" spans="1:36" x14ac:dyDescent="0.2">
      <c r="A99" t="s">
        <v>305</v>
      </c>
      <c r="B99">
        <v>58</v>
      </c>
      <c r="C99">
        <v>72</v>
      </c>
      <c r="D99">
        <v>72</v>
      </c>
      <c r="F99" s="37"/>
      <c r="G99" s="39"/>
      <c r="H99" s="38"/>
      <c r="I99" s="35"/>
      <c r="J99" s="38"/>
      <c r="K99" s="40"/>
      <c r="L99" s="40"/>
      <c r="M99" s="40"/>
      <c r="N99" s="40"/>
      <c r="O99" s="25"/>
      <c r="P99" s="26"/>
      <c r="Q99" s="12"/>
      <c r="R99" s="12"/>
      <c r="S99" s="13"/>
      <c r="T99" s="14"/>
      <c r="U99" s="15"/>
      <c r="V99" s="15"/>
      <c r="W99" s="15"/>
      <c r="X99" s="14"/>
      <c r="Y99" s="15"/>
      <c r="Z99" s="13"/>
      <c r="AA99" s="15"/>
      <c r="AB99" s="15"/>
      <c r="AC99" s="15"/>
      <c r="AD99" s="15"/>
      <c r="AE99" s="15"/>
      <c r="AF99" s="13"/>
      <c r="AG99" s="15"/>
      <c r="AH99" s="13"/>
      <c r="AI99" s="15"/>
      <c r="AJ99" s="13"/>
    </row>
    <row r="100" spans="1:36" x14ac:dyDescent="0.2">
      <c r="A100" s="3" t="s">
        <v>306</v>
      </c>
      <c r="F100" s="37"/>
      <c r="G100" s="39"/>
      <c r="H100" s="38"/>
      <c r="I100" s="35"/>
      <c r="J100" s="38"/>
      <c r="K100" s="40"/>
      <c r="L100" s="40"/>
      <c r="M100" s="40"/>
      <c r="N100" s="40"/>
      <c r="O100" s="25"/>
      <c r="P100" s="26"/>
      <c r="Q100" s="12"/>
      <c r="R100" s="12"/>
      <c r="S100" s="13"/>
      <c r="T100" s="14"/>
      <c r="U100" s="15"/>
      <c r="V100" s="15"/>
      <c r="W100" s="15"/>
      <c r="X100" s="14"/>
      <c r="Y100" s="15"/>
      <c r="Z100" s="13"/>
      <c r="AA100" s="15"/>
      <c r="AB100" s="15"/>
      <c r="AC100" s="15"/>
      <c r="AD100" s="15"/>
      <c r="AE100" s="15"/>
      <c r="AF100" s="13"/>
      <c r="AG100" s="15"/>
      <c r="AH100" s="13"/>
      <c r="AI100" s="15"/>
      <c r="AJ100" s="13"/>
    </row>
    <row r="101" spans="1:36" x14ac:dyDescent="0.2">
      <c r="A101" t="s">
        <v>307</v>
      </c>
      <c r="B101">
        <v>126</v>
      </c>
      <c r="C101">
        <v>158</v>
      </c>
      <c r="D101">
        <v>84</v>
      </c>
      <c r="F101" s="37"/>
      <c r="G101" s="39"/>
      <c r="H101" s="38"/>
      <c r="I101" s="35"/>
      <c r="J101" s="38"/>
      <c r="K101" s="40"/>
      <c r="L101" s="40"/>
      <c r="M101" s="40"/>
      <c r="N101" s="40"/>
      <c r="O101" s="25"/>
      <c r="P101" s="26"/>
      <c r="Q101" s="12"/>
      <c r="R101" s="12"/>
      <c r="S101" s="13"/>
      <c r="T101" s="14"/>
      <c r="U101" s="15"/>
      <c r="V101" s="15"/>
      <c r="W101" s="15"/>
      <c r="X101" s="14"/>
      <c r="Y101" s="15"/>
      <c r="Z101" s="13"/>
      <c r="AA101" s="15"/>
      <c r="AB101" s="15"/>
      <c r="AC101" s="15"/>
      <c r="AD101" s="15"/>
      <c r="AE101" s="15"/>
      <c r="AF101" s="13"/>
      <c r="AG101" s="15"/>
      <c r="AH101" s="13"/>
      <c r="AI101" s="15"/>
      <c r="AJ101" s="13"/>
    </row>
    <row r="102" spans="1:36" x14ac:dyDescent="0.2">
      <c r="A102" t="s">
        <v>308</v>
      </c>
      <c r="B102">
        <v>334</v>
      </c>
      <c r="C102">
        <v>418</v>
      </c>
      <c r="D102">
        <v>223</v>
      </c>
      <c r="F102" s="37"/>
      <c r="G102" s="39"/>
      <c r="H102" s="38"/>
      <c r="I102" s="35"/>
      <c r="J102" s="38"/>
      <c r="K102" s="40"/>
      <c r="L102" s="40"/>
      <c r="M102" s="40"/>
      <c r="N102" s="40"/>
      <c r="O102" s="25"/>
      <c r="P102" s="26"/>
      <c r="Q102" s="12"/>
      <c r="R102" s="12"/>
      <c r="S102" s="13"/>
      <c r="T102" s="14"/>
      <c r="U102" s="15"/>
      <c r="V102" s="15"/>
      <c r="W102" s="15"/>
      <c r="X102" s="14"/>
      <c r="Y102" s="15"/>
      <c r="Z102" s="13"/>
      <c r="AA102" s="15"/>
      <c r="AB102" s="15"/>
      <c r="AC102" s="15"/>
      <c r="AD102" s="15"/>
      <c r="AE102" s="15"/>
      <c r="AF102" s="13"/>
      <c r="AG102" s="15"/>
      <c r="AH102" s="13"/>
      <c r="AI102" s="15"/>
      <c r="AJ102" s="13"/>
    </row>
    <row r="103" spans="1:36" x14ac:dyDescent="0.2">
      <c r="A103" s="3" t="s">
        <v>309</v>
      </c>
      <c r="F103" s="37"/>
      <c r="G103" s="39"/>
      <c r="H103" s="38"/>
      <c r="I103" s="35"/>
      <c r="J103" s="38"/>
      <c r="K103" s="40"/>
      <c r="L103" s="40"/>
      <c r="M103" s="40"/>
      <c r="N103" s="40"/>
      <c r="O103" s="25"/>
      <c r="P103" s="26"/>
      <c r="Q103" s="12"/>
      <c r="R103" s="12"/>
      <c r="S103" s="13"/>
      <c r="T103" s="14"/>
      <c r="U103" s="15"/>
      <c r="V103" s="15"/>
      <c r="W103" s="15"/>
      <c r="X103" s="14"/>
      <c r="Y103" s="15"/>
      <c r="Z103" s="13"/>
      <c r="AA103" s="15"/>
      <c r="AB103" s="15"/>
      <c r="AC103" s="15"/>
      <c r="AD103" s="15"/>
      <c r="AE103" s="15"/>
      <c r="AF103" s="13"/>
      <c r="AG103" s="15"/>
      <c r="AH103" s="13"/>
      <c r="AI103" s="15"/>
      <c r="AJ103" s="13"/>
    </row>
    <row r="104" spans="1:36" x14ac:dyDescent="0.2">
      <c r="B104">
        <v>174</v>
      </c>
      <c r="C104">
        <v>217</v>
      </c>
      <c r="D104">
        <v>116</v>
      </c>
      <c r="F104" s="37"/>
      <c r="G104" s="39"/>
      <c r="H104" s="38"/>
      <c r="I104" s="35"/>
      <c r="J104" s="38"/>
      <c r="K104" s="40"/>
      <c r="L104" s="40"/>
      <c r="M104" s="40"/>
      <c r="N104" s="40"/>
      <c r="O104" s="25"/>
      <c r="P104" s="26"/>
      <c r="Q104" s="12"/>
      <c r="R104" s="12"/>
      <c r="S104" s="13"/>
      <c r="T104" s="14"/>
      <c r="U104" s="15"/>
      <c r="V104" s="15"/>
      <c r="W104" s="15"/>
      <c r="X104" s="14"/>
      <c r="Y104" s="15"/>
      <c r="Z104" s="13"/>
      <c r="AA104" s="15"/>
      <c r="AB104" s="15"/>
      <c r="AC104" s="15"/>
      <c r="AD104" s="15"/>
      <c r="AE104" s="15"/>
      <c r="AF104" s="13"/>
      <c r="AG104" s="15"/>
      <c r="AH104" s="13"/>
      <c r="AI104" s="15"/>
      <c r="AJ104" s="13"/>
    </row>
    <row r="105" spans="1:36" x14ac:dyDescent="0.2">
      <c r="A105" s="3" t="s">
        <v>310</v>
      </c>
      <c r="F105" s="37"/>
      <c r="G105" s="39"/>
      <c r="H105" s="38"/>
      <c r="I105" s="35"/>
      <c r="J105" s="38"/>
      <c r="K105" s="40"/>
      <c r="L105" s="40"/>
      <c r="M105" s="40"/>
      <c r="N105" s="40"/>
      <c r="O105" s="25"/>
      <c r="P105" s="26"/>
      <c r="Q105" s="12"/>
      <c r="R105" s="12"/>
      <c r="S105" s="13"/>
      <c r="T105" s="14"/>
      <c r="U105" s="15"/>
      <c r="V105" s="15"/>
      <c r="W105" s="15"/>
      <c r="X105" s="14"/>
      <c r="Y105" s="15"/>
      <c r="Z105" s="13"/>
      <c r="AA105" s="15"/>
      <c r="AB105" s="15"/>
      <c r="AC105" s="15"/>
      <c r="AD105" s="15"/>
      <c r="AE105" s="15"/>
      <c r="AF105" s="13"/>
      <c r="AG105" s="15"/>
      <c r="AH105" s="13"/>
      <c r="AI105" s="15"/>
      <c r="AJ105" s="13"/>
    </row>
    <row r="106" spans="1:36" x14ac:dyDescent="0.2">
      <c r="A106" t="s">
        <v>311</v>
      </c>
      <c r="B106">
        <v>102</v>
      </c>
      <c r="C106">
        <v>25</v>
      </c>
      <c r="D106">
        <v>25</v>
      </c>
      <c r="F106" s="37"/>
      <c r="G106" s="39"/>
      <c r="H106" s="38"/>
      <c r="I106" s="35"/>
      <c r="J106" s="38"/>
      <c r="K106" s="40"/>
      <c r="L106" s="40"/>
      <c r="M106" s="40"/>
      <c r="N106" s="40"/>
      <c r="O106" s="25"/>
      <c r="P106" s="26"/>
      <c r="Q106" s="12"/>
      <c r="R106" s="12"/>
      <c r="S106" s="13"/>
      <c r="T106" s="14"/>
      <c r="U106" s="15"/>
      <c r="V106" s="15"/>
      <c r="W106" s="15"/>
      <c r="X106" s="14"/>
      <c r="Y106" s="15"/>
      <c r="Z106" s="13"/>
      <c r="AA106" s="15"/>
      <c r="AB106" s="15"/>
      <c r="AC106" s="15"/>
      <c r="AD106" s="15"/>
      <c r="AE106" s="15"/>
      <c r="AF106" s="13"/>
      <c r="AG106" s="15"/>
      <c r="AH106" s="13"/>
      <c r="AI106" s="15"/>
      <c r="AJ106" s="13"/>
    </row>
    <row r="107" spans="1:36" x14ac:dyDescent="0.2">
      <c r="A107" t="s">
        <v>312</v>
      </c>
      <c r="B107">
        <v>102</v>
      </c>
      <c r="C107">
        <v>25</v>
      </c>
      <c r="D107">
        <v>25</v>
      </c>
      <c r="F107" s="37"/>
      <c r="G107" s="39"/>
      <c r="H107" s="38"/>
      <c r="I107" s="35"/>
      <c r="J107" s="38"/>
      <c r="K107" s="40"/>
      <c r="L107" s="40"/>
      <c r="M107" s="40"/>
      <c r="N107" s="40"/>
      <c r="O107" s="25"/>
      <c r="P107" s="26"/>
      <c r="Q107" s="12"/>
      <c r="R107" s="12"/>
      <c r="S107" s="13"/>
      <c r="T107" s="14"/>
      <c r="U107" s="15"/>
      <c r="V107" s="15"/>
      <c r="W107" s="15"/>
      <c r="X107" s="14"/>
      <c r="Y107" s="15"/>
      <c r="Z107" s="13"/>
      <c r="AA107" s="15"/>
      <c r="AB107" s="15"/>
      <c r="AC107" s="15"/>
      <c r="AD107" s="15"/>
      <c r="AE107" s="15"/>
      <c r="AF107" s="13"/>
      <c r="AG107" s="15"/>
      <c r="AH107" s="13"/>
      <c r="AI107" s="15"/>
      <c r="AJ107" s="13"/>
    </row>
    <row r="108" spans="1:36" x14ac:dyDescent="0.2">
      <c r="A108" t="s">
        <v>313</v>
      </c>
      <c r="B108">
        <v>122</v>
      </c>
      <c r="C108">
        <v>30</v>
      </c>
      <c r="D108">
        <v>30</v>
      </c>
      <c r="F108" s="37"/>
      <c r="G108" s="39"/>
      <c r="H108" s="38"/>
      <c r="I108" s="35"/>
      <c r="J108" s="38"/>
      <c r="K108" s="40"/>
      <c r="L108" s="40"/>
      <c r="M108" s="40"/>
      <c r="N108" s="40"/>
      <c r="O108" s="25"/>
      <c r="P108" s="26"/>
      <c r="Q108" s="12"/>
      <c r="R108" s="12"/>
      <c r="S108" s="13"/>
      <c r="T108" s="14"/>
      <c r="U108" s="15"/>
      <c r="V108" s="15"/>
      <c r="W108" s="15"/>
      <c r="X108" s="14"/>
      <c r="Y108" s="15"/>
      <c r="Z108" s="13"/>
      <c r="AA108" s="15"/>
      <c r="AB108" s="15"/>
      <c r="AC108" s="15"/>
      <c r="AD108" s="15"/>
      <c r="AE108" s="15"/>
      <c r="AF108" s="13"/>
      <c r="AG108" s="15"/>
      <c r="AH108" s="13"/>
      <c r="AI108" s="15"/>
      <c r="AJ108" s="13"/>
    </row>
    <row r="109" spans="1:36" x14ac:dyDescent="0.2">
      <c r="A109" t="s">
        <v>314</v>
      </c>
      <c r="B109">
        <v>124</v>
      </c>
      <c r="C109">
        <v>31</v>
      </c>
      <c r="D109">
        <v>31</v>
      </c>
      <c r="F109" s="37"/>
      <c r="G109" s="39"/>
      <c r="H109" s="38"/>
      <c r="I109" s="35"/>
      <c r="J109" s="38"/>
      <c r="K109" s="40"/>
      <c r="L109" s="40"/>
      <c r="M109" s="40"/>
      <c r="N109" s="40"/>
      <c r="O109" s="25"/>
      <c r="P109" s="26"/>
      <c r="Q109" s="12"/>
      <c r="R109" s="12"/>
      <c r="S109" s="13"/>
      <c r="T109" s="14"/>
      <c r="U109" s="15"/>
      <c r="V109" s="15"/>
      <c r="W109" s="15"/>
      <c r="X109" s="14"/>
      <c r="Y109" s="15"/>
      <c r="Z109" s="13"/>
      <c r="AA109" s="15"/>
      <c r="AB109" s="15"/>
      <c r="AC109" s="15"/>
      <c r="AD109" s="15"/>
      <c r="AE109" s="15"/>
      <c r="AF109" s="13"/>
      <c r="AG109" s="15"/>
      <c r="AH109" s="13"/>
      <c r="AI109" s="15"/>
      <c r="AJ109" s="13"/>
    </row>
    <row r="110" spans="1:36" x14ac:dyDescent="0.2">
      <c r="A110" t="s">
        <v>315</v>
      </c>
      <c r="B110">
        <v>150</v>
      </c>
      <c r="C110">
        <v>37</v>
      </c>
      <c r="D110">
        <v>37</v>
      </c>
      <c r="F110" s="37"/>
      <c r="G110" s="39"/>
      <c r="H110" s="38"/>
      <c r="I110" s="35"/>
      <c r="J110" s="38"/>
      <c r="K110" s="40"/>
      <c r="L110" s="40"/>
      <c r="M110" s="40"/>
      <c r="N110" s="40"/>
      <c r="O110" s="25"/>
      <c r="P110" s="26"/>
      <c r="Q110" s="12"/>
      <c r="R110" s="12"/>
      <c r="S110" s="13"/>
      <c r="T110" s="14"/>
      <c r="U110" s="15"/>
      <c r="V110" s="15"/>
      <c r="W110" s="15"/>
      <c r="X110" s="14"/>
      <c r="Y110" s="15"/>
      <c r="Z110" s="13"/>
      <c r="AA110" s="15"/>
      <c r="AB110" s="15"/>
      <c r="AC110" s="15"/>
      <c r="AD110" s="15"/>
      <c r="AE110" s="15"/>
      <c r="AF110" s="13"/>
      <c r="AG110" s="15"/>
      <c r="AH110" s="13"/>
      <c r="AI110" s="15"/>
      <c r="AJ110" s="13"/>
    </row>
    <row r="111" spans="1:36" x14ac:dyDescent="0.2">
      <c r="A111" s="3" t="s">
        <v>316</v>
      </c>
      <c r="F111" s="37"/>
      <c r="G111" s="39"/>
      <c r="H111" s="38"/>
      <c r="I111" s="35"/>
      <c r="J111" s="38"/>
      <c r="K111" s="40"/>
      <c r="L111" s="40"/>
      <c r="M111" s="40"/>
      <c r="N111" s="40"/>
      <c r="O111" s="25"/>
      <c r="P111" s="26"/>
      <c r="Q111" s="12"/>
      <c r="R111" s="12"/>
      <c r="S111" s="13"/>
      <c r="T111" s="14"/>
      <c r="U111" s="15"/>
      <c r="V111" s="15"/>
      <c r="W111" s="15"/>
      <c r="X111" s="14"/>
      <c r="Y111" s="15"/>
      <c r="Z111" s="13"/>
      <c r="AA111" s="15"/>
      <c r="AB111" s="15"/>
      <c r="AC111" s="15"/>
      <c r="AD111" s="15"/>
      <c r="AE111" s="15"/>
      <c r="AF111" s="13"/>
      <c r="AG111" s="15"/>
      <c r="AH111" s="13"/>
      <c r="AI111" s="15"/>
      <c r="AJ111" s="13"/>
    </row>
    <row r="112" spans="1:36" x14ac:dyDescent="0.2">
      <c r="A112" t="s">
        <v>312</v>
      </c>
      <c r="B112">
        <v>53</v>
      </c>
      <c r="C112">
        <v>13</v>
      </c>
      <c r="D112">
        <v>13</v>
      </c>
      <c r="F112" s="37"/>
      <c r="G112" s="39"/>
      <c r="H112" s="38"/>
      <c r="I112" s="35"/>
      <c r="J112" s="38"/>
      <c r="K112" s="40"/>
      <c r="L112" s="40"/>
      <c r="M112" s="40"/>
      <c r="N112" s="40"/>
      <c r="O112" s="25"/>
      <c r="P112" s="26"/>
      <c r="Q112" s="12"/>
      <c r="R112" s="12"/>
      <c r="S112" s="13"/>
      <c r="T112" s="14"/>
      <c r="U112" s="15"/>
      <c r="V112" s="15"/>
      <c r="W112" s="15"/>
      <c r="X112" s="14"/>
      <c r="Y112" s="15"/>
      <c r="Z112" s="13"/>
      <c r="AA112" s="15"/>
      <c r="AB112" s="15"/>
      <c r="AC112" s="15"/>
      <c r="AD112" s="15"/>
      <c r="AE112" s="15"/>
      <c r="AF112" s="13"/>
      <c r="AG112" s="15"/>
      <c r="AH112" s="13"/>
      <c r="AI112" s="15"/>
      <c r="AJ112" s="13"/>
    </row>
    <row r="113" spans="1:36" x14ac:dyDescent="0.2">
      <c r="A113" t="s">
        <v>313</v>
      </c>
      <c r="B113">
        <v>54</v>
      </c>
      <c r="C113">
        <v>13</v>
      </c>
      <c r="D113">
        <v>13</v>
      </c>
      <c r="F113" s="37"/>
      <c r="G113" s="39"/>
      <c r="H113" s="38"/>
      <c r="I113" s="35"/>
      <c r="J113" s="38"/>
      <c r="K113" s="40"/>
      <c r="L113" s="40"/>
      <c r="M113" s="40"/>
      <c r="N113" s="40"/>
      <c r="O113" s="25"/>
      <c r="P113" s="26"/>
      <c r="Q113" s="12"/>
      <c r="R113" s="12"/>
      <c r="S113" s="13"/>
      <c r="T113" s="14"/>
      <c r="U113" s="15"/>
      <c r="V113" s="15"/>
      <c r="W113" s="15"/>
      <c r="X113" s="14"/>
      <c r="Y113" s="15"/>
      <c r="Z113" s="13"/>
      <c r="AA113" s="15"/>
      <c r="AB113" s="15"/>
      <c r="AC113" s="15"/>
      <c r="AD113" s="15"/>
      <c r="AE113" s="15"/>
      <c r="AF113" s="13"/>
      <c r="AG113" s="15"/>
      <c r="AH113" s="13"/>
      <c r="AI113" s="15"/>
      <c r="AJ113" s="13"/>
    </row>
    <row r="114" spans="1:36" x14ac:dyDescent="0.2">
      <c r="A114" t="s">
        <v>314</v>
      </c>
      <c r="B114">
        <v>102</v>
      </c>
      <c r="C114">
        <v>25</v>
      </c>
      <c r="D114">
        <v>25</v>
      </c>
      <c r="F114" s="37"/>
      <c r="G114" s="39"/>
      <c r="H114" s="38"/>
      <c r="I114" s="35"/>
      <c r="J114" s="38"/>
      <c r="K114" s="40"/>
      <c r="L114" s="40"/>
      <c r="M114" s="40"/>
      <c r="N114" s="40"/>
      <c r="O114" s="25"/>
      <c r="P114" s="26"/>
      <c r="Q114" s="12"/>
      <c r="R114" s="12"/>
      <c r="S114" s="13"/>
      <c r="T114" s="14"/>
      <c r="U114" s="15"/>
      <c r="V114" s="15"/>
      <c r="W114" s="15"/>
      <c r="X114" s="14"/>
      <c r="Y114" s="15"/>
      <c r="Z114" s="13"/>
      <c r="AA114" s="15"/>
      <c r="AB114" s="15"/>
      <c r="AC114" s="15"/>
      <c r="AD114" s="15"/>
      <c r="AE114" s="15"/>
      <c r="AF114" s="13"/>
      <c r="AG114" s="15"/>
      <c r="AH114" s="13"/>
      <c r="AI114" s="15"/>
      <c r="AJ114" s="13"/>
    </row>
    <row r="115" spans="1:36" x14ac:dyDescent="0.2">
      <c r="A115" t="s">
        <v>315</v>
      </c>
      <c r="B115">
        <v>102</v>
      </c>
      <c r="C115">
        <v>25</v>
      </c>
      <c r="D115">
        <v>25</v>
      </c>
      <c r="F115" s="37"/>
      <c r="G115" s="39"/>
      <c r="H115" s="38"/>
      <c r="I115" s="35"/>
      <c r="J115" s="38"/>
      <c r="K115" s="40"/>
      <c r="L115" s="40"/>
      <c r="M115" s="40"/>
      <c r="N115" s="40"/>
      <c r="O115" s="25"/>
      <c r="P115" s="26"/>
      <c r="Q115" s="12"/>
      <c r="R115" s="12"/>
      <c r="S115" s="13"/>
      <c r="T115" s="14"/>
      <c r="U115" s="15"/>
      <c r="V115" s="15"/>
      <c r="W115" s="15"/>
      <c r="X115" s="14"/>
      <c r="Y115" s="15"/>
      <c r="Z115" s="13"/>
      <c r="AA115" s="15"/>
      <c r="AB115" s="15"/>
      <c r="AC115" s="15"/>
      <c r="AD115" s="15"/>
      <c r="AE115" s="15"/>
      <c r="AF115" s="13"/>
      <c r="AG115" s="15"/>
      <c r="AH115" s="13"/>
      <c r="AI115" s="15"/>
      <c r="AJ115" s="13"/>
    </row>
    <row r="116" spans="1:36" x14ac:dyDescent="0.2">
      <c r="A116" s="3" t="s">
        <v>317</v>
      </c>
      <c r="F116" s="37"/>
      <c r="G116" s="39"/>
      <c r="H116" s="38"/>
      <c r="I116" s="35"/>
      <c r="J116" s="38"/>
      <c r="K116" s="40"/>
      <c r="L116" s="40"/>
      <c r="M116" s="40"/>
      <c r="N116" s="40"/>
      <c r="O116" s="25"/>
      <c r="P116" s="26"/>
      <c r="Q116" s="12"/>
      <c r="R116" s="12"/>
      <c r="S116" s="13"/>
      <c r="T116" s="14"/>
      <c r="U116" s="15"/>
      <c r="V116" s="15"/>
      <c r="W116" s="15"/>
      <c r="X116" s="14"/>
      <c r="Y116" s="15"/>
      <c r="Z116" s="13"/>
      <c r="AA116" s="15"/>
      <c r="AB116" s="15"/>
      <c r="AC116" s="15"/>
      <c r="AD116" s="15"/>
      <c r="AE116" s="15"/>
      <c r="AF116" s="13"/>
      <c r="AG116" s="15"/>
      <c r="AH116" s="13"/>
      <c r="AI116" s="15"/>
      <c r="AJ116" s="13"/>
    </row>
    <row r="117" spans="1:36" x14ac:dyDescent="0.2">
      <c r="A117" t="s">
        <v>318</v>
      </c>
      <c r="B117">
        <v>102</v>
      </c>
      <c r="C117">
        <v>25</v>
      </c>
      <c r="D117">
        <v>25</v>
      </c>
      <c r="F117" s="37"/>
      <c r="G117" s="39"/>
      <c r="H117" s="38"/>
      <c r="I117" s="35"/>
      <c r="J117" s="38"/>
      <c r="K117" s="40"/>
      <c r="L117" s="40"/>
      <c r="M117" s="40"/>
      <c r="N117" s="40"/>
      <c r="O117" s="25"/>
      <c r="P117" s="26"/>
      <c r="Q117" s="12"/>
      <c r="R117" s="12"/>
      <c r="S117" s="13"/>
      <c r="T117" s="14"/>
      <c r="U117" s="15"/>
      <c r="V117" s="15"/>
      <c r="W117" s="15"/>
      <c r="X117" s="14"/>
      <c r="Y117" s="15"/>
      <c r="Z117" s="13"/>
      <c r="AA117" s="15"/>
      <c r="AB117" s="15"/>
      <c r="AC117" s="15"/>
      <c r="AD117" s="15"/>
      <c r="AE117" s="15"/>
      <c r="AF117" s="13"/>
      <c r="AG117" s="15"/>
      <c r="AH117" s="13"/>
      <c r="AI117" s="15"/>
      <c r="AJ117" s="13"/>
    </row>
    <row r="118" spans="1:36" x14ac:dyDescent="0.2">
      <c r="A118" t="s">
        <v>319</v>
      </c>
      <c r="B118">
        <v>87</v>
      </c>
      <c r="C118">
        <v>22</v>
      </c>
      <c r="D118">
        <v>22</v>
      </c>
      <c r="F118" s="37"/>
      <c r="G118" s="39"/>
      <c r="H118" s="38"/>
      <c r="I118" s="35"/>
      <c r="J118" s="38"/>
      <c r="K118" s="40"/>
      <c r="L118" s="40"/>
      <c r="M118" s="40"/>
      <c r="N118" s="40"/>
      <c r="O118" s="25"/>
      <c r="P118" s="26"/>
      <c r="Q118" s="12"/>
      <c r="R118" s="12"/>
      <c r="S118" s="13"/>
      <c r="T118" s="14"/>
      <c r="U118" s="15"/>
      <c r="V118" s="15"/>
      <c r="W118" s="15"/>
      <c r="X118" s="14"/>
      <c r="Y118" s="15"/>
      <c r="Z118" s="13"/>
      <c r="AA118" s="15"/>
      <c r="AB118" s="15"/>
      <c r="AC118" s="15"/>
      <c r="AD118" s="15"/>
      <c r="AE118" s="15"/>
      <c r="AF118" s="13"/>
      <c r="AG118" s="15"/>
      <c r="AH118" s="13"/>
      <c r="AI118" s="15"/>
      <c r="AJ118" s="13"/>
    </row>
    <row r="119" spans="1:36" x14ac:dyDescent="0.2">
      <c r="A119" t="s">
        <v>320</v>
      </c>
      <c r="B119">
        <v>187</v>
      </c>
      <c r="C119">
        <v>37</v>
      </c>
      <c r="D119">
        <v>37</v>
      </c>
      <c r="F119" s="37"/>
      <c r="G119" s="39"/>
      <c r="H119" s="38"/>
      <c r="I119" s="35"/>
      <c r="J119" s="38"/>
      <c r="K119" s="40"/>
      <c r="L119" s="40"/>
      <c r="M119" s="40"/>
      <c r="N119" s="40"/>
      <c r="O119" s="25"/>
      <c r="P119" s="26"/>
      <c r="Q119" s="12"/>
      <c r="R119" s="12"/>
      <c r="S119" s="13"/>
      <c r="T119" s="14"/>
      <c r="U119" s="15"/>
      <c r="V119" s="15"/>
      <c r="W119" s="15"/>
      <c r="X119" s="14"/>
      <c r="Y119" s="15"/>
      <c r="Z119" s="13"/>
      <c r="AA119" s="15"/>
      <c r="AB119" s="15"/>
      <c r="AC119" s="15"/>
      <c r="AD119" s="15"/>
      <c r="AE119" s="15"/>
      <c r="AF119" s="13"/>
      <c r="AG119" s="15"/>
      <c r="AH119" s="13"/>
      <c r="AI119" s="15"/>
      <c r="AJ119" s="13"/>
    </row>
    <row r="120" spans="1:36" x14ac:dyDescent="0.2">
      <c r="A120" t="s">
        <v>321</v>
      </c>
      <c r="B120">
        <v>86</v>
      </c>
      <c r="C120">
        <v>21</v>
      </c>
      <c r="D120">
        <v>21</v>
      </c>
      <c r="F120" s="37"/>
      <c r="G120" s="39"/>
      <c r="H120" s="38"/>
      <c r="I120" s="35"/>
      <c r="J120" s="38"/>
      <c r="K120" s="40"/>
      <c r="L120" s="40"/>
      <c r="M120" s="40"/>
      <c r="N120" s="40"/>
      <c r="O120" s="25"/>
      <c r="P120" s="26"/>
      <c r="Q120" s="12"/>
      <c r="R120" s="12"/>
      <c r="S120" s="13"/>
      <c r="T120" s="14"/>
      <c r="U120" s="15"/>
      <c r="V120" s="15"/>
      <c r="W120" s="15"/>
      <c r="X120" s="14"/>
      <c r="Y120" s="15"/>
      <c r="Z120" s="13"/>
      <c r="AA120" s="15"/>
      <c r="AB120" s="15"/>
      <c r="AC120" s="15"/>
      <c r="AD120" s="15"/>
      <c r="AE120" s="15"/>
      <c r="AF120" s="13"/>
      <c r="AG120" s="15"/>
      <c r="AH120" s="13"/>
      <c r="AI120" s="15"/>
      <c r="AJ120" s="13"/>
    </row>
    <row r="121" spans="1:36" x14ac:dyDescent="0.2">
      <c r="A121" t="s">
        <v>322</v>
      </c>
      <c r="B121">
        <v>86</v>
      </c>
      <c r="C121">
        <v>21</v>
      </c>
      <c r="D121">
        <v>21</v>
      </c>
      <c r="F121" s="37"/>
      <c r="G121" s="39"/>
      <c r="H121" s="38"/>
      <c r="I121" s="35"/>
      <c r="J121" s="38"/>
      <c r="K121" s="40"/>
      <c r="L121" s="40"/>
      <c r="M121" s="40"/>
      <c r="N121" s="40"/>
      <c r="O121" s="25"/>
      <c r="P121" s="26"/>
      <c r="Q121" s="12"/>
      <c r="R121" s="12"/>
      <c r="S121" s="13"/>
      <c r="T121" s="14"/>
      <c r="U121" s="15"/>
      <c r="V121" s="15"/>
      <c r="W121" s="15"/>
      <c r="X121" s="14"/>
      <c r="Y121" s="15"/>
      <c r="Z121" s="13"/>
      <c r="AA121" s="15"/>
      <c r="AB121" s="15"/>
      <c r="AC121" s="15"/>
      <c r="AD121" s="15"/>
      <c r="AE121" s="15"/>
      <c r="AF121" s="13"/>
      <c r="AG121" s="15"/>
      <c r="AH121" s="13"/>
      <c r="AI121" s="15"/>
      <c r="AJ121" s="13"/>
    </row>
    <row r="122" spans="1:36" x14ac:dyDescent="0.2">
      <c r="F122" s="37"/>
      <c r="G122" s="39"/>
      <c r="H122" s="38"/>
      <c r="I122" s="35"/>
      <c r="J122" s="38"/>
      <c r="K122" s="40"/>
      <c r="L122" s="40"/>
      <c r="M122" s="40"/>
      <c r="N122" s="40"/>
      <c r="O122" s="25"/>
      <c r="P122" s="26"/>
      <c r="Q122" s="12"/>
      <c r="R122" s="12"/>
      <c r="S122" s="13"/>
      <c r="T122" s="14"/>
      <c r="U122" s="15"/>
      <c r="V122" s="15"/>
      <c r="W122" s="15"/>
      <c r="X122" s="14"/>
      <c r="Y122" s="15"/>
      <c r="Z122" s="13"/>
      <c r="AA122" s="15"/>
      <c r="AB122" s="15"/>
      <c r="AC122" s="15"/>
      <c r="AD122" s="15"/>
      <c r="AE122" s="15"/>
      <c r="AF122" s="13"/>
      <c r="AG122" s="15"/>
      <c r="AH122" s="13"/>
      <c r="AI122" s="15"/>
      <c r="AJ122" s="13"/>
    </row>
    <row r="123" spans="1:36" x14ac:dyDescent="0.2">
      <c r="F123" s="37"/>
      <c r="G123" s="39"/>
      <c r="H123" s="38"/>
      <c r="I123" s="35"/>
      <c r="J123" s="38"/>
      <c r="K123" s="40"/>
      <c r="L123" s="40"/>
      <c r="M123" s="40"/>
      <c r="N123" s="40"/>
      <c r="O123" s="25"/>
      <c r="P123" s="26"/>
      <c r="Q123" s="12"/>
      <c r="R123" s="12"/>
      <c r="S123" s="13"/>
      <c r="T123" s="14"/>
      <c r="U123" s="15"/>
      <c r="V123" s="15"/>
      <c r="W123" s="15"/>
      <c r="X123" s="14"/>
      <c r="Y123" s="15"/>
      <c r="Z123" s="13"/>
      <c r="AA123" s="15"/>
      <c r="AB123" s="15"/>
      <c r="AC123" s="15"/>
      <c r="AD123" s="15"/>
      <c r="AE123" s="15"/>
      <c r="AF123" s="13"/>
      <c r="AG123" s="15"/>
      <c r="AH123" s="13"/>
      <c r="AI123" s="15"/>
      <c r="AJ123" s="13"/>
    </row>
    <row r="124" spans="1:36" x14ac:dyDescent="0.2">
      <c r="F124" s="37"/>
      <c r="G124" s="39"/>
      <c r="H124" s="38"/>
      <c r="I124" s="35"/>
      <c r="J124" s="38"/>
      <c r="K124" s="40"/>
      <c r="L124" s="40"/>
      <c r="M124" s="40"/>
      <c r="N124" s="40"/>
      <c r="O124" s="25"/>
      <c r="P124" s="26"/>
      <c r="Q124" s="12"/>
      <c r="R124" s="12"/>
      <c r="S124" s="13"/>
      <c r="T124" s="14"/>
      <c r="U124" s="15"/>
      <c r="V124" s="15"/>
      <c r="W124" s="15"/>
      <c r="X124" s="14"/>
      <c r="Y124" s="15"/>
      <c r="Z124" s="13"/>
      <c r="AA124" s="15"/>
      <c r="AB124" s="15"/>
      <c r="AC124" s="15"/>
      <c r="AD124" s="15"/>
      <c r="AE124" s="15"/>
      <c r="AF124" s="13"/>
      <c r="AG124" s="15"/>
      <c r="AH124" s="13"/>
      <c r="AI124" s="15"/>
      <c r="AJ124" s="13"/>
    </row>
    <row r="125" spans="1:36" x14ac:dyDescent="0.2">
      <c r="F125" s="37"/>
      <c r="G125" s="39"/>
      <c r="H125" s="38"/>
      <c r="I125" s="35"/>
      <c r="J125" s="38"/>
      <c r="K125" s="40"/>
      <c r="L125" s="40"/>
      <c r="M125" s="40"/>
      <c r="N125" s="40"/>
      <c r="O125" s="25"/>
      <c r="P125" s="26"/>
      <c r="Q125" s="12"/>
      <c r="R125" s="12"/>
      <c r="S125" s="13"/>
      <c r="T125" s="14"/>
      <c r="U125" s="15"/>
      <c r="V125" s="15"/>
      <c r="W125" s="15"/>
      <c r="X125" s="14"/>
      <c r="Y125" s="15"/>
      <c r="Z125" s="13"/>
      <c r="AA125" s="15"/>
      <c r="AB125" s="15"/>
      <c r="AC125" s="15"/>
      <c r="AD125" s="15"/>
      <c r="AE125" s="15"/>
      <c r="AF125" s="13"/>
      <c r="AG125" s="15"/>
      <c r="AH125" s="13"/>
      <c r="AI125" s="15"/>
      <c r="AJ125" s="13"/>
    </row>
    <row r="126" spans="1:36" x14ac:dyDescent="0.2">
      <c r="F126" s="37"/>
      <c r="G126" s="39"/>
      <c r="H126" s="38"/>
      <c r="I126" s="35"/>
      <c r="J126" s="38"/>
      <c r="K126" s="40"/>
      <c r="L126" s="40"/>
      <c r="M126" s="40"/>
      <c r="N126" s="40"/>
      <c r="O126" s="25"/>
      <c r="P126" s="26"/>
      <c r="Q126" s="12"/>
      <c r="R126" s="12"/>
      <c r="S126" s="13"/>
      <c r="T126" s="14"/>
      <c r="U126" s="15"/>
      <c r="V126" s="15"/>
      <c r="W126" s="15"/>
      <c r="X126" s="14"/>
      <c r="Y126" s="15"/>
      <c r="Z126" s="13"/>
      <c r="AA126" s="15"/>
      <c r="AB126" s="15"/>
      <c r="AC126" s="15"/>
      <c r="AD126" s="15"/>
      <c r="AE126" s="15"/>
      <c r="AF126" s="13"/>
      <c r="AG126" s="15"/>
      <c r="AH126" s="13"/>
      <c r="AI126" s="15"/>
      <c r="AJ126" s="13"/>
    </row>
    <row r="127" spans="1:36" x14ac:dyDescent="0.2">
      <c r="F127" s="37"/>
      <c r="G127" s="39"/>
      <c r="H127" s="38"/>
      <c r="I127" s="35"/>
      <c r="J127" s="38"/>
      <c r="K127" s="40"/>
      <c r="L127" s="40"/>
      <c r="M127" s="40"/>
      <c r="N127" s="40"/>
      <c r="O127" s="25"/>
      <c r="P127" s="26"/>
      <c r="Q127" s="12"/>
      <c r="R127" s="12"/>
      <c r="S127" s="13"/>
      <c r="T127" s="14"/>
      <c r="U127" s="15"/>
      <c r="V127" s="15"/>
      <c r="W127" s="15"/>
      <c r="X127" s="14"/>
      <c r="Y127" s="15"/>
      <c r="Z127" s="13"/>
      <c r="AA127" s="15"/>
      <c r="AB127" s="15"/>
      <c r="AC127" s="15"/>
      <c r="AD127" s="15"/>
      <c r="AE127" s="15"/>
      <c r="AF127" s="13"/>
      <c r="AG127" s="15"/>
      <c r="AH127" s="13"/>
      <c r="AI127" s="15"/>
      <c r="AJ127" s="13"/>
    </row>
    <row r="128" spans="1:36" x14ac:dyDescent="0.2">
      <c r="A128" s="6"/>
      <c r="B128" s="34"/>
      <c r="C128" s="41"/>
      <c r="D128" s="36"/>
      <c r="E128" s="38"/>
      <c r="F128" s="37"/>
      <c r="G128" s="39"/>
      <c r="H128" s="38"/>
      <c r="I128" s="35"/>
      <c r="J128" s="38"/>
      <c r="K128" s="40"/>
      <c r="L128" s="40"/>
      <c r="M128" s="40"/>
      <c r="N128" s="40"/>
      <c r="O128" s="25"/>
      <c r="P128" s="26"/>
      <c r="Q128" s="12"/>
      <c r="R128" s="12"/>
      <c r="S128" s="13"/>
      <c r="T128" s="14"/>
      <c r="U128" s="15"/>
      <c r="V128" s="15"/>
      <c r="W128" s="15"/>
      <c r="X128" s="14"/>
      <c r="Y128" s="15"/>
      <c r="Z128" s="13"/>
      <c r="AA128" s="15"/>
      <c r="AB128" s="15"/>
      <c r="AC128" s="15"/>
      <c r="AD128" s="15"/>
      <c r="AE128" s="15"/>
      <c r="AF128" s="13"/>
      <c r="AG128" s="15"/>
      <c r="AH128" s="13"/>
      <c r="AI128" s="15"/>
      <c r="AJ128" s="13"/>
    </row>
    <row r="129" spans="1:36" x14ac:dyDescent="0.2">
      <c r="A129" s="6"/>
      <c r="B129" s="34"/>
      <c r="C129" s="41"/>
      <c r="D129" s="36"/>
      <c r="E129" s="38"/>
      <c r="F129" s="37"/>
      <c r="G129" s="39"/>
      <c r="H129" s="38"/>
      <c r="I129" s="35"/>
      <c r="J129" s="38"/>
      <c r="K129" s="40"/>
      <c r="L129" s="40"/>
      <c r="M129" s="40"/>
      <c r="N129" s="40"/>
      <c r="O129" s="25"/>
      <c r="P129" s="26"/>
      <c r="Q129" s="12"/>
      <c r="R129" s="12"/>
      <c r="S129" s="13"/>
      <c r="T129" s="14"/>
      <c r="U129" s="15"/>
      <c r="V129" s="15"/>
      <c r="W129" s="15"/>
      <c r="X129" s="14"/>
      <c r="Y129" s="15"/>
      <c r="Z129" s="13"/>
      <c r="AA129" s="15"/>
      <c r="AB129" s="15"/>
      <c r="AC129" s="15"/>
      <c r="AD129" s="15"/>
      <c r="AE129" s="15"/>
      <c r="AF129" s="13"/>
      <c r="AG129" s="15"/>
      <c r="AH129" s="13"/>
      <c r="AI129" s="15"/>
      <c r="AJ129" s="13"/>
    </row>
    <row r="130" spans="1:36" x14ac:dyDescent="0.2">
      <c r="A130" s="6"/>
      <c r="B130" s="34"/>
      <c r="C130" s="41"/>
      <c r="D130" s="36"/>
      <c r="E130" s="38"/>
      <c r="F130" s="37"/>
      <c r="G130" s="39"/>
      <c r="H130" s="38"/>
      <c r="I130" s="35"/>
      <c r="J130" s="38"/>
      <c r="K130" s="40"/>
      <c r="L130" s="40"/>
      <c r="M130" s="40"/>
      <c r="N130" s="40"/>
      <c r="O130" s="25"/>
      <c r="P130" s="26"/>
      <c r="Q130" s="12"/>
      <c r="R130" s="12"/>
      <c r="S130" s="13"/>
      <c r="T130" s="14"/>
      <c r="U130" s="15"/>
      <c r="V130" s="15"/>
      <c r="W130" s="15"/>
      <c r="X130" s="14"/>
      <c r="Y130" s="15"/>
      <c r="Z130" s="13"/>
      <c r="AA130" s="15"/>
      <c r="AB130" s="15"/>
      <c r="AC130" s="15"/>
      <c r="AD130" s="15"/>
      <c r="AE130" s="15"/>
      <c r="AF130" s="13"/>
      <c r="AG130" s="15"/>
      <c r="AH130" s="13"/>
      <c r="AI130" s="15"/>
      <c r="AJ130" s="13"/>
    </row>
    <row r="131" spans="1:36" x14ac:dyDescent="0.2">
      <c r="A131" s="6"/>
      <c r="B131" s="34"/>
      <c r="C131" s="41"/>
      <c r="D131" s="36"/>
      <c r="E131" s="38"/>
      <c r="F131" s="37"/>
      <c r="G131" s="39"/>
      <c r="H131" s="38"/>
      <c r="I131" s="35"/>
      <c r="J131" s="38"/>
      <c r="K131" s="40"/>
      <c r="L131" s="40"/>
      <c r="M131" s="40"/>
      <c r="N131" s="40"/>
      <c r="O131" s="25"/>
      <c r="P131" s="26"/>
      <c r="Q131" s="12"/>
      <c r="R131" s="12"/>
      <c r="S131" s="13"/>
      <c r="T131" s="14"/>
      <c r="U131" s="15"/>
      <c r="V131" s="15"/>
      <c r="W131" s="15"/>
      <c r="X131" s="14"/>
      <c r="Y131" s="15"/>
      <c r="Z131" s="13"/>
      <c r="AA131" s="15"/>
      <c r="AB131" s="15"/>
      <c r="AC131" s="15"/>
      <c r="AD131" s="15"/>
      <c r="AE131" s="15"/>
      <c r="AF131" s="13"/>
      <c r="AG131" s="15"/>
      <c r="AH131" s="13"/>
      <c r="AI131" s="15"/>
      <c r="AJ131" s="13"/>
    </row>
    <row r="132" spans="1:36" x14ac:dyDescent="0.2">
      <c r="A132" s="6"/>
      <c r="B132" s="34"/>
      <c r="C132" s="41"/>
      <c r="D132" s="36"/>
      <c r="E132" s="38"/>
      <c r="F132" s="37"/>
      <c r="G132" s="39"/>
      <c r="H132" s="38"/>
      <c r="I132" s="35"/>
      <c r="J132" s="38"/>
      <c r="K132" s="40"/>
      <c r="L132" s="40"/>
      <c r="M132" s="40"/>
      <c r="N132" s="40"/>
      <c r="O132" s="25"/>
      <c r="P132" s="26"/>
      <c r="Q132" s="12"/>
      <c r="R132" s="12"/>
      <c r="S132" s="13"/>
      <c r="T132" s="14"/>
      <c r="U132" s="15"/>
      <c r="V132" s="15"/>
      <c r="W132" s="15"/>
      <c r="X132" s="14"/>
      <c r="Y132" s="15"/>
      <c r="Z132" s="13"/>
      <c r="AA132" s="15"/>
      <c r="AB132" s="15"/>
      <c r="AC132" s="15"/>
      <c r="AD132" s="15"/>
      <c r="AE132" s="15"/>
      <c r="AF132" s="13"/>
      <c r="AG132" s="15"/>
      <c r="AH132" s="13"/>
      <c r="AI132" s="15"/>
      <c r="AJ132" s="13"/>
    </row>
    <row r="133" spans="1:36" x14ac:dyDescent="0.2">
      <c r="A133" s="6"/>
      <c r="B133" s="34"/>
      <c r="C133" s="41"/>
      <c r="D133" s="36"/>
      <c r="E133" s="38"/>
      <c r="F133" s="37"/>
      <c r="G133" s="39"/>
      <c r="H133" s="38"/>
      <c r="I133" s="35"/>
      <c r="J133" s="38"/>
      <c r="K133" s="40"/>
      <c r="L133" s="40"/>
      <c r="M133" s="40"/>
      <c r="N133" s="40"/>
      <c r="O133" s="25"/>
      <c r="P133" s="26"/>
      <c r="Q133" s="12"/>
      <c r="R133" s="12"/>
      <c r="S133" s="13"/>
      <c r="T133" s="14"/>
      <c r="U133" s="15"/>
      <c r="V133" s="15"/>
      <c r="W133" s="15"/>
      <c r="X133" s="14"/>
      <c r="Y133" s="15"/>
      <c r="Z133" s="13"/>
      <c r="AA133" s="15"/>
      <c r="AB133" s="15"/>
      <c r="AC133" s="15"/>
      <c r="AD133" s="15"/>
      <c r="AE133" s="15"/>
      <c r="AF133" s="13"/>
      <c r="AG133" s="15"/>
      <c r="AH133" s="13"/>
      <c r="AI133" s="15"/>
      <c r="AJ133" s="13"/>
    </row>
    <row r="134" spans="1:36" x14ac:dyDescent="0.2">
      <c r="A134" s="6"/>
      <c r="B134" s="34"/>
      <c r="C134" s="41"/>
      <c r="D134" s="36"/>
      <c r="E134" s="38"/>
      <c r="F134" s="37"/>
      <c r="G134" s="39"/>
      <c r="H134" s="38"/>
      <c r="I134" s="35"/>
      <c r="J134" s="38"/>
      <c r="K134" s="40"/>
      <c r="L134" s="40"/>
      <c r="M134" s="40"/>
      <c r="N134" s="40"/>
      <c r="O134" s="25"/>
      <c r="P134" s="26"/>
      <c r="Q134" s="12"/>
      <c r="R134" s="12"/>
      <c r="S134" s="13"/>
      <c r="T134" s="14"/>
      <c r="U134" s="15"/>
      <c r="V134" s="15"/>
      <c r="W134" s="15"/>
      <c r="X134" s="14"/>
      <c r="Y134" s="15"/>
      <c r="Z134" s="13"/>
      <c r="AA134" s="15"/>
      <c r="AB134" s="15"/>
      <c r="AC134" s="15"/>
      <c r="AD134" s="15"/>
      <c r="AE134" s="15"/>
      <c r="AF134" s="13"/>
      <c r="AG134" s="15"/>
      <c r="AH134" s="13"/>
      <c r="AI134" s="15"/>
      <c r="AJ134" s="13"/>
    </row>
    <row r="135" spans="1:36" x14ac:dyDescent="0.2">
      <c r="A135" s="6"/>
      <c r="B135" s="34"/>
      <c r="C135" s="41"/>
      <c r="D135" s="36"/>
      <c r="E135" s="38"/>
      <c r="F135" s="37"/>
      <c r="G135" s="39"/>
      <c r="H135" s="38"/>
      <c r="I135" s="35"/>
      <c r="J135" s="38"/>
      <c r="K135" s="40"/>
      <c r="L135" s="40"/>
      <c r="M135" s="40"/>
      <c r="N135" s="40"/>
      <c r="O135" s="25"/>
      <c r="P135" s="26"/>
      <c r="Q135" s="12"/>
      <c r="R135" s="12"/>
      <c r="S135" s="13"/>
      <c r="T135" s="14"/>
      <c r="U135" s="15"/>
      <c r="V135" s="15"/>
      <c r="W135" s="15"/>
      <c r="X135" s="14"/>
      <c r="Y135" s="15"/>
      <c r="Z135" s="13"/>
      <c r="AA135" s="15"/>
      <c r="AB135" s="15"/>
      <c r="AC135" s="15"/>
      <c r="AD135" s="15"/>
      <c r="AE135" s="15"/>
      <c r="AF135" s="13"/>
      <c r="AG135" s="15"/>
      <c r="AH135" s="13"/>
      <c r="AI135" s="15"/>
      <c r="AJ135" s="13"/>
    </row>
    <row r="136" spans="1:36" x14ac:dyDescent="0.2">
      <c r="A136" s="6"/>
      <c r="B136" s="34"/>
      <c r="C136" s="41"/>
      <c r="D136" s="36"/>
      <c r="E136" s="38"/>
      <c r="F136" s="37"/>
      <c r="G136" s="39"/>
      <c r="H136" s="38"/>
      <c r="I136" s="35"/>
      <c r="J136" s="38"/>
      <c r="K136" s="40"/>
      <c r="L136" s="40"/>
      <c r="M136" s="40"/>
      <c r="N136" s="40"/>
      <c r="O136" s="25"/>
      <c r="P136" s="26"/>
      <c r="Q136" s="12"/>
      <c r="R136" s="12"/>
      <c r="S136" s="13"/>
      <c r="T136" s="14"/>
      <c r="U136" s="15"/>
      <c r="V136" s="15"/>
      <c r="W136" s="15"/>
      <c r="X136" s="14"/>
      <c r="Y136" s="15"/>
      <c r="Z136" s="13"/>
      <c r="AA136" s="15"/>
      <c r="AB136" s="15"/>
      <c r="AC136" s="15"/>
      <c r="AD136" s="15"/>
      <c r="AE136" s="15"/>
      <c r="AF136" s="13"/>
      <c r="AG136" s="15"/>
      <c r="AH136" s="13"/>
      <c r="AI136" s="15"/>
      <c r="AJ136" s="13"/>
    </row>
    <row r="137" spans="1:36" x14ac:dyDescent="0.2">
      <c r="A137" s="6"/>
      <c r="B137" s="34"/>
      <c r="C137" s="41"/>
      <c r="D137" s="36"/>
      <c r="E137" s="38"/>
      <c r="F137" s="37"/>
      <c r="G137" s="39"/>
      <c r="H137" s="38"/>
      <c r="I137" s="35"/>
      <c r="J137" s="38"/>
      <c r="K137" s="40"/>
      <c r="L137" s="40"/>
      <c r="M137" s="40"/>
      <c r="N137" s="40"/>
      <c r="O137" s="25"/>
      <c r="P137" s="26"/>
      <c r="Q137" s="12"/>
      <c r="R137" s="12"/>
      <c r="S137" s="13"/>
      <c r="T137" s="14"/>
      <c r="U137" s="15"/>
      <c r="V137" s="15"/>
      <c r="W137" s="15"/>
      <c r="X137" s="14"/>
      <c r="Y137" s="15"/>
      <c r="Z137" s="13"/>
      <c r="AA137" s="15"/>
      <c r="AB137" s="15"/>
      <c r="AC137" s="15"/>
      <c r="AD137" s="15"/>
      <c r="AE137" s="15"/>
      <c r="AF137" s="13"/>
      <c r="AG137" s="15"/>
      <c r="AH137" s="13"/>
      <c r="AI137" s="15"/>
      <c r="AJ137" s="13"/>
    </row>
    <row r="138" spans="1:36" x14ac:dyDescent="0.2">
      <c r="A138" s="6"/>
      <c r="B138" s="34"/>
      <c r="C138" s="41"/>
      <c r="D138" s="36"/>
      <c r="E138" s="38"/>
      <c r="F138" s="37"/>
      <c r="G138" s="39"/>
      <c r="H138" s="38"/>
      <c r="I138" s="35"/>
      <c r="J138" s="38"/>
      <c r="K138" s="40"/>
      <c r="L138" s="40"/>
      <c r="M138" s="40"/>
      <c r="N138" s="40"/>
      <c r="O138" s="25"/>
      <c r="P138" s="26"/>
      <c r="Q138" s="12"/>
      <c r="R138" s="12"/>
      <c r="S138" s="13"/>
      <c r="T138" s="14"/>
      <c r="U138" s="15"/>
      <c r="V138" s="15"/>
      <c r="W138" s="15"/>
      <c r="X138" s="14"/>
      <c r="Y138" s="15"/>
      <c r="Z138" s="13"/>
      <c r="AA138" s="15"/>
      <c r="AB138" s="15"/>
      <c r="AC138" s="15"/>
      <c r="AD138" s="15"/>
      <c r="AE138" s="15"/>
      <c r="AF138" s="13"/>
      <c r="AG138" s="15"/>
      <c r="AH138" s="13"/>
      <c r="AI138" s="15"/>
      <c r="AJ138" s="13"/>
    </row>
    <row r="139" spans="1:36" x14ac:dyDescent="0.2">
      <c r="A139" s="6"/>
      <c r="B139" s="34"/>
      <c r="C139" s="41"/>
      <c r="D139" s="36"/>
      <c r="E139" s="38"/>
      <c r="F139" s="37"/>
      <c r="G139" s="39"/>
      <c r="H139" s="38"/>
      <c r="I139" s="35"/>
      <c r="J139" s="38"/>
      <c r="K139" s="40"/>
      <c r="L139" s="40"/>
      <c r="M139" s="40"/>
      <c r="N139" s="40"/>
      <c r="O139" s="25"/>
      <c r="P139" s="26"/>
      <c r="Q139" s="12"/>
      <c r="R139" s="12"/>
      <c r="S139" s="13"/>
      <c r="T139" s="14"/>
      <c r="U139" s="15"/>
      <c r="V139" s="15"/>
      <c r="W139" s="15"/>
      <c r="X139" s="14"/>
      <c r="Y139" s="15"/>
      <c r="Z139" s="13"/>
      <c r="AA139" s="15"/>
      <c r="AB139" s="15"/>
      <c r="AC139" s="15"/>
      <c r="AD139" s="15"/>
      <c r="AE139" s="15"/>
      <c r="AF139" s="13"/>
      <c r="AG139" s="15"/>
      <c r="AH139" s="13"/>
      <c r="AI139" s="15"/>
      <c r="AJ139" s="13"/>
    </row>
    <row r="140" spans="1:36" x14ac:dyDescent="0.2">
      <c r="A140" s="6"/>
      <c r="B140" s="34"/>
      <c r="C140" s="41"/>
      <c r="D140" s="36"/>
      <c r="E140" s="38"/>
      <c r="F140" s="37"/>
      <c r="G140" s="39"/>
      <c r="H140" s="38"/>
      <c r="I140" s="35"/>
      <c r="J140" s="38"/>
      <c r="K140" s="40"/>
      <c r="L140" s="40"/>
      <c r="M140" s="40"/>
      <c r="N140" s="40"/>
      <c r="O140" s="25"/>
      <c r="P140" s="26"/>
      <c r="Q140" s="12"/>
      <c r="R140" s="12"/>
      <c r="S140" s="13"/>
      <c r="T140" s="14"/>
      <c r="U140" s="15"/>
      <c r="V140" s="15"/>
      <c r="W140" s="15"/>
      <c r="X140" s="14"/>
      <c r="Y140" s="15"/>
      <c r="Z140" s="13"/>
      <c r="AA140" s="15"/>
      <c r="AB140" s="15"/>
      <c r="AC140" s="15"/>
      <c r="AD140" s="15"/>
      <c r="AE140" s="15"/>
      <c r="AF140" s="13"/>
      <c r="AG140" s="15"/>
      <c r="AH140" s="13"/>
      <c r="AI140" s="15"/>
      <c r="AJ140" s="13"/>
    </row>
    <row r="141" spans="1:36" x14ac:dyDescent="0.2">
      <c r="A141" s="6"/>
      <c r="B141" s="34"/>
      <c r="C141" s="41"/>
      <c r="D141" s="36"/>
      <c r="E141" s="38"/>
      <c r="F141" s="37"/>
      <c r="G141" s="39"/>
      <c r="H141" s="38"/>
      <c r="I141" s="35"/>
      <c r="J141" s="38"/>
      <c r="K141" s="40"/>
      <c r="L141" s="40"/>
      <c r="M141" s="40"/>
      <c r="N141" s="40"/>
      <c r="O141" s="25"/>
      <c r="P141" s="26"/>
      <c r="Q141" s="12"/>
      <c r="R141" s="12"/>
      <c r="S141" s="13"/>
      <c r="T141" s="14"/>
      <c r="U141" s="15"/>
      <c r="V141" s="15"/>
      <c r="W141" s="15"/>
      <c r="X141" s="14"/>
      <c r="Y141" s="15"/>
      <c r="Z141" s="13"/>
      <c r="AA141" s="15"/>
      <c r="AB141" s="15"/>
      <c r="AC141" s="15"/>
      <c r="AD141" s="15"/>
      <c r="AE141" s="15"/>
      <c r="AF141" s="13"/>
      <c r="AG141" s="15"/>
      <c r="AH141" s="13"/>
      <c r="AI141" s="15"/>
      <c r="AJ141" s="13"/>
    </row>
    <row r="142" spans="1:36" x14ac:dyDescent="0.2">
      <c r="A142" s="6"/>
      <c r="B142" s="34"/>
      <c r="C142" s="41"/>
      <c r="D142" s="36"/>
      <c r="E142" s="38"/>
      <c r="F142" s="37"/>
      <c r="G142" s="39"/>
      <c r="H142" s="38"/>
      <c r="I142" s="35"/>
      <c r="J142" s="38"/>
      <c r="K142" s="40"/>
      <c r="L142" s="40"/>
      <c r="M142" s="40"/>
      <c r="N142" s="40"/>
      <c r="O142" s="25"/>
      <c r="P142" s="26"/>
      <c r="Q142" s="12"/>
      <c r="R142" s="12"/>
      <c r="S142" s="13"/>
      <c r="T142" s="14"/>
      <c r="U142" s="15"/>
      <c r="V142" s="15"/>
      <c r="W142" s="15"/>
      <c r="X142" s="14"/>
      <c r="Y142" s="15"/>
      <c r="Z142" s="13"/>
      <c r="AA142" s="15"/>
      <c r="AB142" s="15"/>
      <c r="AC142" s="15"/>
      <c r="AD142" s="15"/>
      <c r="AE142" s="15"/>
      <c r="AF142" s="13"/>
      <c r="AG142" s="15"/>
      <c r="AH142" s="13"/>
      <c r="AI142" s="15"/>
      <c r="AJ142" s="13"/>
    </row>
    <row r="143" spans="1:36" x14ac:dyDescent="0.2">
      <c r="A143" s="6"/>
      <c r="B143" s="34"/>
      <c r="C143" s="41"/>
      <c r="D143" s="36"/>
      <c r="E143" s="38"/>
      <c r="F143" s="37"/>
      <c r="G143" s="39"/>
      <c r="H143" s="38"/>
      <c r="I143" s="35"/>
      <c r="J143" s="38"/>
      <c r="K143" s="40"/>
      <c r="L143" s="40"/>
      <c r="M143" s="40"/>
      <c r="N143" s="40"/>
      <c r="O143" s="25"/>
      <c r="P143" s="26"/>
      <c r="Q143" s="12"/>
      <c r="R143" s="12"/>
      <c r="S143" s="13"/>
      <c r="T143" s="14"/>
      <c r="U143" s="15"/>
      <c r="V143" s="15"/>
      <c r="W143" s="15"/>
      <c r="X143" s="14"/>
      <c r="Y143" s="15"/>
      <c r="Z143" s="13"/>
      <c r="AA143" s="15"/>
      <c r="AB143" s="15"/>
      <c r="AC143" s="15"/>
      <c r="AD143" s="15"/>
      <c r="AE143" s="15"/>
      <c r="AF143" s="13"/>
      <c r="AG143" s="15"/>
      <c r="AH143" s="13"/>
      <c r="AI143" s="15"/>
      <c r="AJ143" s="13"/>
    </row>
    <row r="144" spans="1:36" x14ac:dyDescent="0.2">
      <c r="A144" s="6"/>
      <c r="B144" s="34"/>
      <c r="C144" s="41"/>
      <c r="D144" s="36"/>
      <c r="E144" s="38"/>
      <c r="F144" s="37"/>
      <c r="G144" s="39"/>
      <c r="H144" s="38"/>
      <c r="I144" s="35"/>
      <c r="J144" s="38"/>
      <c r="K144" s="40"/>
      <c r="L144" s="40"/>
      <c r="M144" s="40"/>
      <c r="N144" s="40"/>
      <c r="O144" s="25"/>
      <c r="P144" s="26"/>
      <c r="Q144" s="12"/>
      <c r="R144" s="12"/>
      <c r="S144" s="13"/>
      <c r="T144" s="14"/>
      <c r="U144" s="15"/>
      <c r="V144" s="15"/>
      <c r="W144" s="15"/>
      <c r="X144" s="14"/>
      <c r="Y144" s="15"/>
      <c r="Z144" s="13"/>
      <c r="AA144" s="15"/>
      <c r="AB144" s="15"/>
      <c r="AC144" s="15"/>
      <c r="AD144" s="15"/>
      <c r="AE144" s="15"/>
      <c r="AF144" s="13"/>
      <c r="AG144" s="15"/>
      <c r="AH144" s="13"/>
      <c r="AI144" s="15"/>
      <c r="AJ144" s="13"/>
    </row>
    <row r="145" spans="1:36" x14ac:dyDescent="0.2">
      <c r="A145" s="6"/>
      <c r="B145" s="34"/>
      <c r="C145" s="41"/>
      <c r="D145" s="36"/>
      <c r="E145" s="38"/>
      <c r="F145" s="37"/>
      <c r="G145" s="39"/>
      <c r="H145" s="38"/>
      <c r="I145" s="35"/>
      <c r="J145" s="38"/>
      <c r="K145" s="40"/>
      <c r="L145" s="40"/>
      <c r="M145" s="40"/>
      <c r="N145" s="40"/>
      <c r="O145" s="25"/>
      <c r="P145" s="26"/>
      <c r="Q145" s="12"/>
      <c r="R145" s="12"/>
      <c r="S145" s="13"/>
      <c r="T145" s="14"/>
      <c r="U145" s="15"/>
      <c r="V145" s="15"/>
      <c r="W145" s="15"/>
      <c r="X145" s="14"/>
      <c r="Y145" s="15"/>
      <c r="Z145" s="13"/>
      <c r="AA145" s="15"/>
      <c r="AB145" s="15"/>
      <c r="AC145" s="15"/>
      <c r="AD145" s="15"/>
      <c r="AE145" s="15"/>
      <c r="AF145" s="13"/>
      <c r="AG145" s="15"/>
      <c r="AH145" s="13"/>
      <c r="AI145" s="15"/>
      <c r="AJ145" s="13"/>
    </row>
    <row r="146" spans="1:36" x14ac:dyDescent="0.2">
      <c r="A146" s="6"/>
      <c r="B146" s="34"/>
      <c r="C146" s="41"/>
      <c r="D146" s="36"/>
      <c r="E146" s="38"/>
      <c r="F146" s="37"/>
      <c r="G146" s="39"/>
      <c r="H146" s="38"/>
      <c r="I146" s="35"/>
      <c r="J146" s="38"/>
      <c r="K146" s="40"/>
      <c r="L146" s="40"/>
      <c r="M146" s="40"/>
      <c r="N146" s="40"/>
      <c r="O146" s="25"/>
      <c r="P146" s="26"/>
      <c r="Q146" s="12"/>
      <c r="R146" s="12"/>
      <c r="S146" s="13"/>
      <c r="T146" s="14"/>
      <c r="U146" s="15"/>
      <c r="V146" s="15"/>
      <c r="W146" s="15"/>
      <c r="X146" s="14"/>
      <c r="Y146" s="15"/>
      <c r="Z146" s="13"/>
      <c r="AA146" s="15"/>
      <c r="AB146" s="15"/>
      <c r="AC146" s="15"/>
      <c r="AD146" s="15"/>
      <c r="AE146" s="15"/>
      <c r="AF146" s="13"/>
      <c r="AG146" s="15"/>
      <c r="AH146" s="13"/>
      <c r="AI146" s="15"/>
      <c r="AJ146" s="13"/>
    </row>
    <row r="147" spans="1:36" x14ac:dyDescent="0.2">
      <c r="A147" s="6"/>
      <c r="B147" s="34"/>
      <c r="C147" s="41"/>
      <c r="D147" s="36"/>
      <c r="E147" s="38"/>
      <c r="F147" s="37"/>
      <c r="G147" s="39"/>
      <c r="H147" s="38"/>
      <c r="I147" s="35"/>
      <c r="J147" s="38"/>
      <c r="K147" s="40"/>
      <c r="L147" s="40"/>
      <c r="M147" s="40"/>
      <c r="N147" s="40"/>
      <c r="O147" s="25"/>
      <c r="P147" s="26"/>
      <c r="Q147" s="12"/>
      <c r="R147" s="12"/>
      <c r="S147" s="13"/>
      <c r="T147" s="14"/>
      <c r="U147" s="15"/>
      <c r="V147" s="15"/>
      <c r="W147" s="15"/>
      <c r="X147" s="14"/>
      <c r="Y147" s="15"/>
      <c r="Z147" s="13"/>
      <c r="AA147" s="15"/>
      <c r="AB147" s="15"/>
      <c r="AC147" s="15"/>
      <c r="AD147" s="15"/>
      <c r="AE147" s="15"/>
      <c r="AF147" s="13"/>
      <c r="AG147" s="15"/>
      <c r="AH147" s="13"/>
      <c r="AI147" s="15"/>
      <c r="AJ147" s="13"/>
    </row>
    <row r="148" spans="1:36" x14ac:dyDescent="0.2">
      <c r="A148" s="6"/>
      <c r="B148" s="34"/>
      <c r="C148" s="41"/>
      <c r="D148" s="36"/>
      <c r="E148" s="38"/>
      <c r="F148" s="37"/>
      <c r="G148" s="39"/>
      <c r="H148" s="38"/>
      <c r="I148" s="35"/>
      <c r="J148" s="38"/>
      <c r="K148" s="40"/>
      <c r="L148" s="40"/>
      <c r="M148" s="40"/>
      <c r="N148" s="40"/>
      <c r="O148" s="25"/>
      <c r="P148" s="26"/>
      <c r="Q148" s="12"/>
      <c r="R148" s="12"/>
      <c r="S148" s="13"/>
      <c r="T148" s="14"/>
      <c r="U148" s="15"/>
      <c r="V148" s="15"/>
      <c r="W148" s="15"/>
      <c r="X148" s="14"/>
      <c r="Y148" s="15"/>
      <c r="Z148" s="13"/>
      <c r="AA148" s="15"/>
      <c r="AB148" s="15"/>
      <c r="AC148" s="15"/>
      <c r="AD148" s="15"/>
      <c r="AE148" s="15"/>
      <c r="AF148" s="13"/>
      <c r="AG148" s="15"/>
      <c r="AH148" s="13"/>
      <c r="AI148" s="15"/>
      <c r="AJ148" s="13"/>
    </row>
    <row r="149" spans="1:36" x14ac:dyDescent="0.2">
      <c r="A149" s="6"/>
      <c r="B149" s="34"/>
      <c r="C149" s="41"/>
      <c r="D149" s="36"/>
      <c r="E149" s="38"/>
      <c r="F149" s="37"/>
      <c r="G149" s="39"/>
      <c r="H149" s="38"/>
      <c r="I149" s="35"/>
      <c r="J149" s="38"/>
      <c r="K149" s="40"/>
      <c r="L149" s="40"/>
      <c r="M149" s="40"/>
      <c r="N149" s="40"/>
      <c r="O149" s="25"/>
      <c r="P149" s="26"/>
      <c r="Q149" s="12"/>
      <c r="R149" s="12"/>
      <c r="S149" s="13"/>
      <c r="T149" s="14"/>
      <c r="U149" s="15"/>
      <c r="V149" s="15"/>
      <c r="W149" s="15"/>
      <c r="X149" s="14"/>
      <c r="Y149" s="15"/>
      <c r="Z149" s="13"/>
      <c r="AA149" s="15"/>
      <c r="AB149" s="15"/>
      <c r="AC149" s="15"/>
      <c r="AD149" s="15"/>
      <c r="AE149" s="15"/>
      <c r="AF149" s="13"/>
      <c r="AG149" s="15"/>
      <c r="AH149" s="13"/>
      <c r="AI149" s="15"/>
      <c r="AJ149" s="13"/>
    </row>
    <row r="150" spans="1:36" x14ac:dyDescent="0.2">
      <c r="A150" s="6"/>
      <c r="B150" s="34"/>
      <c r="C150" s="41"/>
      <c r="D150" s="36"/>
      <c r="E150" s="38"/>
      <c r="F150" s="37"/>
      <c r="G150" s="39"/>
      <c r="H150" s="38"/>
      <c r="I150" s="35"/>
      <c r="J150" s="38"/>
      <c r="K150" s="40"/>
      <c r="L150" s="40"/>
      <c r="M150" s="40"/>
      <c r="N150" s="40"/>
      <c r="O150" s="25"/>
      <c r="P150" s="26"/>
      <c r="Q150" s="12"/>
      <c r="R150" s="12"/>
      <c r="S150" s="13"/>
      <c r="T150" s="14"/>
      <c r="U150" s="15"/>
      <c r="V150" s="15"/>
      <c r="W150" s="15"/>
      <c r="X150" s="14"/>
      <c r="Y150" s="15"/>
      <c r="Z150" s="13"/>
      <c r="AA150" s="15"/>
      <c r="AB150" s="15"/>
      <c r="AC150" s="15"/>
      <c r="AD150" s="15"/>
      <c r="AE150" s="15"/>
      <c r="AF150" s="13"/>
      <c r="AG150" s="15"/>
      <c r="AH150" s="13"/>
      <c r="AI150" s="15"/>
      <c r="AJ150" s="13"/>
    </row>
    <row r="151" spans="1:36" x14ac:dyDescent="0.2">
      <c r="A151" s="6"/>
      <c r="B151" s="34"/>
      <c r="C151" s="41"/>
      <c r="D151" s="36"/>
      <c r="E151" s="38"/>
      <c r="F151" s="37"/>
      <c r="G151" s="39"/>
      <c r="H151" s="38"/>
      <c r="I151" s="35"/>
      <c r="J151" s="38"/>
      <c r="K151" s="40"/>
      <c r="L151" s="40"/>
      <c r="M151" s="40"/>
      <c r="N151" s="40"/>
      <c r="O151" s="25"/>
      <c r="P151" s="26"/>
      <c r="Q151" s="12"/>
      <c r="R151" s="12"/>
      <c r="S151" s="13"/>
      <c r="T151" s="14"/>
      <c r="U151" s="15"/>
      <c r="V151" s="15"/>
      <c r="W151" s="15"/>
      <c r="X151" s="14"/>
      <c r="Y151" s="15"/>
      <c r="Z151" s="13"/>
      <c r="AA151" s="15"/>
      <c r="AB151" s="15"/>
      <c r="AC151" s="15"/>
      <c r="AD151" s="15"/>
      <c r="AE151" s="15"/>
      <c r="AF151" s="13"/>
      <c r="AG151" s="15"/>
      <c r="AH151" s="13"/>
      <c r="AI151" s="15"/>
      <c r="AJ151" s="13"/>
    </row>
    <row r="152" spans="1:36" x14ac:dyDescent="0.2">
      <c r="A152" s="6"/>
      <c r="B152" s="34"/>
      <c r="C152" s="41"/>
      <c r="D152" s="36"/>
      <c r="E152" s="38"/>
      <c r="F152" s="37"/>
      <c r="G152" s="39"/>
      <c r="H152" s="38"/>
      <c r="I152" s="35"/>
      <c r="J152" s="38"/>
      <c r="K152" s="40"/>
      <c r="L152" s="40"/>
      <c r="M152" s="40"/>
      <c r="N152" s="40"/>
      <c r="O152" s="25"/>
      <c r="P152" s="26"/>
      <c r="Q152" s="12"/>
      <c r="R152" s="12"/>
      <c r="S152" s="13"/>
      <c r="T152" s="14"/>
      <c r="U152" s="15"/>
      <c r="V152" s="15"/>
      <c r="W152" s="15"/>
      <c r="X152" s="14"/>
      <c r="Y152" s="15"/>
      <c r="Z152" s="13"/>
      <c r="AA152" s="15"/>
      <c r="AB152" s="15"/>
      <c r="AC152" s="15"/>
      <c r="AD152" s="15"/>
      <c r="AE152" s="15"/>
      <c r="AF152" s="13"/>
      <c r="AG152" s="15"/>
      <c r="AH152" s="13"/>
      <c r="AI152" s="15"/>
      <c r="AJ152" s="13"/>
    </row>
    <row r="153" spans="1:36" x14ac:dyDescent="0.2">
      <c r="A153" s="6"/>
      <c r="B153" s="34"/>
      <c r="C153" s="41"/>
      <c r="D153" s="36"/>
      <c r="E153" s="38"/>
      <c r="F153" s="37"/>
      <c r="G153" s="39"/>
      <c r="H153" s="38"/>
      <c r="I153" s="35"/>
      <c r="J153" s="38"/>
      <c r="K153" s="40"/>
      <c r="L153" s="40"/>
      <c r="M153" s="40"/>
      <c r="N153" s="40"/>
      <c r="O153" s="25"/>
      <c r="P153" s="26"/>
      <c r="Q153" s="12"/>
      <c r="R153" s="12"/>
      <c r="S153" s="13"/>
      <c r="T153" s="14"/>
      <c r="U153" s="15"/>
      <c r="V153" s="15"/>
      <c r="W153" s="15"/>
      <c r="X153" s="14"/>
      <c r="Y153" s="15"/>
      <c r="Z153" s="13"/>
      <c r="AA153" s="15"/>
      <c r="AB153" s="15"/>
      <c r="AC153" s="15"/>
      <c r="AD153" s="15"/>
      <c r="AE153" s="15"/>
      <c r="AF153" s="13"/>
      <c r="AG153" s="15"/>
      <c r="AH153" s="13"/>
      <c r="AI153" s="15"/>
      <c r="AJ153" s="13"/>
    </row>
    <row r="154" spans="1:36" x14ac:dyDescent="0.2">
      <c r="A154" s="6"/>
      <c r="B154" s="34"/>
      <c r="C154" s="41"/>
      <c r="D154" s="36"/>
      <c r="E154" s="38"/>
      <c r="F154" s="37"/>
      <c r="G154" s="39"/>
      <c r="H154" s="38"/>
      <c r="I154" s="35"/>
      <c r="J154" s="38"/>
      <c r="K154" s="40"/>
      <c r="L154" s="40"/>
      <c r="M154" s="40"/>
      <c r="N154" s="40"/>
      <c r="O154" s="25"/>
      <c r="P154" s="26"/>
      <c r="Q154" s="12"/>
      <c r="R154" s="12"/>
      <c r="S154" s="13"/>
      <c r="T154" s="14"/>
      <c r="U154" s="15"/>
      <c r="V154" s="15"/>
      <c r="W154" s="15"/>
      <c r="X154" s="14"/>
      <c r="Y154" s="15"/>
      <c r="Z154" s="13"/>
      <c r="AA154" s="15"/>
      <c r="AB154" s="15"/>
      <c r="AC154" s="15"/>
      <c r="AD154" s="15"/>
      <c r="AE154" s="15"/>
      <c r="AF154" s="13"/>
      <c r="AG154" s="15"/>
      <c r="AH154" s="13"/>
      <c r="AI154" s="15"/>
      <c r="AJ154" s="13"/>
    </row>
    <row r="155" spans="1:36" x14ac:dyDescent="0.2">
      <c r="A155" s="6"/>
      <c r="B155" s="34"/>
      <c r="C155" s="41"/>
      <c r="D155" s="36"/>
      <c r="E155" s="38"/>
      <c r="F155" s="37"/>
      <c r="G155" s="39"/>
      <c r="H155" s="38"/>
      <c r="I155" s="35"/>
      <c r="J155" s="38"/>
      <c r="K155" s="50"/>
      <c r="L155" s="40"/>
      <c r="M155" s="51"/>
      <c r="N155" s="51"/>
      <c r="O155" s="25"/>
      <c r="P155" s="26"/>
      <c r="Q155" s="12"/>
      <c r="R155" s="12"/>
      <c r="S155" s="13"/>
      <c r="T155" s="14"/>
      <c r="U155" s="15"/>
      <c r="V155" s="15"/>
      <c r="W155" s="15"/>
      <c r="X155" s="14"/>
      <c r="Y155" s="15"/>
      <c r="Z155" s="13"/>
      <c r="AA155" s="15"/>
      <c r="AB155" s="15"/>
      <c r="AC155" s="15"/>
      <c r="AD155" s="15"/>
      <c r="AE155" s="15"/>
      <c r="AF155" s="13"/>
      <c r="AG155" s="15"/>
      <c r="AH155" s="13"/>
      <c r="AI155" s="15"/>
      <c r="AJ155" s="13"/>
    </row>
    <row r="156" spans="1:36" x14ac:dyDescent="0.2">
      <c r="A156" s="6"/>
      <c r="B156" s="34"/>
      <c r="C156" s="41"/>
      <c r="D156" s="36"/>
      <c r="E156" s="38"/>
      <c r="F156" s="37"/>
      <c r="G156" s="39"/>
      <c r="H156" s="38"/>
      <c r="I156" s="35"/>
      <c r="J156" s="38"/>
      <c r="K156" s="50"/>
      <c r="L156" s="40"/>
      <c r="M156" s="51"/>
      <c r="N156" s="51"/>
      <c r="O156" s="25"/>
      <c r="P156" s="26"/>
      <c r="Q156" s="12"/>
      <c r="R156" s="12"/>
      <c r="S156" s="13"/>
      <c r="T156" s="14"/>
      <c r="U156" s="15"/>
      <c r="V156" s="15"/>
      <c r="W156" s="15"/>
      <c r="X156" s="14"/>
      <c r="Y156" s="15"/>
      <c r="Z156" s="13"/>
      <c r="AA156" s="15"/>
      <c r="AB156" s="15"/>
      <c r="AC156" s="15"/>
      <c r="AD156" s="15"/>
      <c r="AE156" s="15"/>
      <c r="AF156" s="13"/>
      <c r="AG156" s="15"/>
      <c r="AH156" s="13"/>
      <c r="AI156" s="15"/>
      <c r="AJ156" s="13"/>
    </row>
    <row r="157" spans="1:36" x14ac:dyDescent="0.2">
      <c r="A157" s="6"/>
      <c r="B157" s="34"/>
      <c r="C157" s="41"/>
      <c r="D157" s="36"/>
      <c r="E157" s="38"/>
      <c r="F157" s="37"/>
      <c r="G157" s="39"/>
      <c r="H157" s="38"/>
      <c r="I157" s="35"/>
      <c r="J157" s="38"/>
      <c r="K157" s="50"/>
      <c r="L157" s="40"/>
      <c r="M157" s="51"/>
      <c r="N157" s="51"/>
      <c r="O157" s="25"/>
      <c r="P157" s="26"/>
      <c r="Q157" s="12"/>
      <c r="R157" s="12"/>
      <c r="S157" s="13"/>
      <c r="T157" s="14"/>
      <c r="U157" s="15"/>
      <c r="V157" s="15"/>
      <c r="W157" s="15"/>
      <c r="X157" s="14"/>
      <c r="Y157" s="15"/>
      <c r="Z157" s="13"/>
      <c r="AA157" s="15"/>
      <c r="AB157" s="15"/>
      <c r="AC157" s="15"/>
      <c r="AD157" s="15"/>
      <c r="AE157" s="15"/>
      <c r="AF157" s="13"/>
      <c r="AG157" s="15"/>
      <c r="AH157" s="13"/>
      <c r="AI157" s="15"/>
      <c r="AJ157" s="13"/>
    </row>
    <row r="158" spans="1:36" x14ac:dyDescent="0.2">
      <c r="A158" s="6"/>
      <c r="B158" s="34"/>
      <c r="C158" s="41"/>
      <c r="D158" s="36"/>
      <c r="E158" s="38"/>
      <c r="F158" s="42"/>
      <c r="G158" s="39"/>
      <c r="H158" s="38"/>
      <c r="I158" s="35"/>
      <c r="J158" s="38"/>
      <c r="K158" s="40"/>
      <c r="L158" s="40"/>
      <c r="M158" s="40"/>
      <c r="N158" s="40"/>
      <c r="O158" s="25"/>
      <c r="P158" s="26"/>
      <c r="Q158" s="12"/>
      <c r="R158" s="12"/>
      <c r="S158" s="13"/>
      <c r="T158" s="14"/>
      <c r="U158" s="15"/>
      <c r="V158" s="15"/>
      <c r="W158" s="15"/>
      <c r="X158" s="14"/>
      <c r="Y158" s="15"/>
      <c r="Z158" s="13"/>
      <c r="AA158" s="15"/>
      <c r="AB158" s="15"/>
      <c r="AC158" s="15"/>
      <c r="AD158" s="15"/>
      <c r="AE158" s="15"/>
      <c r="AF158" s="13"/>
      <c r="AG158" s="15"/>
      <c r="AH158" s="13"/>
      <c r="AI158" s="15"/>
      <c r="AJ158" s="13"/>
    </row>
    <row r="159" spans="1:36" x14ac:dyDescent="0.2">
      <c r="A159" s="6"/>
      <c r="B159" s="34"/>
      <c r="C159" s="41"/>
      <c r="D159" s="36"/>
      <c r="E159" s="38"/>
      <c r="F159" s="37"/>
      <c r="G159" s="39"/>
      <c r="H159" s="38"/>
      <c r="I159" s="35"/>
      <c r="J159" s="38"/>
      <c r="K159" s="40"/>
      <c r="L159" s="40"/>
      <c r="M159" s="40"/>
      <c r="N159" s="40"/>
      <c r="O159" s="25"/>
      <c r="P159" s="26"/>
      <c r="Q159" s="12"/>
      <c r="R159" s="12"/>
      <c r="S159" s="13"/>
      <c r="T159" s="14"/>
      <c r="U159" s="15"/>
      <c r="V159" s="15"/>
      <c r="W159" s="15"/>
      <c r="X159" s="14"/>
      <c r="Y159" s="15"/>
      <c r="Z159" s="13"/>
      <c r="AA159" s="15"/>
      <c r="AB159" s="15"/>
      <c r="AC159" s="15"/>
      <c r="AD159" s="15"/>
      <c r="AE159" s="15"/>
      <c r="AF159" s="13"/>
      <c r="AG159" s="15"/>
      <c r="AH159" s="13"/>
      <c r="AI159" s="15"/>
      <c r="AJ159" s="13"/>
    </row>
    <row r="160" spans="1:36" x14ac:dyDescent="0.2">
      <c r="A160" s="6"/>
      <c r="B160" s="34"/>
      <c r="C160" s="41"/>
      <c r="D160" s="36"/>
      <c r="E160" s="38"/>
      <c r="F160" s="37"/>
      <c r="G160" s="39"/>
      <c r="H160" s="38"/>
      <c r="I160" s="35"/>
      <c r="J160" s="38"/>
      <c r="K160" s="40"/>
      <c r="L160" s="40"/>
      <c r="M160" s="40"/>
      <c r="N160" s="40"/>
      <c r="O160" s="25"/>
      <c r="P160" s="26"/>
      <c r="Q160" s="12"/>
      <c r="R160" s="12"/>
      <c r="S160" s="13"/>
      <c r="T160" s="14"/>
      <c r="U160" s="15"/>
      <c r="V160" s="15"/>
      <c r="W160" s="15"/>
      <c r="X160" s="14"/>
      <c r="Y160" s="15"/>
      <c r="Z160" s="13"/>
      <c r="AA160" s="15"/>
      <c r="AB160" s="15"/>
      <c r="AC160" s="15"/>
      <c r="AD160" s="15"/>
      <c r="AE160" s="15"/>
      <c r="AF160" s="13"/>
      <c r="AG160" s="15"/>
      <c r="AH160" s="13"/>
      <c r="AI160" s="15"/>
      <c r="AJ160" s="13"/>
    </row>
    <row r="161" spans="1:36" x14ac:dyDescent="0.2">
      <c r="A161" s="6"/>
      <c r="B161" s="34"/>
      <c r="C161" s="41"/>
      <c r="D161" s="36"/>
      <c r="E161" s="38"/>
      <c r="F161" s="37"/>
      <c r="G161" s="39"/>
      <c r="H161" s="38"/>
      <c r="I161" s="35"/>
      <c r="J161" s="38"/>
      <c r="K161" s="40"/>
      <c r="L161" s="40"/>
      <c r="M161" s="40"/>
      <c r="N161" s="40"/>
      <c r="O161" s="25"/>
      <c r="P161" s="26"/>
      <c r="Q161" s="12"/>
      <c r="R161" s="12"/>
      <c r="S161" s="13"/>
      <c r="T161" s="14"/>
      <c r="U161" s="15"/>
      <c r="V161" s="15"/>
      <c r="W161" s="15"/>
      <c r="X161" s="14"/>
      <c r="Y161" s="15"/>
      <c r="Z161" s="13"/>
      <c r="AA161" s="15"/>
      <c r="AB161" s="15"/>
      <c r="AC161" s="15"/>
      <c r="AD161" s="15"/>
      <c r="AE161" s="15"/>
      <c r="AF161" s="13"/>
      <c r="AG161" s="15"/>
      <c r="AH161" s="13"/>
      <c r="AI161" s="15"/>
      <c r="AJ161" s="13"/>
    </row>
    <row r="162" spans="1:36" x14ac:dyDescent="0.2">
      <c r="A162" s="6"/>
      <c r="B162" s="34"/>
      <c r="C162" s="41"/>
      <c r="D162" s="36"/>
      <c r="E162" s="38"/>
      <c r="F162" s="37"/>
      <c r="G162" s="39"/>
      <c r="H162" s="38"/>
      <c r="I162" s="35"/>
      <c r="J162" s="38"/>
      <c r="K162" s="40"/>
      <c r="L162" s="40"/>
      <c r="M162" s="40"/>
      <c r="N162" s="40"/>
      <c r="O162" s="25"/>
      <c r="P162" s="26"/>
      <c r="Q162" s="12"/>
      <c r="R162" s="12"/>
      <c r="S162" s="13"/>
      <c r="T162" s="14"/>
      <c r="U162" s="15"/>
      <c r="V162" s="15"/>
      <c r="W162" s="15"/>
      <c r="X162" s="14"/>
      <c r="Y162" s="15"/>
      <c r="Z162" s="13"/>
      <c r="AA162" s="15"/>
      <c r="AB162" s="15"/>
      <c r="AC162" s="15"/>
      <c r="AD162" s="15"/>
      <c r="AE162" s="15"/>
      <c r="AF162" s="13"/>
      <c r="AG162" s="15"/>
      <c r="AH162" s="13"/>
      <c r="AI162" s="15"/>
      <c r="AJ162" s="13"/>
    </row>
    <row r="163" spans="1:36" x14ac:dyDescent="0.2">
      <c r="A163" s="6"/>
      <c r="B163" s="34"/>
      <c r="C163" s="41"/>
      <c r="D163" s="36"/>
      <c r="E163" s="38"/>
      <c r="F163" s="37"/>
      <c r="G163" s="39"/>
      <c r="H163" s="38"/>
      <c r="I163" s="35"/>
      <c r="J163" s="38"/>
      <c r="K163" s="40"/>
      <c r="L163" s="40"/>
      <c r="M163" s="40"/>
      <c r="N163" s="40"/>
      <c r="O163" s="25"/>
      <c r="P163" s="26"/>
      <c r="Q163" s="12"/>
      <c r="R163" s="12"/>
      <c r="S163" s="13"/>
      <c r="T163" s="14"/>
      <c r="U163" s="15"/>
      <c r="V163" s="15"/>
      <c r="W163" s="15"/>
      <c r="X163" s="14"/>
      <c r="Y163" s="15"/>
      <c r="Z163" s="13"/>
      <c r="AA163" s="15"/>
      <c r="AB163" s="15"/>
      <c r="AC163" s="15"/>
      <c r="AD163" s="15"/>
      <c r="AE163" s="15"/>
      <c r="AF163" s="13"/>
      <c r="AG163" s="15"/>
      <c r="AH163" s="13"/>
      <c r="AI163" s="15"/>
      <c r="AJ163" s="13"/>
    </row>
    <row r="164" spans="1:36" x14ac:dyDescent="0.2">
      <c r="A164" s="6"/>
      <c r="B164" s="34"/>
      <c r="C164" s="41"/>
      <c r="D164" s="36"/>
      <c r="E164" s="38"/>
      <c r="F164" s="37"/>
      <c r="G164" s="39"/>
      <c r="H164" s="38"/>
      <c r="I164" s="35"/>
      <c r="J164" s="38"/>
      <c r="K164" s="40"/>
      <c r="L164" s="40"/>
      <c r="M164" s="40"/>
      <c r="N164" s="40"/>
      <c r="O164" s="25"/>
      <c r="P164" s="26"/>
      <c r="Q164" s="12"/>
      <c r="R164" s="12"/>
      <c r="S164" s="13"/>
      <c r="T164" s="14"/>
      <c r="U164" s="15"/>
      <c r="V164" s="15"/>
      <c r="W164" s="15"/>
      <c r="X164" s="14"/>
      <c r="Y164" s="15"/>
      <c r="Z164" s="13"/>
      <c r="AA164" s="15"/>
      <c r="AB164" s="15"/>
      <c r="AC164" s="15"/>
      <c r="AD164" s="15"/>
      <c r="AE164" s="15"/>
      <c r="AF164" s="13"/>
      <c r="AG164" s="15"/>
      <c r="AH164" s="13"/>
      <c r="AI164" s="15"/>
      <c r="AJ164" s="13"/>
    </row>
    <row r="165" spans="1:36" x14ac:dyDescent="0.2">
      <c r="A165" s="6"/>
      <c r="B165" s="34"/>
      <c r="C165" s="41"/>
      <c r="D165" s="36"/>
      <c r="E165" s="38"/>
      <c r="F165" s="37"/>
      <c r="G165" s="39"/>
      <c r="H165" s="38"/>
      <c r="I165" s="35"/>
      <c r="J165" s="38"/>
      <c r="K165" s="40"/>
      <c r="L165" s="40"/>
      <c r="M165" s="40"/>
      <c r="N165" s="40"/>
      <c r="O165" s="25"/>
      <c r="P165" s="26"/>
      <c r="Q165" s="12"/>
      <c r="R165" s="12"/>
      <c r="S165" s="13"/>
      <c r="T165" s="14"/>
      <c r="U165" s="15"/>
      <c r="V165" s="15"/>
      <c r="W165" s="15"/>
      <c r="X165" s="14"/>
      <c r="Y165" s="15"/>
      <c r="Z165" s="13"/>
      <c r="AA165" s="15"/>
      <c r="AB165" s="15"/>
      <c r="AC165" s="15"/>
      <c r="AD165" s="15"/>
      <c r="AE165" s="15"/>
      <c r="AF165" s="13"/>
      <c r="AG165" s="15"/>
      <c r="AH165" s="13"/>
      <c r="AI165" s="15"/>
      <c r="AJ165" s="13"/>
    </row>
    <row r="166" spans="1:36" x14ac:dyDescent="0.2">
      <c r="A166" s="6"/>
      <c r="B166" s="34"/>
      <c r="C166" s="41"/>
      <c r="D166" s="36"/>
      <c r="E166" s="38"/>
      <c r="F166" s="37"/>
      <c r="G166" s="39"/>
      <c r="H166" s="38"/>
      <c r="I166" s="35"/>
      <c r="J166" s="38"/>
      <c r="K166" s="40"/>
      <c r="L166" s="40"/>
      <c r="M166" s="40"/>
      <c r="N166" s="40"/>
      <c r="O166" s="25"/>
      <c r="P166" s="26"/>
      <c r="Q166" s="12"/>
      <c r="R166" s="12"/>
      <c r="S166" s="13"/>
      <c r="T166" s="14"/>
      <c r="U166" s="15"/>
      <c r="V166" s="15"/>
      <c r="W166" s="15"/>
      <c r="X166" s="14"/>
      <c r="Y166" s="15"/>
      <c r="Z166" s="13"/>
      <c r="AA166" s="15"/>
      <c r="AB166" s="15"/>
      <c r="AC166" s="15"/>
      <c r="AD166" s="15"/>
      <c r="AE166" s="15"/>
      <c r="AF166" s="13"/>
      <c r="AG166" s="15"/>
      <c r="AH166" s="13"/>
      <c r="AI166" s="15"/>
      <c r="AJ166" s="13"/>
    </row>
    <row r="167" spans="1:36" x14ac:dyDescent="0.2">
      <c r="A167" s="6"/>
      <c r="B167" s="34"/>
      <c r="C167" s="41"/>
      <c r="D167" s="36"/>
      <c r="E167" s="38"/>
      <c r="F167" s="37"/>
      <c r="G167" s="39"/>
      <c r="H167" s="38"/>
      <c r="I167" s="35"/>
      <c r="J167" s="38"/>
      <c r="K167" s="40"/>
      <c r="L167" s="40"/>
      <c r="M167" s="40"/>
      <c r="N167" s="40"/>
      <c r="O167" s="25"/>
      <c r="P167" s="26"/>
      <c r="Q167" s="12"/>
      <c r="R167" s="12"/>
      <c r="S167" s="13"/>
      <c r="T167" s="14"/>
      <c r="U167" s="15"/>
      <c r="V167" s="15"/>
      <c r="W167" s="15"/>
      <c r="X167" s="14"/>
      <c r="Y167" s="15"/>
      <c r="Z167" s="13"/>
      <c r="AA167" s="15"/>
      <c r="AB167" s="15"/>
      <c r="AC167" s="15"/>
      <c r="AD167" s="15"/>
      <c r="AE167" s="15"/>
      <c r="AF167" s="13"/>
      <c r="AG167" s="15"/>
      <c r="AH167" s="13"/>
      <c r="AI167" s="15"/>
      <c r="AJ167" s="13"/>
    </row>
    <row r="168" spans="1:36" x14ac:dyDescent="0.2">
      <c r="A168" s="6"/>
      <c r="B168" s="34"/>
      <c r="C168" s="41"/>
      <c r="D168" s="36"/>
      <c r="E168" s="38"/>
      <c r="F168" s="37"/>
      <c r="G168" s="39"/>
      <c r="H168" s="38"/>
      <c r="I168" s="35"/>
      <c r="J168" s="38"/>
      <c r="K168" s="40"/>
      <c r="L168" s="40"/>
      <c r="M168" s="40"/>
      <c r="N168" s="40"/>
      <c r="O168" s="25"/>
      <c r="P168" s="26"/>
      <c r="Q168" s="12"/>
      <c r="R168" s="12"/>
      <c r="S168" s="13"/>
      <c r="T168" s="14"/>
      <c r="U168" s="15"/>
      <c r="V168" s="15"/>
      <c r="W168" s="15"/>
      <c r="X168" s="14"/>
      <c r="Y168" s="15"/>
      <c r="Z168" s="13"/>
      <c r="AA168" s="15"/>
      <c r="AB168" s="15"/>
      <c r="AC168" s="15"/>
      <c r="AD168" s="15"/>
      <c r="AE168" s="15"/>
      <c r="AF168" s="13"/>
      <c r="AG168" s="15"/>
      <c r="AH168" s="13"/>
      <c r="AI168" s="15"/>
      <c r="AJ168" s="13"/>
    </row>
    <row r="169" spans="1:36" x14ac:dyDescent="0.2">
      <c r="A169" s="6"/>
      <c r="B169" s="34"/>
      <c r="C169" s="41"/>
      <c r="D169" s="36"/>
      <c r="E169" s="38"/>
      <c r="F169" s="37"/>
      <c r="G169" s="39"/>
      <c r="H169" s="38"/>
      <c r="I169" s="35"/>
      <c r="J169" s="38"/>
      <c r="K169" s="40"/>
      <c r="L169" s="40"/>
      <c r="M169" s="40"/>
      <c r="N169" s="40"/>
      <c r="O169" s="25"/>
      <c r="P169" s="26"/>
      <c r="Q169" s="12"/>
      <c r="R169" s="12"/>
      <c r="S169" s="13"/>
      <c r="T169" s="14"/>
      <c r="U169" s="15"/>
      <c r="V169" s="15"/>
      <c r="W169" s="15"/>
      <c r="X169" s="14"/>
      <c r="Y169" s="15"/>
      <c r="Z169" s="13"/>
      <c r="AA169" s="15"/>
      <c r="AB169" s="15"/>
      <c r="AC169" s="15"/>
      <c r="AD169" s="15"/>
      <c r="AE169" s="15"/>
      <c r="AF169" s="13"/>
      <c r="AG169" s="15"/>
      <c r="AH169" s="13"/>
      <c r="AI169" s="15"/>
      <c r="AJ169" s="13"/>
    </row>
    <row r="170" spans="1:36" x14ac:dyDescent="0.2">
      <c r="A170" s="6"/>
      <c r="B170" s="34"/>
      <c r="C170" s="41"/>
      <c r="D170" s="36"/>
      <c r="E170" s="38"/>
      <c r="F170" s="37"/>
      <c r="G170" s="39"/>
      <c r="H170" s="38"/>
      <c r="I170" s="35"/>
      <c r="J170" s="38"/>
      <c r="K170" s="40"/>
      <c r="L170" s="40"/>
      <c r="M170" s="40"/>
      <c r="N170" s="40"/>
      <c r="O170" s="25"/>
      <c r="P170" s="26"/>
      <c r="Q170" s="12"/>
      <c r="R170" s="12"/>
      <c r="S170" s="13"/>
      <c r="T170" s="14"/>
      <c r="U170" s="15"/>
      <c r="V170" s="15"/>
      <c r="W170" s="15"/>
      <c r="X170" s="14"/>
      <c r="Y170" s="15"/>
      <c r="Z170" s="13"/>
      <c r="AA170" s="15"/>
      <c r="AB170" s="15"/>
      <c r="AC170" s="15"/>
      <c r="AD170" s="15"/>
      <c r="AE170" s="15"/>
      <c r="AF170" s="13"/>
      <c r="AG170" s="15"/>
      <c r="AH170" s="13"/>
      <c r="AI170" s="15"/>
      <c r="AJ170" s="13"/>
    </row>
    <row r="171" spans="1:36" x14ac:dyDescent="0.2">
      <c r="A171" s="6"/>
      <c r="B171" s="34"/>
      <c r="C171" s="41"/>
      <c r="D171" s="36"/>
      <c r="E171" s="38"/>
      <c r="F171" s="37"/>
      <c r="G171" s="39"/>
      <c r="H171" s="38"/>
      <c r="I171" s="35"/>
      <c r="J171" s="38"/>
      <c r="K171" s="40"/>
      <c r="L171" s="40"/>
      <c r="M171" s="40"/>
      <c r="N171" s="40"/>
      <c r="O171" s="25"/>
      <c r="P171" s="26"/>
      <c r="Q171" s="12"/>
      <c r="R171" s="12"/>
      <c r="S171" s="13"/>
      <c r="T171" s="14"/>
      <c r="U171" s="15"/>
      <c r="V171" s="15"/>
      <c r="W171" s="15"/>
      <c r="X171" s="14"/>
      <c r="Y171" s="15"/>
      <c r="Z171" s="13"/>
      <c r="AA171" s="15"/>
      <c r="AB171" s="15"/>
      <c r="AC171" s="15"/>
      <c r="AD171" s="15"/>
      <c r="AE171" s="15"/>
      <c r="AF171" s="13"/>
      <c r="AG171" s="15"/>
      <c r="AH171" s="13"/>
      <c r="AI171" s="15"/>
      <c r="AJ171" s="13"/>
    </row>
    <row r="172" spans="1:36" x14ac:dyDescent="0.2">
      <c r="A172" s="6"/>
      <c r="B172" s="34"/>
      <c r="C172" s="41"/>
      <c r="D172" s="36"/>
      <c r="E172" s="38"/>
      <c r="F172" s="37"/>
      <c r="G172" s="39"/>
      <c r="H172" s="38"/>
      <c r="I172" s="35"/>
      <c r="J172" s="38"/>
      <c r="K172" s="40"/>
      <c r="L172" s="40"/>
      <c r="M172" s="40"/>
      <c r="N172" s="40"/>
      <c r="O172" s="25"/>
      <c r="P172" s="26"/>
      <c r="Q172" s="12"/>
      <c r="R172" s="12"/>
      <c r="S172" s="13"/>
      <c r="T172" s="14"/>
      <c r="U172" s="15"/>
      <c r="V172" s="15"/>
      <c r="W172" s="15"/>
      <c r="X172" s="14"/>
      <c r="Y172" s="15"/>
      <c r="Z172" s="13"/>
      <c r="AA172" s="15"/>
      <c r="AB172" s="15"/>
      <c r="AC172" s="15"/>
      <c r="AD172" s="15"/>
      <c r="AE172" s="15"/>
      <c r="AF172" s="13"/>
      <c r="AG172" s="15"/>
      <c r="AH172" s="13"/>
      <c r="AI172" s="15"/>
      <c r="AJ172" s="13"/>
    </row>
    <row r="173" spans="1:36" x14ac:dyDescent="0.2">
      <c r="A173" s="6"/>
      <c r="B173" s="34"/>
      <c r="C173" s="41"/>
      <c r="D173" s="36"/>
      <c r="E173" s="38"/>
      <c r="F173" s="37"/>
      <c r="G173" s="39"/>
      <c r="H173" s="38"/>
      <c r="I173" s="35"/>
      <c r="J173" s="38"/>
      <c r="K173" s="40"/>
      <c r="L173" s="40"/>
      <c r="M173" s="40"/>
      <c r="N173" s="40"/>
      <c r="O173" s="25"/>
      <c r="P173" s="26"/>
      <c r="Q173" s="12"/>
      <c r="R173" s="12"/>
      <c r="S173" s="13"/>
      <c r="T173" s="14"/>
      <c r="U173" s="15"/>
      <c r="V173" s="15"/>
      <c r="W173" s="15"/>
      <c r="X173" s="14"/>
      <c r="Y173" s="15"/>
      <c r="Z173" s="13"/>
      <c r="AA173" s="15"/>
      <c r="AB173" s="15"/>
      <c r="AC173" s="15"/>
      <c r="AD173" s="15"/>
      <c r="AE173" s="15"/>
      <c r="AF173" s="13"/>
      <c r="AG173" s="15"/>
      <c r="AH173" s="13"/>
      <c r="AI173" s="15"/>
      <c r="AJ173" s="13"/>
    </row>
    <row r="174" spans="1:36" x14ac:dyDescent="0.2">
      <c r="A174" s="6"/>
      <c r="B174" s="34"/>
      <c r="C174" s="41"/>
      <c r="D174" s="36"/>
      <c r="E174" s="38"/>
      <c r="F174" s="37"/>
      <c r="G174" s="39"/>
      <c r="H174" s="38"/>
      <c r="I174" s="35"/>
      <c r="J174" s="38"/>
      <c r="K174" s="40"/>
      <c r="L174" s="40"/>
      <c r="M174" s="40"/>
      <c r="N174" s="40"/>
      <c r="O174" s="25"/>
      <c r="P174" s="26"/>
      <c r="Q174" s="12"/>
      <c r="R174" s="12"/>
      <c r="S174" s="13"/>
      <c r="T174" s="14"/>
      <c r="U174" s="15"/>
      <c r="V174" s="15"/>
      <c r="W174" s="15"/>
      <c r="X174" s="14"/>
      <c r="Y174" s="15"/>
      <c r="Z174" s="13"/>
      <c r="AA174" s="15"/>
      <c r="AB174" s="15"/>
      <c r="AC174" s="15"/>
      <c r="AD174" s="15"/>
      <c r="AE174" s="15"/>
      <c r="AF174" s="13"/>
      <c r="AG174" s="15"/>
      <c r="AH174" s="13"/>
      <c r="AI174" s="15"/>
      <c r="AJ174" s="13"/>
    </row>
    <row r="175" spans="1:36" x14ac:dyDescent="0.2">
      <c r="A175" s="6"/>
      <c r="B175" s="34"/>
      <c r="C175" s="41"/>
      <c r="D175" s="36"/>
      <c r="E175" s="38"/>
      <c r="F175" s="37"/>
      <c r="G175" s="39"/>
      <c r="H175" s="38"/>
      <c r="I175" s="35"/>
      <c r="J175" s="38"/>
      <c r="K175" s="40"/>
      <c r="L175" s="40"/>
      <c r="M175" s="40"/>
      <c r="N175" s="40"/>
      <c r="O175" s="25"/>
      <c r="P175" s="26"/>
      <c r="Q175" s="12"/>
      <c r="R175" s="12"/>
      <c r="S175" s="13"/>
      <c r="T175" s="14"/>
      <c r="U175" s="15"/>
      <c r="V175" s="15"/>
      <c r="W175" s="15"/>
      <c r="X175" s="14"/>
      <c r="Y175" s="15"/>
      <c r="Z175" s="13"/>
      <c r="AA175" s="15"/>
      <c r="AB175" s="15"/>
      <c r="AC175" s="15"/>
      <c r="AD175" s="15"/>
      <c r="AE175" s="15"/>
      <c r="AF175" s="13"/>
      <c r="AG175" s="15"/>
      <c r="AH175" s="13"/>
      <c r="AI175" s="15"/>
      <c r="AJ175" s="13"/>
    </row>
    <row r="176" spans="1:36" x14ac:dyDescent="0.2">
      <c r="A176" s="6"/>
      <c r="B176" s="34"/>
      <c r="C176" s="41"/>
      <c r="D176" s="36"/>
      <c r="E176" s="38"/>
      <c r="F176" s="37"/>
      <c r="G176" s="39"/>
      <c r="H176" s="38"/>
      <c r="I176" s="35"/>
      <c r="J176" s="38"/>
      <c r="K176" s="40"/>
      <c r="L176" s="40"/>
      <c r="M176" s="40"/>
      <c r="N176" s="40"/>
      <c r="O176" s="25"/>
      <c r="P176" s="26"/>
      <c r="Q176" s="12"/>
      <c r="R176" s="12"/>
      <c r="S176" s="13"/>
      <c r="T176" s="14"/>
      <c r="U176" s="15"/>
      <c r="V176" s="15"/>
      <c r="W176" s="15"/>
      <c r="X176" s="14"/>
      <c r="Y176" s="15"/>
      <c r="Z176" s="13"/>
      <c r="AA176" s="15"/>
      <c r="AB176" s="15"/>
      <c r="AC176" s="15"/>
      <c r="AD176" s="15"/>
      <c r="AE176" s="15"/>
      <c r="AF176" s="13"/>
      <c r="AG176" s="15"/>
      <c r="AH176" s="13"/>
      <c r="AI176" s="15"/>
      <c r="AJ176" s="13"/>
    </row>
    <row r="177" spans="1:36" x14ac:dyDescent="0.2">
      <c r="A177" s="6"/>
      <c r="B177" s="34"/>
      <c r="C177" s="41"/>
      <c r="D177" s="36"/>
      <c r="E177" s="38"/>
      <c r="F177" s="37"/>
      <c r="G177" s="39"/>
      <c r="H177" s="38"/>
      <c r="I177" s="35"/>
      <c r="J177" s="38"/>
      <c r="K177" s="40"/>
      <c r="L177" s="40"/>
      <c r="M177" s="40"/>
      <c r="N177" s="40"/>
      <c r="O177" s="25"/>
      <c r="P177" s="26"/>
      <c r="Q177" s="12"/>
      <c r="R177" s="12"/>
      <c r="S177" s="13"/>
      <c r="T177" s="14"/>
      <c r="U177" s="15"/>
      <c r="V177" s="15"/>
      <c r="W177" s="15"/>
      <c r="X177" s="14"/>
      <c r="Y177" s="15"/>
      <c r="Z177" s="13"/>
      <c r="AA177" s="15"/>
      <c r="AB177" s="15"/>
      <c r="AC177" s="15"/>
      <c r="AD177" s="15"/>
      <c r="AE177" s="15"/>
      <c r="AF177" s="13"/>
      <c r="AG177" s="15"/>
      <c r="AH177" s="13"/>
      <c r="AI177" s="15"/>
      <c r="AJ177" s="13"/>
    </row>
    <row r="178" spans="1:36" x14ac:dyDescent="0.2">
      <c r="A178" s="6"/>
      <c r="B178" s="34"/>
      <c r="C178" s="41"/>
      <c r="D178" s="36"/>
      <c r="E178" s="38"/>
      <c r="F178" s="37"/>
      <c r="G178" s="39"/>
      <c r="H178" s="38"/>
      <c r="I178" s="35"/>
      <c r="J178" s="38"/>
      <c r="K178" s="40"/>
      <c r="L178" s="40"/>
      <c r="M178" s="40"/>
      <c r="N178" s="40"/>
      <c r="O178" s="25"/>
      <c r="P178" s="26"/>
      <c r="Q178" s="12"/>
      <c r="R178" s="12"/>
      <c r="S178" s="13"/>
      <c r="T178" s="14"/>
      <c r="U178" s="15"/>
      <c r="V178" s="15"/>
      <c r="W178" s="15"/>
      <c r="X178" s="14"/>
      <c r="Y178" s="15"/>
      <c r="Z178" s="13"/>
      <c r="AA178" s="15"/>
      <c r="AB178" s="15"/>
      <c r="AC178" s="15"/>
      <c r="AD178" s="15"/>
      <c r="AE178" s="15"/>
      <c r="AF178" s="13"/>
      <c r="AG178" s="15"/>
      <c r="AH178" s="13"/>
      <c r="AI178" s="15"/>
      <c r="AJ178" s="13"/>
    </row>
    <row r="179" spans="1:36" x14ac:dyDescent="0.2">
      <c r="A179" s="6"/>
      <c r="B179" s="34"/>
      <c r="C179" s="41"/>
      <c r="D179" s="36"/>
      <c r="E179" s="38"/>
      <c r="F179" s="37"/>
      <c r="G179" s="39"/>
      <c r="H179" s="38"/>
      <c r="I179" s="35"/>
      <c r="J179" s="38"/>
      <c r="K179" s="40"/>
      <c r="L179" s="40"/>
      <c r="M179" s="40"/>
      <c r="N179" s="40"/>
      <c r="O179" s="25"/>
      <c r="P179" s="26"/>
      <c r="Q179" s="12"/>
      <c r="R179" s="12"/>
      <c r="S179" s="13"/>
      <c r="T179" s="14"/>
      <c r="U179" s="15"/>
      <c r="V179" s="15"/>
      <c r="W179" s="15"/>
      <c r="X179" s="14"/>
      <c r="Y179" s="15"/>
      <c r="Z179" s="13"/>
      <c r="AA179" s="15"/>
      <c r="AB179" s="15"/>
      <c r="AC179" s="15"/>
      <c r="AD179" s="15"/>
      <c r="AE179" s="15"/>
      <c r="AF179" s="13"/>
      <c r="AG179" s="15"/>
      <c r="AH179" s="13"/>
      <c r="AI179" s="15"/>
      <c r="AJ179" s="13"/>
    </row>
    <row r="180" spans="1:36" x14ac:dyDescent="0.2">
      <c r="A180" s="6"/>
      <c r="B180" s="34"/>
      <c r="C180" s="41"/>
      <c r="D180" s="36"/>
      <c r="E180" s="38"/>
      <c r="F180" s="37"/>
      <c r="G180" s="39"/>
      <c r="H180" s="38"/>
      <c r="I180" s="35"/>
      <c r="J180" s="38"/>
      <c r="K180" s="40"/>
      <c r="L180" s="40"/>
      <c r="M180" s="40"/>
      <c r="N180" s="40"/>
      <c r="O180" s="25"/>
      <c r="P180" s="26"/>
      <c r="Q180" s="12"/>
      <c r="R180" s="12"/>
      <c r="S180" s="13"/>
      <c r="T180" s="14"/>
      <c r="U180" s="15"/>
      <c r="V180" s="15"/>
      <c r="W180" s="15"/>
      <c r="X180" s="14"/>
      <c r="Y180" s="15"/>
      <c r="Z180" s="13"/>
      <c r="AA180" s="15"/>
      <c r="AB180" s="15"/>
      <c r="AC180" s="15"/>
      <c r="AD180" s="15"/>
      <c r="AE180" s="15"/>
      <c r="AF180" s="13"/>
      <c r="AG180" s="15"/>
      <c r="AH180" s="13"/>
      <c r="AI180" s="15"/>
      <c r="AJ180" s="13"/>
    </row>
    <row r="181" spans="1:36" x14ac:dyDescent="0.2">
      <c r="A181" s="6"/>
      <c r="B181" s="34"/>
      <c r="C181" s="41"/>
      <c r="D181" s="36"/>
      <c r="E181" s="38"/>
      <c r="F181" s="37"/>
      <c r="G181" s="39"/>
      <c r="H181" s="38"/>
      <c r="I181" s="35"/>
      <c r="J181" s="38"/>
      <c r="K181" s="40"/>
      <c r="L181" s="40"/>
      <c r="M181" s="40"/>
      <c r="N181" s="40"/>
      <c r="O181" s="25"/>
      <c r="P181" s="26"/>
      <c r="Q181" s="12"/>
      <c r="R181" s="12"/>
      <c r="S181" s="13"/>
      <c r="T181" s="14"/>
      <c r="U181" s="15"/>
      <c r="V181" s="15"/>
      <c r="W181" s="15"/>
      <c r="X181" s="14"/>
      <c r="Y181" s="15"/>
      <c r="Z181" s="13"/>
      <c r="AA181" s="15"/>
      <c r="AB181" s="15"/>
      <c r="AC181" s="15"/>
      <c r="AD181" s="15"/>
      <c r="AE181" s="15"/>
      <c r="AF181" s="13"/>
      <c r="AG181" s="15"/>
      <c r="AH181" s="13"/>
      <c r="AI181" s="15"/>
      <c r="AJ181" s="13"/>
    </row>
    <row r="182" spans="1:36" x14ac:dyDescent="0.2">
      <c r="A182" s="6"/>
      <c r="B182" s="34"/>
      <c r="C182" s="41"/>
      <c r="D182" s="36"/>
      <c r="E182" s="38"/>
      <c r="F182" s="37"/>
      <c r="G182" s="39"/>
      <c r="H182" s="38"/>
      <c r="I182" s="35"/>
      <c r="J182" s="38"/>
      <c r="K182" s="40"/>
      <c r="L182" s="40"/>
      <c r="M182" s="40"/>
      <c r="N182" s="40"/>
      <c r="O182" s="25"/>
      <c r="P182" s="26"/>
      <c r="Q182" s="12"/>
      <c r="R182" s="12"/>
      <c r="S182" s="13"/>
      <c r="T182" s="14"/>
      <c r="U182" s="15"/>
      <c r="V182" s="15"/>
      <c r="W182" s="15"/>
      <c r="X182" s="14"/>
      <c r="Y182" s="15"/>
      <c r="Z182" s="13"/>
      <c r="AA182" s="15"/>
      <c r="AB182" s="15"/>
      <c r="AC182" s="15"/>
      <c r="AD182" s="15"/>
      <c r="AE182" s="15"/>
      <c r="AF182" s="13"/>
      <c r="AG182" s="15"/>
      <c r="AH182" s="13"/>
      <c r="AI182" s="15"/>
      <c r="AJ182" s="13"/>
    </row>
    <row r="183" spans="1:36" x14ac:dyDescent="0.2">
      <c r="A183" s="6"/>
      <c r="B183" s="34"/>
      <c r="C183" s="41"/>
      <c r="D183" s="36"/>
      <c r="E183" s="38"/>
      <c r="F183" s="37"/>
      <c r="G183" s="39"/>
      <c r="H183" s="38"/>
      <c r="I183" s="35"/>
      <c r="J183" s="38"/>
      <c r="K183" s="40"/>
      <c r="L183" s="40"/>
      <c r="M183" s="40"/>
      <c r="N183" s="40"/>
      <c r="O183" s="25"/>
      <c r="P183" s="26"/>
      <c r="Q183" s="12"/>
      <c r="R183" s="12"/>
      <c r="S183" s="13"/>
      <c r="T183" s="14"/>
      <c r="U183" s="15"/>
      <c r="V183" s="15"/>
      <c r="W183" s="15"/>
      <c r="X183" s="14"/>
      <c r="Y183" s="15"/>
      <c r="Z183" s="13"/>
      <c r="AA183" s="15"/>
      <c r="AB183" s="15"/>
      <c r="AC183" s="15"/>
      <c r="AD183" s="15"/>
      <c r="AE183" s="15"/>
      <c r="AF183" s="13"/>
      <c r="AG183" s="15"/>
      <c r="AH183" s="13"/>
      <c r="AI183" s="15"/>
      <c r="AJ183" s="13"/>
    </row>
    <row r="184" spans="1:36" x14ac:dyDescent="0.2">
      <c r="A184" s="6"/>
      <c r="B184" s="34"/>
      <c r="C184" s="41"/>
      <c r="D184" s="36"/>
      <c r="E184" s="38"/>
      <c r="F184" s="37"/>
      <c r="G184" s="39"/>
      <c r="H184" s="38"/>
      <c r="I184" s="35"/>
      <c r="J184" s="38"/>
      <c r="K184" s="40"/>
      <c r="L184" s="40"/>
      <c r="M184" s="40"/>
      <c r="N184" s="40"/>
      <c r="O184" s="25"/>
      <c r="P184" s="26"/>
      <c r="Q184" s="12"/>
      <c r="R184" s="12"/>
      <c r="S184" s="13"/>
      <c r="T184" s="14"/>
      <c r="U184" s="15"/>
      <c r="V184" s="15"/>
      <c r="W184" s="15"/>
      <c r="X184" s="14"/>
      <c r="Y184" s="15"/>
      <c r="Z184" s="13"/>
      <c r="AA184" s="15"/>
      <c r="AB184" s="15"/>
      <c r="AC184" s="15"/>
      <c r="AD184" s="15"/>
      <c r="AE184" s="15"/>
      <c r="AF184" s="13"/>
      <c r="AG184" s="15"/>
      <c r="AH184" s="13"/>
      <c r="AI184" s="15"/>
      <c r="AJ184" s="13"/>
    </row>
    <row r="185" spans="1:36" x14ac:dyDescent="0.2">
      <c r="A185" s="6"/>
      <c r="B185" s="34"/>
      <c r="C185" s="41"/>
      <c r="D185" s="36"/>
      <c r="E185" s="38"/>
      <c r="F185" s="37"/>
      <c r="G185" s="39"/>
      <c r="H185" s="38"/>
      <c r="I185" s="35"/>
      <c r="J185" s="38"/>
      <c r="K185" s="40"/>
      <c r="L185" s="40"/>
      <c r="M185" s="40"/>
      <c r="N185" s="40"/>
      <c r="O185" s="25"/>
      <c r="P185" s="26"/>
      <c r="Q185" s="12"/>
      <c r="R185" s="12"/>
      <c r="S185" s="13"/>
      <c r="T185" s="14"/>
      <c r="U185" s="15"/>
      <c r="V185" s="15"/>
      <c r="W185" s="15"/>
      <c r="X185" s="14"/>
      <c r="Y185" s="15"/>
      <c r="Z185" s="13"/>
      <c r="AA185" s="15"/>
      <c r="AB185" s="15"/>
      <c r="AC185" s="15"/>
      <c r="AD185" s="15"/>
      <c r="AE185" s="15"/>
      <c r="AF185" s="13"/>
      <c r="AG185" s="15"/>
      <c r="AH185" s="13"/>
      <c r="AI185" s="15"/>
      <c r="AJ185" s="13"/>
    </row>
    <row r="186" spans="1:36" x14ac:dyDescent="0.2">
      <c r="A186" s="6"/>
      <c r="B186" s="34"/>
      <c r="C186" s="41"/>
      <c r="D186" s="36"/>
      <c r="E186" s="38"/>
      <c r="F186" s="37"/>
      <c r="G186" s="39"/>
      <c r="H186" s="38"/>
      <c r="I186" s="35"/>
      <c r="J186" s="38"/>
      <c r="K186" s="40"/>
      <c r="L186" s="40"/>
      <c r="M186" s="40"/>
      <c r="N186" s="40"/>
      <c r="O186" s="25"/>
      <c r="P186" s="26"/>
      <c r="Q186" s="12"/>
      <c r="R186" s="12"/>
      <c r="S186" s="13"/>
      <c r="T186" s="14"/>
      <c r="U186" s="15"/>
      <c r="V186" s="15"/>
      <c r="W186" s="15"/>
      <c r="X186" s="14"/>
      <c r="Y186" s="15"/>
      <c r="Z186" s="13"/>
      <c r="AA186" s="15"/>
      <c r="AB186" s="15"/>
      <c r="AC186" s="15"/>
      <c r="AD186" s="15"/>
      <c r="AE186" s="15"/>
      <c r="AF186" s="13"/>
      <c r="AG186" s="15"/>
      <c r="AH186" s="13"/>
      <c r="AI186" s="15"/>
      <c r="AJ186" s="13"/>
    </row>
    <row r="187" spans="1:36" x14ac:dyDescent="0.2">
      <c r="A187" s="6"/>
      <c r="B187" s="34"/>
      <c r="C187" s="41"/>
      <c r="D187" s="36"/>
      <c r="E187" s="38"/>
      <c r="F187" s="37"/>
      <c r="G187" s="39"/>
      <c r="H187" s="38"/>
      <c r="I187" s="35"/>
      <c r="J187" s="38"/>
      <c r="K187" s="40"/>
      <c r="L187" s="40"/>
      <c r="M187" s="40"/>
      <c r="N187" s="40"/>
      <c r="O187" s="25"/>
      <c r="P187" s="26"/>
      <c r="Q187" s="12"/>
      <c r="R187" s="12"/>
      <c r="S187" s="13"/>
      <c r="T187" s="14"/>
      <c r="U187" s="15"/>
      <c r="V187" s="15"/>
      <c r="W187" s="15"/>
      <c r="X187" s="14"/>
      <c r="Y187" s="15"/>
      <c r="Z187" s="13"/>
      <c r="AA187" s="15"/>
      <c r="AB187" s="15"/>
      <c r="AC187" s="15"/>
      <c r="AD187" s="15"/>
      <c r="AE187" s="15"/>
      <c r="AF187" s="13"/>
      <c r="AG187" s="15"/>
      <c r="AH187" s="13"/>
      <c r="AI187" s="15"/>
      <c r="AJ187" s="13"/>
    </row>
    <row r="188" spans="1:36" x14ac:dyDescent="0.2">
      <c r="A188" s="6"/>
      <c r="B188" s="34"/>
      <c r="C188" s="41"/>
      <c r="D188" s="36"/>
      <c r="E188" s="38"/>
      <c r="F188" s="37"/>
      <c r="G188" s="39"/>
      <c r="H188" s="38"/>
      <c r="I188" s="35"/>
      <c r="J188" s="38"/>
      <c r="K188" s="40"/>
      <c r="L188" s="40"/>
      <c r="M188" s="40"/>
      <c r="N188" s="40"/>
      <c r="O188" s="25"/>
      <c r="P188" s="26"/>
      <c r="Q188" s="12"/>
      <c r="R188" s="12"/>
      <c r="S188" s="13"/>
      <c r="T188" s="14"/>
      <c r="U188" s="15"/>
      <c r="V188" s="15"/>
      <c r="W188" s="15"/>
      <c r="X188" s="14"/>
      <c r="Y188" s="15"/>
      <c r="Z188" s="13"/>
      <c r="AA188" s="15"/>
      <c r="AB188" s="15"/>
      <c r="AC188" s="15"/>
      <c r="AD188" s="15"/>
      <c r="AE188" s="15"/>
      <c r="AF188" s="13"/>
      <c r="AG188" s="15"/>
      <c r="AH188" s="13"/>
      <c r="AI188" s="15"/>
      <c r="AJ188" s="13"/>
    </row>
    <row r="189" spans="1:36" x14ac:dyDescent="0.2">
      <c r="A189" s="6"/>
      <c r="B189" s="34"/>
      <c r="C189" s="41"/>
      <c r="D189" s="36"/>
      <c r="E189" s="38"/>
      <c r="F189" s="37"/>
      <c r="G189" s="39"/>
      <c r="H189" s="38"/>
      <c r="I189" s="35"/>
      <c r="J189" s="38"/>
      <c r="K189" s="40"/>
      <c r="L189" s="40"/>
      <c r="M189" s="40"/>
      <c r="N189" s="40"/>
      <c r="O189" s="25"/>
      <c r="P189" s="26"/>
      <c r="Q189" s="12"/>
      <c r="R189" s="12"/>
      <c r="S189" s="13"/>
      <c r="T189" s="14"/>
      <c r="U189" s="15"/>
      <c r="V189" s="15"/>
      <c r="W189" s="15"/>
      <c r="X189" s="14"/>
      <c r="Y189" s="15"/>
      <c r="Z189" s="13"/>
      <c r="AA189" s="15"/>
      <c r="AB189" s="15"/>
      <c r="AC189" s="15"/>
      <c r="AD189" s="15"/>
      <c r="AE189" s="15"/>
      <c r="AF189" s="13"/>
      <c r="AG189" s="15"/>
      <c r="AH189" s="13"/>
      <c r="AI189" s="15"/>
      <c r="AJ189" s="13"/>
    </row>
    <row r="190" spans="1:36" x14ac:dyDescent="0.2">
      <c r="A190" s="6"/>
      <c r="B190" s="34"/>
      <c r="C190" s="41"/>
      <c r="D190" s="36"/>
      <c r="E190" s="38"/>
      <c r="F190" s="37"/>
      <c r="G190" s="39"/>
      <c r="H190" s="38"/>
      <c r="I190" s="35"/>
      <c r="J190" s="38"/>
      <c r="K190" s="40"/>
      <c r="L190" s="40"/>
      <c r="M190" s="40"/>
      <c r="N190" s="40"/>
      <c r="O190" s="25"/>
      <c r="P190" s="26"/>
      <c r="Q190" s="12"/>
      <c r="R190" s="12"/>
      <c r="S190" s="13"/>
      <c r="T190" s="14"/>
      <c r="U190" s="15"/>
      <c r="V190" s="15"/>
      <c r="W190" s="15"/>
      <c r="X190" s="14"/>
      <c r="Y190" s="15"/>
      <c r="Z190" s="13"/>
      <c r="AA190" s="15"/>
      <c r="AB190" s="15"/>
      <c r="AC190" s="15"/>
      <c r="AD190" s="15"/>
      <c r="AE190" s="15"/>
      <c r="AF190" s="13"/>
      <c r="AG190" s="15"/>
      <c r="AH190" s="13"/>
      <c r="AI190" s="15"/>
      <c r="AJ190" s="13"/>
    </row>
    <row r="191" spans="1:36" x14ac:dyDescent="0.2">
      <c r="A191" s="6"/>
      <c r="B191" s="34"/>
      <c r="C191" s="41"/>
      <c r="D191" s="36"/>
      <c r="E191" s="38"/>
      <c r="F191" s="37"/>
      <c r="G191" s="39"/>
      <c r="H191" s="38"/>
      <c r="I191" s="35"/>
      <c r="J191" s="38"/>
      <c r="K191" s="40"/>
      <c r="L191" s="40"/>
      <c r="M191" s="40"/>
      <c r="N191" s="40"/>
      <c r="O191" s="25"/>
      <c r="P191" s="26"/>
      <c r="Q191" s="12"/>
      <c r="R191" s="12"/>
      <c r="S191" s="13"/>
      <c r="T191" s="14"/>
      <c r="U191" s="15"/>
      <c r="V191" s="15"/>
      <c r="W191" s="15"/>
      <c r="X191" s="14"/>
      <c r="Y191" s="15"/>
      <c r="Z191" s="13"/>
      <c r="AA191" s="15"/>
      <c r="AB191" s="15"/>
      <c r="AC191" s="15"/>
      <c r="AD191" s="15"/>
      <c r="AE191" s="15"/>
      <c r="AF191" s="13"/>
      <c r="AG191" s="15"/>
      <c r="AH191" s="13"/>
      <c r="AI191" s="15"/>
      <c r="AJ191" s="13"/>
    </row>
    <row r="192" spans="1:36" x14ac:dyDescent="0.2">
      <c r="A192" s="6"/>
      <c r="B192" s="34"/>
      <c r="C192" s="41"/>
      <c r="D192" s="36"/>
      <c r="E192" s="38"/>
      <c r="F192" s="37"/>
      <c r="G192" s="39"/>
      <c r="H192" s="38"/>
      <c r="I192" s="35"/>
      <c r="J192" s="38"/>
      <c r="K192" s="40"/>
      <c r="L192" s="40"/>
      <c r="M192" s="40"/>
      <c r="N192" s="40"/>
      <c r="O192" s="25"/>
      <c r="P192" s="26"/>
      <c r="Q192" s="12"/>
      <c r="R192" s="12"/>
      <c r="S192" s="13"/>
      <c r="T192" s="14"/>
      <c r="U192" s="15"/>
      <c r="V192" s="15"/>
      <c r="W192" s="15"/>
      <c r="X192" s="14"/>
      <c r="Y192" s="15"/>
      <c r="Z192" s="13"/>
      <c r="AA192" s="15"/>
      <c r="AB192" s="15"/>
      <c r="AC192" s="15"/>
      <c r="AD192" s="15"/>
      <c r="AE192" s="15"/>
      <c r="AF192" s="13"/>
      <c r="AG192" s="15"/>
      <c r="AH192" s="13"/>
      <c r="AI192" s="15"/>
      <c r="AJ192" s="13"/>
    </row>
    <row r="193" spans="1:36" x14ac:dyDescent="0.2">
      <c r="A193" s="6"/>
      <c r="B193" s="34"/>
      <c r="C193" s="41"/>
      <c r="D193" s="36"/>
      <c r="E193" s="38"/>
      <c r="F193" s="37"/>
      <c r="G193" s="39"/>
      <c r="H193" s="38"/>
      <c r="I193" s="35"/>
      <c r="J193" s="38"/>
      <c r="K193" s="40"/>
      <c r="L193" s="40"/>
      <c r="M193" s="40"/>
      <c r="N193" s="40"/>
      <c r="O193" s="25"/>
      <c r="P193" s="26"/>
      <c r="Q193" s="12"/>
      <c r="R193" s="12"/>
      <c r="S193" s="13"/>
      <c r="T193" s="14"/>
      <c r="U193" s="15"/>
      <c r="V193" s="15"/>
      <c r="W193" s="15"/>
      <c r="X193" s="14"/>
      <c r="Y193" s="15"/>
      <c r="Z193" s="13"/>
      <c r="AA193" s="15"/>
      <c r="AB193" s="15"/>
      <c r="AC193" s="15"/>
      <c r="AD193" s="15"/>
      <c r="AE193" s="15"/>
      <c r="AF193" s="13"/>
      <c r="AG193" s="15"/>
      <c r="AH193" s="13"/>
      <c r="AI193" s="15"/>
      <c r="AJ193" s="13"/>
    </row>
    <row r="194" spans="1:36" x14ac:dyDescent="0.2">
      <c r="A194" s="6"/>
      <c r="B194" s="34"/>
      <c r="C194" s="41"/>
      <c r="D194" s="36"/>
      <c r="E194" s="38"/>
      <c r="F194" s="37"/>
      <c r="G194" s="39"/>
      <c r="H194" s="38"/>
      <c r="I194" s="35"/>
      <c r="J194" s="38"/>
      <c r="K194" s="40"/>
      <c r="L194" s="40"/>
      <c r="M194" s="40"/>
      <c r="N194" s="40"/>
      <c r="O194" s="25"/>
      <c r="P194" s="26"/>
      <c r="Q194" s="12"/>
      <c r="R194" s="12"/>
      <c r="S194" s="13"/>
      <c r="T194" s="14"/>
      <c r="U194" s="15"/>
      <c r="V194" s="15"/>
      <c r="W194" s="15"/>
      <c r="X194" s="14"/>
      <c r="Y194" s="15"/>
      <c r="Z194" s="13"/>
      <c r="AA194" s="15"/>
      <c r="AB194" s="15"/>
      <c r="AC194" s="15"/>
      <c r="AD194" s="15"/>
      <c r="AE194" s="15"/>
      <c r="AF194" s="13"/>
      <c r="AG194" s="15"/>
      <c r="AH194" s="13"/>
      <c r="AI194" s="15"/>
      <c r="AJ194" s="13"/>
    </row>
    <row r="195" spans="1:36" x14ac:dyDescent="0.2">
      <c r="A195" s="6"/>
      <c r="B195" s="34"/>
      <c r="C195" s="41"/>
      <c r="D195" s="36"/>
      <c r="E195" s="38"/>
      <c r="F195" s="37"/>
      <c r="G195" s="39"/>
      <c r="H195" s="38"/>
      <c r="I195" s="35"/>
      <c r="J195" s="38"/>
      <c r="K195" s="40"/>
      <c r="L195" s="40"/>
      <c r="M195" s="40"/>
      <c r="N195" s="40"/>
      <c r="O195" s="25"/>
      <c r="P195" s="26"/>
      <c r="Q195" s="12"/>
      <c r="R195" s="12"/>
      <c r="S195" s="13"/>
      <c r="T195" s="14"/>
      <c r="U195" s="15"/>
      <c r="V195" s="15"/>
      <c r="W195" s="15"/>
      <c r="X195" s="14"/>
      <c r="Y195" s="15"/>
      <c r="Z195" s="13"/>
      <c r="AA195" s="15"/>
      <c r="AB195" s="15"/>
      <c r="AC195" s="15"/>
      <c r="AD195" s="15"/>
      <c r="AE195" s="15"/>
      <c r="AF195" s="13"/>
      <c r="AG195" s="15"/>
      <c r="AH195" s="13"/>
      <c r="AI195" s="15"/>
      <c r="AJ195" s="13"/>
    </row>
    <row r="196" spans="1:36" x14ac:dyDescent="0.2">
      <c r="A196" s="6"/>
      <c r="B196" s="34"/>
      <c r="C196" s="41"/>
      <c r="D196" s="36"/>
      <c r="E196" s="38"/>
      <c r="F196" s="37"/>
      <c r="G196" s="39"/>
      <c r="H196" s="38"/>
      <c r="I196" s="35"/>
      <c r="J196" s="38"/>
      <c r="K196" s="40"/>
      <c r="L196" s="40"/>
      <c r="M196" s="40"/>
      <c r="N196" s="40"/>
      <c r="O196" s="25"/>
      <c r="P196" s="26"/>
      <c r="Q196" s="12"/>
      <c r="R196" s="12"/>
      <c r="S196" s="13"/>
      <c r="T196" s="14"/>
      <c r="U196" s="15"/>
      <c r="V196" s="15"/>
      <c r="W196" s="15"/>
      <c r="X196" s="14"/>
      <c r="Y196" s="15"/>
      <c r="Z196" s="13"/>
      <c r="AA196" s="15"/>
      <c r="AB196" s="15"/>
      <c r="AC196" s="15"/>
      <c r="AD196" s="15"/>
      <c r="AE196" s="15"/>
      <c r="AF196" s="13"/>
      <c r="AG196" s="15"/>
      <c r="AH196" s="13"/>
      <c r="AI196" s="15"/>
      <c r="AJ196" s="13"/>
    </row>
    <row r="197" spans="1:36" x14ac:dyDescent="0.2">
      <c r="A197" s="6"/>
      <c r="B197" s="34"/>
      <c r="C197" s="41"/>
      <c r="D197" s="36"/>
      <c r="E197" s="38"/>
      <c r="F197" s="37"/>
      <c r="G197" s="39"/>
      <c r="H197" s="38"/>
      <c r="I197" s="35"/>
      <c r="J197" s="38"/>
      <c r="K197" s="40"/>
      <c r="L197" s="40"/>
      <c r="M197" s="40"/>
      <c r="N197" s="40"/>
      <c r="O197" s="25"/>
      <c r="P197" s="26"/>
      <c r="Q197" s="12"/>
      <c r="R197" s="12"/>
      <c r="S197" s="13"/>
      <c r="T197" s="14"/>
      <c r="U197" s="15"/>
      <c r="V197" s="15"/>
      <c r="W197" s="15"/>
      <c r="X197" s="14"/>
      <c r="Y197" s="15"/>
      <c r="Z197" s="13"/>
      <c r="AA197" s="15"/>
      <c r="AB197" s="15"/>
      <c r="AC197" s="15"/>
      <c r="AD197" s="15"/>
      <c r="AE197" s="15"/>
      <c r="AF197" s="13"/>
      <c r="AG197" s="15"/>
      <c r="AH197" s="13"/>
      <c r="AI197" s="15"/>
      <c r="AJ197" s="13"/>
    </row>
    <row r="198" spans="1:36" x14ac:dyDescent="0.2">
      <c r="A198" s="6"/>
      <c r="B198" s="34"/>
      <c r="C198" s="41"/>
      <c r="D198" s="36"/>
      <c r="E198" s="38"/>
      <c r="F198" s="37"/>
      <c r="G198" s="39"/>
      <c r="H198" s="38"/>
      <c r="I198" s="35"/>
      <c r="J198" s="38"/>
      <c r="K198" s="40"/>
      <c r="L198" s="40"/>
      <c r="M198" s="40"/>
      <c r="N198" s="40"/>
      <c r="O198" s="25"/>
      <c r="P198" s="26"/>
      <c r="Q198" s="12"/>
      <c r="R198" s="12"/>
      <c r="S198" s="13"/>
      <c r="T198" s="14"/>
      <c r="U198" s="15"/>
      <c r="V198" s="15"/>
      <c r="W198" s="15"/>
      <c r="X198" s="14"/>
      <c r="Y198" s="15"/>
      <c r="Z198" s="13"/>
      <c r="AA198" s="15"/>
      <c r="AB198" s="15"/>
      <c r="AC198" s="15"/>
      <c r="AD198" s="15"/>
      <c r="AE198" s="15"/>
      <c r="AF198" s="13"/>
      <c r="AG198" s="15"/>
      <c r="AH198" s="13"/>
      <c r="AI198" s="15"/>
      <c r="AJ198" s="13"/>
    </row>
    <row r="199" spans="1:36" x14ac:dyDescent="0.2">
      <c r="A199" s="6"/>
      <c r="B199" s="34"/>
      <c r="C199" s="41"/>
      <c r="D199" s="36"/>
      <c r="E199" s="38"/>
      <c r="F199" s="37"/>
      <c r="G199" s="39"/>
      <c r="H199" s="38"/>
      <c r="I199" s="35"/>
      <c r="J199" s="38"/>
      <c r="K199" s="40"/>
      <c r="L199" s="40"/>
      <c r="M199" s="40"/>
      <c r="N199" s="40"/>
      <c r="O199" s="25"/>
      <c r="P199" s="26"/>
      <c r="Q199" s="12"/>
      <c r="R199" s="12"/>
      <c r="S199" s="13"/>
      <c r="T199" s="14"/>
      <c r="U199" s="15"/>
      <c r="V199" s="15"/>
      <c r="W199" s="15"/>
      <c r="X199" s="14"/>
      <c r="Y199" s="15"/>
      <c r="Z199" s="13"/>
      <c r="AA199" s="15"/>
      <c r="AB199" s="15"/>
      <c r="AC199" s="15"/>
      <c r="AD199" s="15"/>
      <c r="AE199" s="15"/>
      <c r="AF199" s="13"/>
      <c r="AG199" s="15"/>
      <c r="AH199" s="13"/>
      <c r="AI199" s="15"/>
      <c r="AJ199" s="13"/>
    </row>
    <row r="200" spans="1:36" x14ac:dyDescent="0.2">
      <c r="A200" s="6"/>
      <c r="B200" s="34"/>
      <c r="C200" s="41"/>
      <c r="D200" s="36"/>
      <c r="E200" s="38"/>
      <c r="F200" s="37"/>
      <c r="G200" s="39"/>
      <c r="H200" s="38"/>
      <c r="I200" s="35"/>
      <c r="J200" s="38"/>
      <c r="K200" s="40"/>
      <c r="L200" s="40"/>
      <c r="M200" s="40"/>
      <c r="N200" s="40"/>
      <c r="O200" s="25"/>
      <c r="P200" s="26"/>
      <c r="Q200" s="12"/>
      <c r="R200" s="12"/>
      <c r="S200" s="13"/>
      <c r="T200" s="14"/>
      <c r="U200" s="15"/>
      <c r="V200" s="15"/>
      <c r="W200" s="15"/>
      <c r="X200" s="14"/>
      <c r="Y200" s="15"/>
      <c r="Z200" s="13"/>
      <c r="AA200" s="15"/>
      <c r="AB200" s="15"/>
      <c r="AC200" s="15"/>
      <c r="AD200" s="15"/>
      <c r="AE200" s="15"/>
      <c r="AF200" s="13"/>
      <c r="AG200" s="15"/>
      <c r="AH200" s="13"/>
      <c r="AI200" s="15"/>
      <c r="AJ200" s="13"/>
    </row>
    <row r="201" spans="1:36" x14ac:dyDescent="0.2">
      <c r="A201" s="6"/>
      <c r="B201" s="34"/>
      <c r="C201" s="41"/>
      <c r="D201" s="36"/>
      <c r="E201" s="38"/>
      <c r="F201" s="37"/>
      <c r="G201" s="39"/>
      <c r="H201" s="38"/>
      <c r="I201" s="35"/>
      <c r="J201" s="38"/>
      <c r="K201" s="40"/>
      <c r="L201" s="40"/>
      <c r="M201" s="40"/>
      <c r="N201" s="40"/>
      <c r="O201" s="25"/>
      <c r="P201" s="26"/>
      <c r="Q201" s="12"/>
      <c r="R201" s="12"/>
      <c r="S201" s="13"/>
      <c r="T201" s="14"/>
      <c r="U201" s="15"/>
      <c r="V201" s="15"/>
      <c r="W201" s="15"/>
      <c r="X201" s="14"/>
      <c r="Y201" s="15"/>
      <c r="Z201" s="13"/>
      <c r="AA201" s="15"/>
      <c r="AB201" s="15"/>
      <c r="AC201" s="15"/>
      <c r="AD201" s="15"/>
      <c r="AE201" s="15"/>
      <c r="AF201" s="13"/>
      <c r="AG201" s="15"/>
      <c r="AH201" s="13"/>
      <c r="AI201" s="15"/>
      <c r="AJ201" s="13"/>
    </row>
    <row r="202" spans="1:36" x14ac:dyDescent="0.2">
      <c r="A202" s="6"/>
      <c r="B202" s="6"/>
      <c r="C202" s="27"/>
      <c r="D202" s="28"/>
      <c r="E202" s="26"/>
      <c r="F202" s="29"/>
      <c r="G202" s="30"/>
      <c r="H202" s="26"/>
      <c r="I202" s="31"/>
      <c r="J202" s="26"/>
      <c r="K202" s="25"/>
      <c r="L202" s="25"/>
      <c r="M202" s="25"/>
      <c r="N202" s="25"/>
      <c r="O202" s="25"/>
      <c r="P202" s="26"/>
      <c r="Q202" s="12"/>
      <c r="R202" s="12"/>
      <c r="S202" s="13"/>
      <c r="T202" s="14"/>
      <c r="U202" s="15"/>
      <c r="V202" s="15"/>
      <c r="W202" s="15"/>
      <c r="X202" s="14"/>
      <c r="Y202" s="15"/>
      <c r="Z202" s="13"/>
      <c r="AA202" s="15"/>
      <c r="AB202" s="15"/>
      <c r="AC202" s="15"/>
      <c r="AD202" s="15"/>
      <c r="AE202" s="15"/>
      <c r="AF202" s="13"/>
      <c r="AG202" s="15"/>
      <c r="AH202" s="13"/>
      <c r="AI202" s="15"/>
      <c r="AJ202" s="13"/>
    </row>
    <row r="203" spans="1:36" x14ac:dyDescent="0.2">
      <c r="A203" s="34"/>
      <c r="B203" s="34"/>
      <c r="C203" s="41"/>
      <c r="D203" s="36"/>
      <c r="E203" s="38"/>
      <c r="F203" s="37"/>
      <c r="G203" s="39"/>
      <c r="H203" s="38"/>
      <c r="I203" s="35"/>
      <c r="J203" s="38"/>
      <c r="K203" s="40"/>
      <c r="L203" s="40"/>
      <c r="M203" s="40"/>
      <c r="N203" s="40"/>
      <c r="O203" s="25"/>
      <c r="P203" s="26"/>
      <c r="Q203" s="12"/>
      <c r="R203" s="12"/>
      <c r="S203" s="13"/>
      <c r="T203" s="14"/>
      <c r="U203" s="15"/>
      <c r="V203" s="15"/>
      <c r="W203" s="15"/>
      <c r="X203" s="14"/>
      <c r="Y203" s="15"/>
      <c r="Z203" s="13"/>
      <c r="AA203" s="15"/>
      <c r="AB203" s="15"/>
      <c r="AC203" s="15"/>
      <c r="AD203" s="15"/>
      <c r="AE203" s="15"/>
      <c r="AF203" s="13"/>
      <c r="AG203" s="15"/>
      <c r="AH203" s="13"/>
      <c r="AI203" s="15"/>
      <c r="AJ203" s="13"/>
    </row>
    <row r="204" spans="1:36" x14ac:dyDescent="0.2">
      <c r="A204" s="6"/>
      <c r="B204" s="34"/>
      <c r="C204" s="41"/>
      <c r="D204" s="36"/>
      <c r="E204" s="38"/>
      <c r="F204" s="37"/>
      <c r="G204" s="39"/>
      <c r="H204" s="38"/>
      <c r="I204" s="35"/>
      <c r="J204" s="44"/>
      <c r="K204" s="46"/>
      <c r="L204" s="46"/>
      <c r="M204" s="46"/>
      <c r="N204" s="46"/>
      <c r="O204" s="25"/>
      <c r="P204" s="26"/>
      <c r="Q204" s="12"/>
      <c r="R204" s="12"/>
      <c r="S204" s="13"/>
      <c r="T204" s="14"/>
      <c r="U204" s="15"/>
      <c r="V204" s="15"/>
      <c r="W204" s="15"/>
      <c r="X204" s="14"/>
      <c r="Y204" s="15"/>
      <c r="Z204" s="13"/>
      <c r="AA204" s="15"/>
      <c r="AB204" s="15"/>
      <c r="AC204" s="15"/>
      <c r="AD204" s="15"/>
      <c r="AE204" s="15"/>
      <c r="AF204" s="13"/>
      <c r="AG204" s="15"/>
      <c r="AH204" s="13"/>
      <c r="AI204" s="15"/>
      <c r="AJ204" s="13"/>
    </row>
    <row r="205" spans="1:36" x14ac:dyDescent="0.2">
      <c r="A205" s="6"/>
      <c r="B205" s="34"/>
      <c r="C205" s="41"/>
      <c r="D205" s="36"/>
      <c r="E205" s="38"/>
      <c r="F205" s="37"/>
      <c r="G205" s="39"/>
      <c r="H205" s="38"/>
      <c r="I205" s="35"/>
      <c r="J205" s="44"/>
      <c r="K205" s="46"/>
      <c r="L205" s="46"/>
      <c r="M205" s="46"/>
      <c r="N205" s="46"/>
      <c r="O205" s="25"/>
      <c r="P205" s="26"/>
      <c r="Q205" s="12"/>
      <c r="R205" s="12"/>
      <c r="S205" s="13"/>
      <c r="T205" s="14"/>
      <c r="U205" s="15"/>
      <c r="V205" s="15"/>
      <c r="W205" s="15"/>
      <c r="X205" s="14"/>
      <c r="Y205" s="15"/>
      <c r="Z205" s="13"/>
      <c r="AA205" s="15"/>
      <c r="AB205" s="15"/>
      <c r="AC205" s="15"/>
      <c r="AD205" s="15"/>
      <c r="AE205" s="15"/>
      <c r="AF205" s="13"/>
      <c r="AG205" s="15"/>
      <c r="AH205" s="13"/>
      <c r="AI205" s="15"/>
      <c r="AJ205" s="13"/>
    </row>
    <row r="206" spans="1:36" x14ac:dyDescent="0.2">
      <c r="A206" s="6"/>
      <c r="B206" s="34"/>
      <c r="C206" s="41"/>
      <c r="D206" s="36"/>
      <c r="E206" s="38"/>
      <c r="F206" s="37"/>
      <c r="G206" s="39"/>
      <c r="H206" s="38"/>
      <c r="I206" s="35"/>
      <c r="J206" s="44"/>
      <c r="K206" s="46"/>
      <c r="L206" s="46"/>
      <c r="M206" s="46"/>
      <c r="N206" s="46"/>
      <c r="O206" s="25"/>
      <c r="P206" s="26"/>
      <c r="Q206" s="12"/>
      <c r="R206" s="12"/>
      <c r="S206" s="13"/>
      <c r="T206" s="14"/>
      <c r="U206" s="15"/>
      <c r="V206" s="15"/>
      <c r="W206" s="15"/>
      <c r="X206" s="14"/>
      <c r="Y206" s="15"/>
      <c r="Z206" s="13"/>
      <c r="AA206" s="15"/>
      <c r="AB206" s="15"/>
      <c r="AC206" s="15"/>
      <c r="AD206" s="15"/>
      <c r="AE206" s="15"/>
      <c r="AF206" s="13"/>
      <c r="AG206" s="15"/>
      <c r="AH206" s="13"/>
      <c r="AI206" s="15"/>
      <c r="AJ206" s="13"/>
    </row>
    <row r="207" spans="1:36" x14ac:dyDescent="0.2">
      <c r="A207" s="6"/>
      <c r="B207" s="34"/>
      <c r="C207" s="41"/>
      <c r="D207" s="36"/>
      <c r="E207" s="38"/>
      <c r="F207" s="37"/>
      <c r="G207" s="39"/>
      <c r="H207" s="38"/>
      <c r="I207" s="35"/>
      <c r="J207" s="44"/>
      <c r="K207" s="46"/>
      <c r="L207" s="46"/>
      <c r="M207" s="46"/>
      <c r="N207" s="46"/>
      <c r="O207" s="25"/>
      <c r="P207" s="26"/>
      <c r="Q207" s="12"/>
      <c r="R207" s="12"/>
      <c r="S207" s="13"/>
      <c r="T207" s="14"/>
      <c r="U207" s="15"/>
      <c r="V207" s="15"/>
      <c r="W207" s="15"/>
      <c r="X207" s="14"/>
      <c r="Y207" s="15"/>
      <c r="Z207" s="13"/>
      <c r="AA207" s="15"/>
      <c r="AB207" s="15"/>
      <c r="AC207" s="15"/>
      <c r="AD207" s="15"/>
      <c r="AE207" s="15"/>
      <c r="AF207" s="13"/>
      <c r="AG207" s="15"/>
      <c r="AH207" s="13"/>
      <c r="AI207" s="15"/>
      <c r="AJ207" s="13"/>
    </row>
    <row r="208" spans="1:36" x14ac:dyDescent="0.2">
      <c r="A208" s="6"/>
      <c r="B208" s="34"/>
      <c r="C208" s="41"/>
      <c r="D208" s="36"/>
      <c r="E208" s="38"/>
      <c r="F208" s="37"/>
      <c r="G208" s="39"/>
      <c r="H208" s="38"/>
      <c r="I208" s="35"/>
      <c r="J208" s="44"/>
      <c r="K208" s="46"/>
      <c r="L208" s="46"/>
      <c r="M208" s="46"/>
      <c r="N208" s="46"/>
      <c r="O208" s="25"/>
      <c r="P208" s="26"/>
      <c r="Q208" s="12"/>
      <c r="R208" s="12"/>
      <c r="S208" s="13"/>
      <c r="T208" s="14"/>
      <c r="U208" s="15"/>
      <c r="V208" s="15"/>
      <c r="W208" s="15"/>
      <c r="X208" s="14"/>
      <c r="Y208" s="15"/>
      <c r="Z208" s="13"/>
      <c r="AA208" s="15"/>
      <c r="AB208" s="15"/>
      <c r="AC208" s="15"/>
      <c r="AD208" s="15"/>
      <c r="AE208" s="15"/>
      <c r="AF208" s="13"/>
      <c r="AG208" s="15"/>
      <c r="AH208" s="13"/>
      <c r="AI208" s="15"/>
      <c r="AJ208" s="13"/>
    </row>
    <row r="209" spans="1:36" x14ac:dyDescent="0.2">
      <c r="A209" s="6"/>
      <c r="B209" s="34"/>
      <c r="C209" s="41"/>
      <c r="D209" s="36"/>
      <c r="E209" s="38"/>
      <c r="F209" s="37"/>
      <c r="G209" s="39"/>
      <c r="H209" s="38"/>
      <c r="I209" s="35"/>
      <c r="J209" s="44"/>
      <c r="K209" s="46"/>
      <c r="L209" s="46"/>
      <c r="M209" s="46"/>
      <c r="N209" s="46"/>
      <c r="O209" s="25"/>
      <c r="P209" s="26"/>
      <c r="Q209" s="12"/>
      <c r="R209" s="12"/>
      <c r="S209" s="13"/>
      <c r="T209" s="14"/>
      <c r="U209" s="15"/>
      <c r="V209" s="15"/>
      <c r="W209" s="15"/>
      <c r="X209" s="14"/>
      <c r="Y209" s="15"/>
      <c r="Z209" s="13"/>
      <c r="AA209" s="15"/>
      <c r="AB209" s="15"/>
      <c r="AC209" s="15"/>
      <c r="AD209" s="15"/>
      <c r="AE209" s="15"/>
      <c r="AF209" s="13"/>
      <c r="AG209" s="15"/>
      <c r="AH209" s="13"/>
      <c r="AI209" s="15"/>
      <c r="AJ209" s="13"/>
    </row>
    <row r="210" spans="1:36" x14ac:dyDescent="0.2">
      <c r="A210" s="6"/>
      <c r="B210" s="34"/>
      <c r="C210" s="41"/>
      <c r="D210" s="36"/>
      <c r="E210" s="38"/>
      <c r="F210" s="37"/>
      <c r="G210" s="39"/>
      <c r="H210" s="38"/>
      <c r="I210" s="35"/>
      <c r="J210" s="44"/>
      <c r="K210" s="46"/>
      <c r="L210" s="46"/>
      <c r="M210" s="46"/>
      <c r="N210" s="46"/>
      <c r="O210" s="25"/>
      <c r="P210" s="26"/>
      <c r="Q210" s="12"/>
      <c r="R210" s="12"/>
      <c r="S210" s="13"/>
      <c r="T210" s="14"/>
      <c r="U210" s="15"/>
      <c r="V210" s="15"/>
      <c r="W210" s="15"/>
      <c r="X210" s="14"/>
      <c r="Y210" s="15"/>
      <c r="Z210" s="13"/>
      <c r="AA210" s="15"/>
      <c r="AB210" s="15"/>
      <c r="AC210" s="15"/>
      <c r="AD210" s="15"/>
      <c r="AE210" s="15"/>
      <c r="AF210" s="13"/>
      <c r="AG210" s="15"/>
      <c r="AH210" s="13"/>
      <c r="AI210" s="15"/>
      <c r="AJ210" s="13"/>
    </row>
    <row r="211" spans="1:36" x14ac:dyDescent="0.2">
      <c r="A211" s="6"/>
      <c r="B211" s="34"/>
      <c r="C211" s="41"/>
      <c r="D211" s="36"/>
      <c r="E211" s="38"/>
      <c r="F211" s="37"/>
      <c r="G211" s="39"/>
      <c r="H211" s="38"/>
      <c r="I211" s="35"/>
      <c r="J211" s="44"/>
      <c r="K211" s="46"/>
      <c r="L211" s="46"/>
      <c r="M211" s="46"/>
      <c r="N211" s="46"/>
      <c r="O211" s="25"/>
      <c r="P211" s="26"/>
      <c r="Q211" s="12"/>
      <c r="R211" s="12"/>
      <c r="S211" s="13"/>
      <c r="T211" s="14"/>
      <c r="U211" s="15"/>
      <c r="V211" s="15"/>
      <c r="W211" s="15"/>
      <c r="X211" s="14"/>
      <c r="Y211" s="15"/>
      <c r="Z211" s="13"/>
      <c r="AA211" s="15"/>
      <c r="AB211" s="15"/>
      <c r="AC211" s="15"/>
      <c r="AD211" s="15"/>
      <c r="AE211" s="15"/>
      <c r="AF211" s="13"/>
      <c r="AG211" s="15"/>
      <c r="AH211" s="13"/>
      <c r="AI211" s="15"/>
      <c r="AJ211" s="13"/>
    </row>
    <row r="212" spans="1:36" x14ac:dyDescent="0.2">
      <c r="A212" s="6"/>
      <c r="B212" s="34"/>
      <c r="C212" s="41"/>
      <c r="D212" s="36"/>
      <c r="E212" s="38"/>
      <c r="F212" s="37"/>
      <c r="G212" s="39"/>
      <c r="H212" s="38"/>
      <c r="I212" s="35"/>
      <c r="J212" s="44"/>
      <c r="K212" s="46"/>
      <c r="L212" s="46"/>
      <c r="M212" s="46"/>
      <c r="N212" s="46"/>
      <c r="O212" s="25"/>
      <c r="P212" s="26"/>
      <c r="Q212" s="12"/>
      <c r="R212" s="12"/>
      <c r="S212" s="13"/>
      <c r="T212" s="14"/>
      <c r="U212" s="15"/>
      <c r="V212" s="15"/>
      <c r="W212" s="15"/>
      <c r="X212" s="14"/>
      <c r="Y212" s="15"/>
      <c r="Z212" s="13"/>
      <c r="AA212" s="15"/>
      <c r="AB212" s="15"/>
      <c r="AC212" s="15"/>
      <c r="AD212" s="15"/>
      <c r="AE212" s="15"/>
      <c r="AF212" s="13"/>
      <c r="AG212" s="15"/>
      <c r="AH212" s="13"/>
      <c r="AI212" s="15"/>
      <c r="AJ212" s="13"/>
    </row>
    <row r="213" spans="1:36" x14ac:dyDescent="0.2">
      <c r="A213" s="6"/>
      <c r="B213" s="34"/>
      <c r="C213" s="41"/>
      <c r="D213" s="36"/>
      <c r="E213" s="38"/>
      <c r="F213" s="37"/>
      <c r="G213" s="39"/>
      <c r="H213" s="38"/>
      <c r="I213" s="35"/>
      <c r="J213" s="44"/>
      <c r="K213" s="46"/>
      <c r="L213" s="46"/>
      <c r="M213" s="46"/>
      <c r="N213" s="46"/>
      <c r="O213" s="25"/>
      <c r="P213" s="26"/>
      <c r="Q213" s="12"/>
      <c r="R213" s="12"/>
      <c r="S213" s="13"/>
      <c r="T213" s="14"/>
      <c r="U213" s="15"/>
      <c r="V213" s="15"/>
      <c r="W213" s="15"/>
      <c r="X213" s="14"/>
      <c r="Y213" s="15"/>
      <c r="Z213" s="13"/>
      <c r="AA213" s="15"/>
      <c r="AB213" s="15"/>
      <c r="AC213" s="15"/>
      <c r="AD213" s="15"/>
      <c r="AE213" s="15"/>
      <c r="AF213" s="13"/>
      <c r="AG213" s="15"/>
      <c r="AH213" s="13"/>
      <c r="AI213" s="15"/>
      <c r="AJ213" s="13"/>
    </row>
    <row r="214" spans="1:36" x14ac:dyDescent="0.2">
      <c r="A214" s="6"/>
      <c r="B214" s="34"/>
      <c r="C214" s="41"/>
      <c r="D214" s="36"/>
      <c r="E214" s="38"/>
      <c r="F214" s="37"/>
      <c r="G214" s="39"/>
      <c r="H214" s="38"/>
      <c r="I214" s="35"/>
      <c r="J214" s="44"/>
      <c r="K214" s="46"/>
      <c r="L214" s="46"/>
      <c r="M214" s="46"/>
      <c r="N214" s="46"/>
      <c r="O214" s="25"/>
      <c r="P214" s="26"/>
      <c r="Q214" s="12"/>
      <c r="R214" s="12"/>
      <c r="S214" s="13"/>
      <c r="T214" s="14"/>
      <c r="U214" s="15"/>
      <c r="V214" s="15"/>
      <c r="W214" s="15"/>
      <c r="X214" s="14"/>
      <c r="Y214" s="15"/>
      <c r="Z214" s="13"/>
      <c r="AA214" s="15"/>
      <c r="AB214" s="15"/>
      <c r="AC214" s="15"/>
      <c r="AD214" s="15"/>
      <c r="AE214" s="15"/>
      <c r="AF214" s="13"/>
      <c r="AG214" s="15"/>
      <c r="AH214" s="13"/>
      <c r="AI214" s="15"/>
      <c r="AJ214" s="13"/>
    </row>
    <row r="215" spans="1:36" x14ac:dyDescent="0.2">
      <c r="A215" s="6"/>
      <c r="B215" s="34"/>
      <c r="C215" s="41"/>
      <c r="D215" s="36"/>
      <c r="E215" s="38"/>
      <c r="F215" s="37"/>
      <c r="G215" s="39"/>
      <c r="H215" s="38"/>
      <c r="I215" s="35"/>
      <c r="J215" s="44"/>
      <c r="K215" s="46"/>
      <c r="L215" s="46"/>
      <c r="M215" s="46"/>
      <c r="N215" s="46"/>
      <c r="O215" s="25"/>
      <c r="P215" s="26"/>
      <c r="Q215" s="12"/>
      <c r="R215" s="12"/>
      <c r="S215" s="13"/>
      <c r="T215" s="14"/>
      <c r="U215" s="15"/>
      <c r="V215" s="15"/>
      <c r="W215" s="15"/>
      <c r="X215" s="14"/>
      <c r="Y215" s="15"/>
      <c r="Z215" s="13"/>
      <c r="AA215" s="15"/>
      <c r="AB215" s="15"/>
      <c r="AC215" s="15"/>
      <c r="AD215" s="15"/>
      <c r="AE215" s="15"/>
      <c r="AF215" s="13"/>
      <c r="AG215" s="15"/>
      <c r="AH215" s="13"/>
      <c r="AI215" s="15"/>
      <c r="AJ215" s="13"/>
    </row>
    <row r="216" spans="1:36" x14ac:dyDescent="0.2">
      <c r="A216" s="6"/>
      <c r="B216" s="34"/>
      <c r="C216" s="41"/>
      <c r="D216" s="36"/>
      <c r="E216" s="38"/>
      <c r="F216" s="37"/>
      <c r="G216" s="39"/>
      <c r="H216" s="38"/>
      <c r="I216" s="35"/>
      <c r="J216" s="44"/>
      <c r="K216" s="46"/>
      <c r="L216" s="46"/>
      <c r="M216" s="46"/>
      <c r="N216" s="46"/>
      <c r="O216" s="25"/>
      <c r="P216" s="26"/>
      <c r="Q216" s="12"/>
      <c r="R216" s="12"/>
      <c r="S216" s="13"/>
      <c r="T216" s="14"/>
      <c r="U216" s="15"/>
      <c r="V216" s="15"/>
      <c r="W216" s="15"/>
      <c r="X216" s="14"/>
      <c r="Y216" s="15"/>
      <c r="Z216" s="13"/>
      <c r="AA216" s="15"/>
      <c r="AB216" s="15"/>
      <c r="AC216" s="15"/>
      <c r="AD216" s="15"/>
      <c r="AE216" s="15"/>
      <c r="AF216" s="13"/>
      <c r="AG216" s="15"/>
      <c r="AH216" s="13"/>
      <c r="AI216" s="15"/>
      <c r="AJ216" s="13"/>
    </row>
    <row r="217" spans="1:36" x14ac:dyDescent="0.2">
      <c r="A217" s="6"/>
      <c r="B217" s="34"/>
      <c r="C217" s="41"/>
      <c r="D217" s="36"/>
      <c r="E217" s="38"/>
      <c r="F217" s="37"/>
      <c r="G217" s="39"/>
      <c r="H217" s="38"/>
      <c r="I217" s="35"/>
      <c r="J217" s="44"/>
      <c r="K217" s="46"/>
      <c r="L217" s="46"/>
      <c r="M217" s="46"/>
      <c r="N217" s="46"/>
      <c r="O217" s="25"/>
      <c r="P217" s="26"/>
      <c r="Q217" s="12"/>
      <c r="R217" s="12"/>
      <c r="S217" s="13"/>
      <c r="T217" s="14"/>
      <c r="U217" s="15"/>
      <c r="V217" s="15"/>
      <c r="W217" s="15"/>
      <c r="X217" s="14"/>
      <c r="Y217" s="15"/>
      <c r="Z217" s="13"/>
      <c r="AA217" s="15"/>
      <c r="AB217" s="15"/>
      <c r="AC217" s="15"/>
      <c r="AD217" s="15"/>
      <c r="AE217" s="15"/>
      <c r="AF217" s="13"/>
      <c r="AG217" s="15"/>
      <c r="AH217" s="13"/>
      <c r="AI217" s="15"/>
      <c r="AJ217" s="13"/>
    </row>
    <row r="218" spans="1:36" x14ac:dyDescent="0.2">
      <c r="A218" s="6"/>
      <c r="B218" s="34"/>
      <c r="C218" s="41"/>
      <c r="D218" s="36"/>
      <c r="E218" s="38"/>
      <c r="F218" s="37"/>
      <c r="G218" s="39"/>
      <c r="H218" s="38"/>
      <c r="I218" s="35"/>
      <c r="J218" s="44"/>
      <c r="K218" s="46"/>
      <c r="L218" s="46"/>
      <c r="M218" s="46"/>
      <c r="N218" s="46"/>
      <c r="O218" s="25"/>
      <c r="P218" s="26"/>
      <c r="Q218" s="12"/>
      <c r="R218" s="12"/>
      <c r="S218" s="13"/>
      <c r="T218" s="14"/>
      <c r="U218" s="15"/>
      <c r="V218" s="15"/>
      <c r="W218" s="15"/>
      <c r="X218" s="14"/>
      <c r="Y218" s="15"/>
      <c r="Z218" s="13"/>
      <c r="AA218" s="15"/>
      <c r="AB218" s="15"/>
      <c r="AC218" s="15"/>
      <c r="AD218" s="15"/>
      <c r="AE218" s="15"/>
      <c r="AF218" s="13"/>
      <c r="AG218" s="15"/>
      <c r="AH218" s="13"/>
      <c r="AI218" s="15"/>
      <c r="AJ218" s="13"/>
    </row>
    <row r="219" spans="1:36" x14ac:dyDescent="0.2">
      <c r="A219" s="6"/>
      <c r="B219" s="34"/>
      <c r="C219" s="41"/>
      <c r="D219" s="36"/>
      <c r="E219" s="38"/>
      <c r="F219" s="37"/>
      <c r="G219" s="39"/>
      <c r="H219" s="38"/>
      <c r="I219" s="35"/>
      <c r="J219" s="44"/>
      <c r="K219" s="46"/>
      <c r="L219" s="46"/>
      <c r="M219" s="46"/>
      <c r="N219" s="46"/>
      <c r="O219" s="25"/>
      <c r="P219" s="26"/>
      <c r="Q219" s="12"/>
      <c r="R219" s="12"/>
      <c r="S219" s="13"/>
      <c r="T219" s="14"/>
      <c r="U219" s="15"/>
      <c r="V219" s="15"/>
      <c r="W219" s="15"/>
      <c r="X219" s="14"/>
      <c r="Y219" s="15"/>
      <c r="Z219" s="13"/>
      <c r="AA219" s="15"/>
      <c r="AB219" s="15"/>
      <c r="AC219" s="15"/>
      <c r="AD219" s="15"/>
      <c r="AE219" s="15"/>
      <c r="AF219" s="13"/>
      <c r="AG219" s="15"/>
      <c r="AH219" s="13"/>
      <c r="AI219" s="15"/>
      <c r="AJ219" s="13"/>
    </row>
    <row r="220" spans="1:36" x14ac:dyDescent="0.2">
      <c r="A220" s="6"/>
      <c r="B220" s="34"/>
      <c r="C220" s="41"/>
      <c r="D220" s="36"/>
      <c r="E220" s="38"/>
      <c r="F220" s="37"/>
      <c r="G220" s="39"/>
      <c r="H220" s="38"/>
      <c r="I220" s="35"/>
      <c r="J220" s="44"/>
      <c r="K220" s="46"/>
      <c r="L220" s="46"/>
      <c r="M220" s="46"/>
      <c r="N220" s="46"/>
      <c r="O220" s="25"/>
      <c r="P220" s="26"/>
      <c r="Q220" s="12"/>
      <c r="R220" s="12"/>
      <c r="S220" s="13"/>
      <c r="T220" s="14"/>
      <c r="U220" s="15"/>
      <c r="V220" s="15"/>
      <c r="W220" s="15"/>
      <c r="X220" s="14"/>
      <c r="Y220" s="15"/>
      <c r="Z220" s="13"/>
      <c r="AA220" s="15"/>
      <c r="AB220" s="15"/>
      <c r="AC220" s="15"/>
      <c r="AD220" s="15"/>
      <c r="AE220" s="15"/>
      <c r="AF220" s="13"/>
      <c r="AG220" s="15"/>
      <c r="AH220" s="13"/>
      <c r="AI220" s="15"/>
      <c r="AJ220" s="13"/>
    </row>
    <row r="221" spans="1:36" x14ac:dyDescent="0.2">
      <c r="A221" s="6"/>
      <c r="B221" s="34"/>
      <c r="C221" s="41"/>
      <c r="D221" s="36"/>
      <c r="E221" s="38"/>
      <c r="F221" s="37"/>
      <c r="G221" s="39"/>
      <c r="H221" s="38"/>
      <c r="I221" s="35"/>
      <c r="J221" s="44"/>
      <c r="K221" s="46"/>
      <c r="L221" s="46"/>
      <c r="M221" s="46"/>
      <c r="N221" s="46"/>
      <c r="O221" s="25"/>
      <c r="P221" s="26"/>
      <c r="Q221" s="12"/>
      <c r="R221" s="12"/>
      <c r="S221" s="13"/>
      <c r="T221" s="14"/>
      <c r="U221" s="15"/>
      <c r="V221" s="15"/>
      <c r="W221" s="15"/>
      <c r="X221" s="14"/>
      <c r="Y221" s="15"/>
      <c r="Z221" s="13"/>
      <c r="AA221" s="15"/>
      <c r="AB221" s="15"/>
      <c r="AC221" s="15"/>
      <c r="AD221" s="15"/>
      <c r="AE221" s="15"/>
      <c r="AF221" s="13"/>
      <c r="AG221" s="15"/>
      <c r="AH221" s="13"/>
      <c r="AI221" s="15"/>
      <c r="AJ221" s="13"/>
    </row>
    <row r="222" spans="1:36" x14ac:dyDescent="0.2">
      <c r="A222" s="6"/>
      <c r="B222" s="34"/>
      <c r="C222" s="41"/>
      <c r="D222" s="36"/>
      <c r="E222" s="38"/>
      <c r="F222" s="37"/>
      <c r="G222" s="39"/>
      <c r="H222" s="38"/>
      <c r="I222" s="35"/>
      <c r="J222" s="44"/>
      <c r="K222" s="46"/>
      <c r="L222" s="46"/>
      <c r="M222" s="46"/>
      <c r="N222" s="46"/>
      <c r="O222" s="25"/>
      <c r="P222" s="26"/>
      <c r="Q222" s="12"/>
      <c r="R222" s="12"/>
      <c r="S222" s="13"/>
      <c r="T222" s="14"/>
      <c r="U222" s="15"/>
      <c r="V222" s="15"/>
      <c r="W222" s="15"/>
      <c r="X222" s="14"/>
      <c r="Y222" s="15"/>
      <c r="Z222" s="13"/>
      <c r="AA222" s="15"/>
      <c r="AB222" s="15"/>
      <c r="AC222" s="15"/>
      <c r="AD222" s="15"/>
      <c r="AE222" s="15"/>
      <c r="AF222" s="13"/>
      <c r="AG222" s="15"/>
      <c r="AH222" s="13"/>
      <c r="AI222" s="15"/>
      <c r="AJ222" s="13"/>
    </row>
    <row r="223" spans="1:36" x14ac:dyDescent="0.2">
      <c r="A223" s="6"/>
      <c r="B223" s="34"/>
      <c r="C223" s="41"/>
      <c r="D223" s="36"/>
      <c r="E223" s="38"/>
      <c r="F223" s="37"/>
      <c r="G223" s="39"/>
      <c r="H223" s="38"/>
      <c r="I223" s="35"/>
      <c r="J223" s="44"/>
      <c r="K223" s="46"/>
      <c r="L223" s="46"/>
      <c r="M223" s="46"/>
      <c r="N223" s="46"/>
      <c r="O223" s="25"/>
      <c r="P223" s="26"/>
      <c r="Q223" s="12"/>
      <c r="R223" s="12"/>
      <c r="S223" s="13"/>
      <c r="T223" s="14"/>
      <c r="U223" s="15"/>
      <c r="V223" s="15"/>
      <c r="W223" s="15"/>
      <c r="X223" s="14"/>
      <c r="Y223" s="15"/>
      <c r="Z223" s="13"/>
      <c r="AA223" s="15"/>
      <c r="AB223" s="15"/>
      <c r="AC223" s="15"/>
      <c r="AD223" s="15"/>
      <c r="AE223" s="15"/>
      <c r="AF223" s="13"/>
      <c r="AG223" s="15"/>
      <c r="AH223" s="13"/>
      <c r="AI223" s="15"/>
      <c r="AJ223" s="13"/>
    </row>
    <row r="224" spans="1:36" x14ac:dyDescent="0.2">
      <c r="A224" s="6"/>
      <c r="B224" s="34"/>
      <c r="C224" s="41"/>
      <c r="D224" s="36"/>
      <c r="E224" s="43"/>
      <c r="F224" s="42"/>
      <c r="G224" s="39"/>
      <c r="H224" s="38"/>
      <c r="I224" s="35"/>
      <c r="J224" s="44"/>
      <c r="K224" s="46"/>
      <c r="L224" s="46"/>
      <c r="M224" s="46"/>
      <c r="N224" s="46"/>
      <c r="O224" s="25"/>
      <c r="P224" s="26"/>
      <c r="Q224" s="12"/>
      <c r="R224" s="12"/>
      <c r="S224" s="13"/>
      <c r="T224" s="15"/>
      <c r="U224" s="15"/>
      <c r="V224" s="15"/>
      <c r="W224" s="15"/>
      <c r="X224" s="14"/>
      <c r="Y224" s="15"/>
      <c r="Z224" s="13"/>
      <c r="AA224" s="15"/>
      <c r="AB224" s="15"/>
      <c r="AC224" s="15"/>
      <c r="AD224" s="15"/>
      <c r="AE224" s="15"/>
      <c r="AF224" s="13"/>
      <c r="AG224" s="15"/>
      <c r="AH224" s="13"/>
      <c r="AI224" s="15"/>
      <c r="AJ224" s="13"/>
    </row>
    <row r="225" spans="1:36" x14ac:dyDescent="0.2">
      <c r="A225" s="6"/>
      <c r="B225" s="34"/>
      <c r="C225" s="41"/>
      <c r="D225" s="36"/>
      <c r="E225" s="38"/>
      <c r="F225" s="37"/>
      <c r="G225" s="39"/>
      <c r="H225" s="38"/>
      <c r="I225" s="35"/>
      <c r="J225" s="44"/>
      <c r="K225" s="46"/>
      <c r="L225" s="46"/>
      <c r="M225" s="46"/>
      <c r="N225" s="46"/>
      <c r="O225" s="25"/>
      <c r="P225" s="26"/>
      <c r="Q225" s="12"/>
      <c r="R225" s="12"/>
      <c r="S225" s="13"/>
      <c r="T225" s="14"/>
      <c r="U225" s="15"/>
      <c r="V225" s="15"/>
      <c r="W225" s="15"/>
      <c r="X225" s="14"/>
      <c r="Y225" s="15"/>
      <c r="Z225" s="13"/>
      <c r="AA225" s="15"/>
      <c r="AB225" s="15"/>
      <c r="AC225" s="15"/>
      <c r="AD225" s="15"/>
      <c r="AE225" s="15"/>
      <c r="AF225" s="13"/>
      <c r="AG225" s="15"/>
      <c r="AH225" s="13"/>
      <c r="AI225" s="15"/>
      <c r="AJ225" s="13"/>
    </row>
    <row r="226" spans="1:36" x14ac:dyDescent="0.2">
      <c r="A226" s="6"/>
      <c r="B226" s="34"/>
      <c r="C226" s="41"/>
      <c r="D226" s="36"/>
      <c r="E226" s="38"/>
      <c r="F226" s="37"/>
      <c r="G226" s="39"/>
      <c r="H226" s="38"/>
      <c r="I226" s="35"/>
      <c r="J226" s="44"/>
      <c r="K226" s="46"/>
      <c r="L226" s="46"/>
      <c r="M226" s="46"/>
      <c r="N226" s="46"/>
      <c r="O226" s="25"/>
      <c r="P226" s="26"/>
      <c r="Q226" s="12"/>
      <c r="R226" s="12"/>
      <c r="S226" s="13"/>
      <c r="T226" s="14"/>
      <c r="U226" s="15"/>
      <c r="V226" s="15"/>
      <c r="W226" s="15"/>
      <c r="X226" s="14"/>
      <c r="Y226" s="15"/>
      <c r="Z226" s="13"/>
      <c r="AA226" s="15"/>
      <c r="AB226" s="15"/>
      <c r="AC226" s="15"/>
      <c r="AD226" s="15"/>
      <c r="AE226" s="15"/>
      <c r="AF226" s="13"/>
      <c r="AG226" s="15"/>
      <c r="AH226" s="13"/>
      <c r="AI226" s="15"/>
      <c r="AJ226" s="13"/>
    </row>
    <row r="227" spans="1:36" x14ac:dyDescent="0.2">
      <c r="A227" s="6"/>
      <c r="B227" s="34"/>
      <c r="C227" s="41"/>
      <c r="D227" s="36"/>
      <c r="E227" s="38"/>
      <c r="F227" s="37"/>
      <c r="G227" s="39"/>
      <c r="H227" s="38"/>
      <c r="I227" s="35"/>
      <c r="J227" s="44"/>
      <c r="K227" s="46"/>
      <c r="L227" s="46"/>
      <c r="M227" s="46"/>
      <c r="N227" s="46"/>
      <c r="O227" s="25"/>
      <c r="P227" s="26"/>
      <c r="Q227" s="12"/>
      <c r="R227" s="12"/>
      <c r="S227" s="13"/>
      <c r="T227" s="14"/>
      <c r="U227" s="15"/>
      <c r="V227" s="15"/>
      <c r="W227" s="15"/>
      <c r="X227" s="14"/>
      <c r="Y227" s="15"/>
      <c r="Z227" s="13"/>
      <c r="AA227" s="15"/>
      <c r="AB227" s="15"/>
      <c r="AC227" s="15"/>
      <c r="AD227" s="15"/>
      <c r="AE227" s="15"/>
      <c r="AF227" s="13"/>
      <c r="AG227" s="15"/>
      <c r="AH227" s="13"/>
      <c r="AI227" s="15"/>
      <c r="AJ227" s="13"/>
    </row>
    <row r="228" spans="1:36" x14ac:dyDescent="0.2">
      <c r="A228" s="6"/>
      <c r="B228" s="34"/>
      <c r="C228" s="41"/>
      <c r="D228" s="36"/>
      <c r="E228" s="38"/>
      <c r="F228" s="37"/>
      <c r="G228" s="39"/>
      <c r="H228" s="38"/>
      <c r="I228" s="35"/>
      <c r="J228" s="44"/>
      <c r="K228" s="46"/>
      <c r="L228" s="46"/>
      <c r="M228" s="46"/>
      <c r="N228" s="46"/>
      <c r="O228" s="25"/>
      <c r="P228" s="26"/>
      <c r="Q228" s="12"/>
      <c r="R228" s="12"/>
      <c r="S228" s="13"/>
      <c r="T228" s="14"/>
      <c r="U228" s="15"/>
      <c r="V228" s="15"/>
      <c r="W228" s="15"/>
      <c r="X228" s="14"/>
      <c r="Y228" s="15"/>
      <c r="Z228" s="13"/>
      <c r="AA228" s="15"/>
      <c r="AB228" s="15"/>
      <c r="AC228" s="15"/>
      <c r="AD228" s="15"/>
      <c r="AE228" s="15"/>
      <c r="AF228" s="13"/>
      <c r="AG228" s="15"/>
      <c r="AH228" s="13"/>
      <c r="AI228" s="15"/>
      <c r="AJ228" s="13"/>
    </row>
    <row r="229" spans="1:36" x14ac:dyDescent="0.2">
      <c r="A229" s="6"/>
      <c r="B229" s="34"/>
      <c r="C229" s="41"/>
      <c r="D229" s="36"/>
      <c r="E229" s="38"/>
      <c r="F229" s="37"/>
      <c r="G229" s="39"/>
      <c r="H229" s="38"/>
      <c r="I229" s="35"/>
      <c r="J229" s="44"/>
      <c r="K229" s="46"/>
      <c r="L229" s="46"/>
      <c r="M229" s="46"/>
      <c r="N229" s="46"/>
      <c r="O229" s="46"/>
      <c r="P229" s="26"/>
      <c r="Q229" s="12"/>
      <c r="R229" s="12"/>
      <c r="S229" s="13"/>
      <c r="T229" s="14"/>
      <c r="U229" s="15"/>
      <c r="V229" s="15"/>
      <c r="W229" s="15"/>
      <c r="X229" s="14"/>
      <c r="Y229" s="15"/>
      <c r="Z229" s="13"/>
      <c r="AA229" s="15"/>
      <c r="AB229" s="15"/>
      <c r="AC229" s="15"/>
      <c r="AD229" s="15"/>
      <c r="AE229" s="15"/>
      <c r="AF229" s="13"/>
      <c r="AG229" s="15"/>
      <c r="AH229" s="13"/>
      <c r="AI229" s="15"/>
      <c r="AJ229" s="13"/>
    </row>
    <row r="230" spans="1:36" x14ac:dyDescent="0.2">
      <c r="A230" s="6"/>
      <c r="B230" s="34"/>
      <c r="C230" s="41"/>
      <c r="D230" s="36"/>
      <c r="E230" s="38"/>
      <c r="F230" s="37"/>
      <c r="G230" s="39"/>
      <c r="H230" s="38"/>
      <c r="I230" s="35"/>
      <c r="J230" s="44"/>
      <c r="K230" s="46"/>
      <c r="L230" s="46"/>
      <c r="M230" s="46"/>
      <c r="N230" s="46"/>
      <c r="O230" s="46"/>
      <c r="P230" s="26"/>
      <c r="Q230" s="12"/>
      <c r="R230" s="12"/>
      <c r="S230" s="13"/>
      <c r="T230" s="14"/>
      <c r="U230" s="15"/>
      <c r="V230" s="15"/>
      <c r="W230" s="15"/>
      <c r="X230" s="14"/>
      <c r="Y230" s="15"/>
      <c r="Z230" s="13"/>
      <c r="AA230" s="15"/>
      <c r="AB230" s="15"/>
      <c r="AC230" s="15"/>
      <c r="AD230" s="15"/>
      <c r="AE230" s="15"/>
      <c r="AF230" s="13"/>
      <c r="AG230" s="15"/>
      <c r="AH230" s="13"/>
      <c r="AI230" s="15"/>
      <c r="AJ230" s="13"/>
    </row>
    <row r="231" spans="1:36" x14ac:dyDescent="0.2">
      <c r="A231" s="6"/>
      <c r="B231" s="34"/>
      <c r="C231" s="41"/>
      <c r="D231" s="36"/>
      <c r="E231" s="38"/>
      <c r="F231" s="37"/>
      <c r="G231" s="39"/>
      <c r="H231" s="38"/>
      <c r="I231" s="35"/>
      <c r="J231" s="44"/>
      <c r="K231" s="46"/>
      <c r="L231" s="46"/>
      <c r="M231" s="46"/>
      <c r="N231" s="46"/>
      <c r="O231" s="46"/>
      <c r="P231" s="26"/>
      <c r="Q231" s="12"/>
      <c r="R231" s="12"/>
      <c r="S231" s="13"/>
      <c r="T231" s="14"/>
      <c r="U231" s="15"/>
      <c r="V231" s="15"/>
      <c r="W231" s="15"/>
      <c r="X231" s="14"/>
      <c r="Y231" s="15"/>
      <c r="Z231" s="13"/>
      <c r="AA231" s="15"/>
      <c r="AB231" s="15"/>
      <c r="AC231" s="15"/>
      <c r="AD231" s="15"/>
      <c r="AE231" s="15"/>
      <c r="AF231" s="13"/>
      <c r="AG231" s="15"/>
      <c r="AH231" s="13"/>
      <c r="AI231" s="15"/>
      <c r="AJ231" s="13"/>
    </row>
    <row r="232" spans="1:36" x14ac:dyDescent="0.2">
      <c r="A232" s="6"/>
      <c r="B232" s="34"/>
      <c r="C232" s="41"/>
      <c r="D232" s="36"/>
      <c r="E232" s="38"/>
      <c r="F232" s="37"/>
      <c r="G232" s="39"/>
      <c r="H232" s="38"/>
      <c r="I232" s="35"/>
      <c r="J232" s="44"/>
      <c r="K232" s="46"/>
      <c r="L232" s="46"/>
      <c r="M232" s="46"/>
      <c r="N232" s="46"/>
      <c r="O232" s="46"/>
      <c r="P232" s="26"/>
      <c r="Q232" s="12"/>
      <c r="R232" s="12"/>
      <c r="S232" s="13"/>
      <c r="T232" s="14"/>
      <c r="U232" s="15"/>
      <c r="V232" s="15"/>
      <c r="W232" s="15"/>
      <c r="X232" s="14"/>
      <c r="Y232" s="15"/>
      <c r="Z232" s="13"/>
      <c r="AA232" s="15"/>
      <c r="AB232" s="15"/>
      <c r="AC232" s="15"/>
      <c r="AD232" s="15"/>
      <c r="AE232" s="15"/>
      <c r="AF232" s="13"/>
      <c r="AG232" s="15"/>
      <c r="AH232" s="13"/>
      <c r="AI232" s="15"/>
      <c r="AJ232" s="13"/>
    </row>
    <row r="233" spans="1:36" x14ac:dyDescent="0.2">
      <c r="A233" s="6"/>
      <c r="B233" s="34"/>
      <c r="C233" s="41"/>
      <c r="D233" s="36"/>
      <c r="E233" s="38"/>
      <c r="F233" s="37"/>
      <c r="G233" s="39"/>
      <c r="H233" s="38"/>
      <c r="I233" s="35"/>
      <c r="J233" s="44"/>
      <c r="K233" s="46"/>
      <c r="L233" s="46"/>
      <c r="M233" s="46"/>
      <c r="N233" s="46"/>
      <c r="O233" s="46"/>
      <c r="P233" s="26"/>
      <c r="Q233" s="12"/>
      <c r="R233" s="12"/>
      <c r="S233" s="13"/>
      <c r="T233" s="14"/>
      <c r="U233" s="15"/>
      <c r="V233" s="15"/>
      <c r="W233" s="15"/>
      <c r="X233" s="14"/>
      <c r="Y233" s="15"/>
      <c r="Z233" s="13"/>
      <c r="AA233" s="15"/>
      <c r="AB233" s="15"/>
      <c r="AC233" s="15"/>
      <c r="AD233" s="15"/>
      <c r="AE233" s="15"/>
      <c r="AF233" s="13"/>
      <c r="AG233" s="15"/>
      <c r="AH233" s="13"/>
      <c r="AI233" s="15"/>
      <c r="AJ233" s="13"/>
    </row>
    <row r="234" spans="1:36" x14ac:dyDescent="0.2">
      <c r="A234" s="6"/>
      <c r="B234" s="34"/>
      <c r="C234" s="41"/>
      <c r="D234" s="36"/>
      <c r="E234" s="38"/>
      <c r="F234" s="37"/>
      <c r="G234" s="39"/>
      <c r="H234" s="38"/>
      <c r="I234" s="35"/>
      <c r="J234" s="44"/>
      <c r="K234" s="46"/>
      <c r="L234" s="46"/>
      <c r="M234" s="46"/>
      <c r="N234" s="46"/>
      <c r="O234" s="46"/>
      <c r="P234" s="26"/>
      <c r="Q234" s="12"/>
      <c r="R234" s="12"/>
      <c r="S234" s="13"/>
      <c r="T234" s="14"/>
      <c r="U234" s="15"/>
      <c r="V234" s="15"/>
      <c r="W234" s="15"/>
      <c r="X234" s="14"/>
      <c r="Y234" s="15"/>
      <c r="Z234" s="13"/>
      <c r="AA234" s="15"/>
      <c r="AB234" s="15"/>
      <c r="AC234" s="15"/>
      <c r="AD234" s="15"/>
      <c r="AE234" s="15"/>
      <c r="AF234" s="13"/>
      <c r="AG234" s="15"/>
      <c r="AH234" s="13"/>
      <c r="AI234" s="15"/>
      <c r="AJ234" s="13"/>
    </row>
    <row r="235" spans="1:36" x14ac:dyDescent="0.2">
      <c r="A235" s="6"/>
      <c r="B235" s="34"/>
      <c r="C235" s="41"/>
      <c r="D235" s="36"/>
      <c r="E235" s="38"/>
      <c r="F235" s="37"/>
      <c r="G235" s="39"/>
      <c r="H235" s="38"/>
      <c r="I235" s="35"/>
      <c r="J235" s="44"/>
      <c r="K235" s="46"/>
      <c r="L235" s="46"/>
      <c r="M235" s="46"/>
      <c r="N235" s="46"/>
      <c r="O235" s="46"/>
      <c r="P235" s="26"/>
      <c r="Q235" s="12"/>
      <c r="R235" s="12"/>
      <c r="S235" s="13"/>
      <c r="T235" s="14"/>
      <c r="U235" s="15"/>
      <c r="V235" s="15"/>
      <c r="W235" s="15"/>
      <c r="X235" s="14"/>
      <c r="Y235" s="15"/>
      <c r="Z235" s="13"/>
      <c r="AA235" s="15"/>
      <c r="AB235" s="15"/>
      <c r="AC235" s="15"/>
      <c r="AD235" s="15"/>
      <c r="AE235" s="15"/>
      <c r="AF235" s="13"/>
      <c r="AG235" s="15"/>
      <c r="AH235" s="13"/>
      <c r="AI235" s="15"/>
      <c r="AJ235" s="13"/>
    </row>
    <row r="236" spans="1:36" x14ac:dyDescent="0.2">
      <c r="A236" s="6"/>
      <c r="B236" s="34"/>
      <c r="C236" s="41"/>
      <c r="D236" s="36"/>
      <c r="E236" s="38"/>
      <c r="F236" s="37"/>
      <c r="G236" s="39"/>
      <c r="H236" s="38"/>
      <c r="I236" s="35"/>
      <c r="J236" s="44"/>
      <c r="K236" s="46"/>
      <c r="L236" s="46"/>
      <c r="M236" s="46"/>
      <c r="N236" s="46"/>
      <c r="O236" s="46"/>
      <c r="P236" s="26"/>
      <c r="Q236" s="12"/>
      <c r="R236" s="12"/>
      <c r="S236" s="13"/>
      <c r="T236" s="14"/>
      <c r="U236" s="15"/>
      <c r="V236" s="15"/>
      <c r="W236" s="15"/>
      <c r="X236" s="14"/>
      <c r="Y236" s="15"/>
      <c r="Z236" s="13"/>
      <c r="AA236" s="15"/>
      <c r="AB236" s="15"/>
      <c r="AC236" s="15"/>
      <c r="AD236" s="15"/>
      <c r="AE236" s="15"/>
      <c r="AF236" s="13"/>
      <c r="AG236" s="15"/>
      <c r="AH236" s="13"/>
      <c r="AI236" s="15"/>
      <c r="AJ236" s="13"/>
    </row>
    <row r="237" spans="1:36" x14ac:dyDescent="0.2">
      <c r="A237" s="6"/>
      <c r="B237" s="34"/>
      <c r="C237" s="41"/>
      <c r="D237" s="36"/>
      <c r="E237" s="38"/>
      <c r="F237" s="37"/>
      <c r="G237" s="39"/>
      <c r="H237" s="38"/>
      <c r="I237" s="35"/>
      <c r="J237" s="44"/>
      <c r="K237" s="46"/>
      <c r="L237" s="46"/>
      <c r="M237" s="46"/>
      <c r="N237" s="46"/>
      <c r="O237" s="46"/>
      <c r="P237" s="26"/>
      <c r="Q237" s="12"/>
      <c r="R237" s="12"/>
      <c r="S237" s="13"/>
      <c r="T237" s="14"/>
      <c r="U237" s="15"/>
      <c r="V237" s="15"/>
      <c r="W237" s="15"/>
      <c r="X237" s="14"/>
      <c r="Y237" s="15"/>
      <c r="Z237" s="13"/>
      <c r="AA237" s="15"/>
      <c r="AB237" s="15"/>
      <c r="AC237" s="15"/>
      <c r="AD237" s="15"/>
      <c r="AE237" s="15"/>
      <c r="AF237" s="13"/>
      <c r="AG237" s="15"/>
      <c r="AH237" s="13"/>
      <c r="AI237" s="15"/>
      <c r="AJ237" s="13"/>
    </row>
    <row r="238" spans="1:36" x14ac:dyDescent="0.2">
      <c r="A238" s="6"/>
      <c r="B238" s="34"/>
      <c r="C238" s="41"/>
      <c r="D238" s="36"/>
      <c r="E238" s="38"/>
      <c r="F238" s="37"/>
      <c r="G238" s="39"/>
      <c r="H238" s="38"/>
      <c r="I238" s="35"/>
      <c r="J238" s="44"/>
      <c r="K238" s="46"/>
      <c r="L238" s="46"/>
      <c r="M238" s="46"/>
      <c r="N238" s="46"/>
      <c r="O238" s="46"/>
      <c r="P238" s="26"/>
      <c r="Q238" s="12"/>
      <c r="R238" s="12"/>
      <c r="S238" s="13"/>
      <c r="T238" s="14"/>
      <c r="U238" s="15"/>
      <c r="V238" s="15"/>
      <c r="W238" s="15"/>
      <c r="X238" s="14"/>
      <c r="Y238" s="15"/>
      <c r="Z238" s="13"/>
      <c r="AA238" s="15"/>
      <c r="AB238" s="15"/>
      <c r="AC238" s="15"/>
      <c r="AD238" s="15"/>
      <c r="AE238" s="15"/>
      <c r="AF238" s="13"/>
      <c r="AG238" s="15"/>
      <c r="AH238" s="13"/>
      <c r="AI238" s="15"/>
      <c r="AJ238" s="13"/>
    </row>
    <row r="239" spans="1:36" x14ac:dyDescent="0.2">
      <c r="A239" s="6"/>
      <c r="B239" s="34"/>
      <c r="C239" s="41"/>
      <c r="D239" s="36"/>
      <c r="E239" s="38"/>
      <c r="F239" s="37"/>
      <c r="G239" s="39"/>
      <c r="H239" s="38"/>
      <c r="I239" s="35"/>
      <c r="J239" s="44"/>
      <c r="K239" s="46"/>
      <c r="L239" s="46"/>
      <c r="M239" s="46"/>
      <c r="N239" s="46"/>
      <c r="O239" s="46"/>
      <c r="P239" s="26"/>
      <c r="Q239" s="12"/>
      <c r="R239" s="12"/>
      <c r="S239" s="13"/>
      <c r="T239" s="14"/>
      <c r="U239" s="15"/>
      <c r="V239" s="15"/>
      <c r="W239" s="15"/>
      <c r="X239" s="14"/>
      <c r="Y239" s="15"/>
      <c r="Z239" s="13"/>
      <c r="AA239" s="15"/>
      <c r="AB239" s="15"/>
      <c r="AC239" s="15"/>
      <c r="AD239" s="15"/>
      <c r="AE239" s="15"/>
      <c r="AF239" s="13"/>
      <c r="AG239" s="15"/>
      <c r="AH239" s="13"/>
      <c r="AI239" s="15"/>
      <c r="AJ239" s="13"/>
    </row>
    <row r="240" spans="1:36" x14ac:dyDescent="0.2">
      <c r="A240" s="6"/>
      <c r="B240" s="34"/>
      <c r="C240" s="41"/>
      <c r="D240" s="36"/>
      <c r="E240" s="38"/>
      <c r="F240" s="37"/>
      <c r="G240" s="39"/>
      <c r="H240" s="38"/>
      <c r="I240" s="35"/>
      <c r="J240" s="44"/>
      <c r="K240" s="46"/>
      <c r="L240" s="46"/>
      <c r="M240" s="46"/>
      <c r="N240" s="46"/>
      <c r="O240" s="46"/>
      <c r="P240" s="26"/>
      <c r="Q240" s="12"/>
      <c r="R240" s="12"/>
      <c r="S240" s="13"/>
      <c r="T240" s="14"/>
      <c r="U240" s="15"/>
      <c r="V240" s="15"/>
      <c r="W240" s="15"/>
      <c r="X240" s="14"/>
      <c r="Y240" s="15"/>
      <c r="Z240" s="13"/>
      <c r="AA240" s="15"/>
      <c r="AB240" s="15"/>
      <c r="AC240" s="15"/>
      <c r="AD240" s="15"/>
      <c r="AE240" s="15"/>
      <c r="AF240" s="13"/>
      <c r="AG240" s="15"/>
      <c r="AH240" s="13"/>
      <c r="AI240" s="15"/>
      <c r="AJ240" s="13"/>
    </row>
    <row r="241" spans="1:36" x14ac:dyDescent="0.2">
      <c r="A241" s="6"/>
      <c r="B241" s="34"/>
      <c r="C241" s="41"/>
      <c r="D241" s="36"/>
      <c r="E241" s="38"/>
      <c r="F241" s="37"/>
      <c r="G241" s="39"/>
      <c r="H241" s="38"/>
      <c r="I241" s="35"/>
      <c r="J241" s="44"/>
      <c r="K241" s="46"/>
      <c r="L241" s="46"/>
      <c r="M241" s="46"/>
      <c r="N241" s="46"/>
      <c r="O241" s="46"/>
      <c r="P241" s="26"/>
      <c r="Q241" s="12"/>
      <c r="R241" s="12"/>
      <c r="S241" s="13"/>
      <c r="T241" s="14"/>
      <c r="U241" s="15"/>
      <c r="V241" s="15"/>
      <c r="W241" s="15"/>
      <c r="X241" s="14"/>
      <c r="Y241" s="15"/>
      <c r="Z241" s="13"/>
      <c r="AA241" s="15"/>
      <c r="AB241" s="15"/>
      <c r="AC241" s="15"/>
      <c r="AD241" s="15"/>
      <c r="AE241" s="15"/>
      <c r="AF241" s="13"/>
      <c r="AG241" s="15"/>
      <c r="AH241" s="13"/>
      <c r="AI241" s="15"/>
      <c r="AJ241" s="13"/>
    </row>
    <row r="242" spans="1:36" x14ac:dyDescent="0.2">
      <c r="A242" s="6"/>
      <c r="B242" s="34"/>
      <c r="C242" s="41"/>
      <c r="D242" s="36"/>
      <c r="E242" s="38"/>
      <c r="F242" s="37"/>
      <c r="G242" s="39"/>
      <c r="H242" s="38"/>
      <c r="I242" s="35"/>
      <c r="J242" s="44"/>
      <c r="K242" s="46"/>
      <c r="L242" s="46"/>
      <c r="M242" s="46"/>
      <c r="N242" s="46"/>
      <c r="O242" s="46"/>
      <c r="P242" s="26"/>
      <c r="Q242" s="12"/>
      <c r="R242" s="12"/>
      <c r="S242" s="13"/>
      <c r="T242" s="14"/>
      <c r="U242" s="15"/>
      <c r="V242" s="15"/>
      <c r="W242" s="15"/>
      <c r="X242" s="14"/>
      <c r="Y242" s="15"/>
      <c r="Z242" s="13"/>
      <c r="AA242" s="15"/>
      <c r="AB242" s="15"/>
      <c r="AC242" s="15"/>
      <c r="AD242" s="15"/>
      <c r="AE242" s="15"/>
      <c r="AF242" s="13"/>
      <c r="AG242" s="15"/>
      <c r="AH242" s="13"/>
      <c r="AI242" s="15"/>
      <c r="AJ242" s="13"/>
    </row>
    <row r="243" spans="1:36" x14ac:dyDescent="0.2">
      <c r="A243" s="6"/>
      <c r="B243" s="34"/>
      <c r="C243" s="41"/>
      <c r="D243" s="36"/>
      <c r="E243" s="38"/>
      <c r="F243" s="37"/>
      <c r="G243" s="39"/>
      <c r="H243" s="38"/>
      <c r="I243" s="35"/>
      <c r="J243" s="44"/>
      <c r="K243" s="46"/>
      <c r="L243" s="46"/>
      <c r="M243" s="46"/>
      <c r="N243" s="46"/>
      <c r="O243" s="46"/>
      <c r="P243" s="26"/>
      <c r="Q243" s="12"/>
      <c r="R243" s="12"/>
      <c r="S243" s="13"/>
      <c r="T243" s="14"/>
      <c r="U243" s="15"/>
      <c r="V243" s="15"/>
      <c r="W243" s="15"/>
      <c r="X243" s="14"/>
      <c r="Y243" s="15"/>
      <c r="Z243" s="13"/>
      <c r="AA243" s="15"/>
      <c r="AB243" s="15"/>
      <c r="AC243" s="15"/>
      <c r="AD243" s="15"/>
      <c r="AE243" s="15"/>
      <c r="AF243" s="13"/>
      <c r="AG243" s="15"/>
      <c r="AH243" s="13"/>
      <c r="AI243" s="15"/>
      <c r="AJ243" s="13"/>
    </row>
    <row r="244" spans="1:36" x14ac:dyDescent="0.2">
      <c r="A244" s="6"/>
      <c r="B244" s="34"/>
      <c r="C244" s="41"/>
      <c r="D244" s="36"/>
      <c r="E244" s="38"/>
      <c r="F244" s="37"/>
      <c r="G244" s="39"/>
      <c r="H244" s="38"/>
      <c r="I244" s="35"/>
      <c r="J244" s="44"/>
      <c r="K244" s="46"/>
      <c r="L244" s="46"/>
      <c r="M244" s="46"/>
      <c r="N244" s="46"/>
      <c r="O244" s="46"/>
      <c r="P244" s="26"/>
      <c r="Q244" s="12"/>
      <c r="R244" s="12"/>
      <c r="S244" s="13"/>
      <c r="T244" s="14"/>
      <c r="U244" s="15"/>
      <c r="V244" s="15"/>
      <c r="W244" s="15"/>
      <c r="X244" s="14"/>
      <c r="Y244" s="15"/>
      <c r="Z244" s="13"/>
      <c r="AA244" s="15"/>
      <c r="AB244" s="15"/>
      <c r="AC244" s="15"/>
      <c r="AD244" s="15"/>
      <c r="AE244" s="15"/>
      <c r="AF244" s="13"/>
      <c r="AG244" s="15"/>
      <c r="AH244" s="13"/>
      <c r="AI244" s="15"/>
      <c r="AJ244" s="13"/>
    </row>
    <row r="245" spans="1:36" x14ac:dyDescent="0.2">
      <c r="A245" s="6"/>
      <c r="B245" s="34"/>
      <c r="C245" s="41"/>
      <c r="D245" s="36"/>
      <c r="E245" s="38"/>
      <c r="F245" s="37"/>
      <c r="G245" s="39"/>
      <c r="H245" s="38"/>
      <c r="I245" s="35"/>
      <c r="J245" s="44"/>
      <c r="K245" s="46"/>
      <c r="L245" s="46"/>
      <c r="M245" s="46"/>
      <c r="N245" s="46"/>
      <c r="O245" s="46"/>
      <c r="P245" s="26"/>
      <c r="Q245" s="12"/>
      <c r="R245" s="12"/>
      <c r="S245" s="13"/>
      <c r="T245" s="14"/>
      <c r="U245" s="15"/>
      <c r="V245" s="15"/>
      <c r="W245" s="15"/>
      <c r="X245" s="14"/>
      <c r="Y245" s="15"/>
      <c r="Z245" s="13"/>
      <c r="AA245" s="15"/>
      <c r="AB245" s="15"/>
      <c r="AC245" s="15"/>
      <c r="AD245" s="15"/>
      <c r="AE245" s="15"/>
      <c r="AF245" s="13"/>
      <c r="AG245" s="15"/>
      <c r="AH245" s="13"/>
      <c r="AI245" s="15"/>
      <c r="AJ245" s="13"/>
    </row>
    <row r="246" spans="1:36" x14ac:dyDescent="0.2">
      <c r="A246" s="6"/>
      <c r="B246" s="34"/>
      <c r="C246" s="41"/>
      <c r="D246" s="36"/>
      <c r="E246" s="38"/>
      <c r="F246" s="37"/>
      <c r="G246" s="39"/>
      <c r="H246" s="38"/>
      <c r="I246" s="35"/>
      <c r="J246" s="44"/>
      <c r="K246" s="46"/>
      <c r="L246" s="46"/>
      <c r="M246" s="46"/>
      <c r="N246" s="46"/>
      <c r="O246" s="46"/>
      <c r="P246" s="26"/>
      <c r="Q246" s="12"/>
      <c r="R246" s="12"/>
      <c r="S246" s="13"/>
      <c r="T246" s="14"/>
      <c r="U246" s="15"/>
      <c r="V246" s="15"/>
      <c r="W246" s="15"/>
      <c r="X246" s="14"/>
      <c r="Y246" s="15"/>
      <c r="Z246" s="13"/>
      <c r="AA246" s="15"/>
      <c r="AB246" s="15"/>
      <c r="AC246" s="15"/>
      <c r="AD246" s="15"/>
      <c r="AE246" s="15"/>
      <c r="AF246" s="13"/>
      <c r="AG246" s="15"/>
      <c r="AH246" s="13"/>
      <c r="AI246" s="15"/>
      <c r="AJ246" s="13"/>
    </row>
    <row r="247" spans="1:36" x14ac:dyDescent="0.2">
      <c r="A247" s="6"/>
      <c r="B247" s="34"/>
      <c r="C247" s="41"/>
      <c r="D247" s="36"/>
      <c r="E247" s="38"/>
      <c r="F247" s="37"/>
      <c r="G247" s="39"/>
      <c r="H247" s="38"/>
      <c r="I247" s="35"/>
      <c r="J247" s="44"/>
      <c r="K247" s="46"/>
      <c r="L247" s="46"/>
      <c r="M247" s="46"/>
      <c r="N247" s="46"/>
      <c r="O247" s="46"/>
      <c r="P247" s="26"/>
      <c r="Q247" s="12"/>
      <c r="R247" s="12"/>
      <c r="S247" s="13"/>
      <c r="T247" s="14"/>
      <c r="U247" s="15"/>
      <c r="V247" s="15"/>
      <c r="W247" s="15"/>
      <c r="X247" s="14"/>
      <c r="Y247" s="15"/>
      <c r="Z247" s="13"/>
      <c r="AA247" s="15"/>
      <c r="AB247" s="15"/>
      <c r="AC247" s="15"/>
      <c r="AD247" s="15"/>
      <c r="AE247" s="15"/>
      <c r="AF247" s="13"/>
      <c r="AG247" s="15"/>
      <c r="AH247" s="13"/>
      <c r="AI247" s="15"/>
      <c r="AJ247" s="13"/>
    </row>
    <row r="248" spans="1:36" x14ac:dyDescent="0.2">
      <c r="A248" s="6"/>
      <c r="B248" s="34"/>
      <c r="C248" s="41"/>
      <c r="D248" s="36"/>
      <c r="E248" s="38"/>
      <c r="F248" s="37"/>
      <c r="G248" s="39"/>
      <c r="H248" s="38"/>
      <c r="I248" s="35"/>
      <c r="J248" s="44"/>
      <c r="K248" s="46"/>
      <c r="L248" s="46"/>
      <c r="M248" s="46"/>
      <c r="N248" s="46"/>
      <c r="O248" s="46"/>
      <c r="P248" s="26"/>
      <c r="Q248" s="12"/>
      <c r="R248" s="12"/>
      <c r="S248" s="13"/>
      <c r="T248" s="14"/>
      <c r="U248" s="15"/>
      <c r="V248" s="15"/>
      <c r="W248" s="15"/>
      <c r="X248" s="14"/>
      <c r="Y248" s="15"/>
      <c r="Z248" s="13"/>
      <c r="AA248" s="15"/>
      <c r="AB248" s="15"/>
      <c r="AC248" s="15"/>
      <c r="AD248" s="15"/>
      <c r="AE248" s="15"/>
      <c r="AF248" s="13"/>
      <c r="AG248" s="15"/>
      <c r="AH248" s="13"/>
      <c r="AI248" s="15"/>
      <c r="AJ248" s="13"/>
    </row>
    <row r="249" spans="1:36" x14ac:dyDescent="0.2">
      <c r="A249" s="6"/>
      <c r="B249" s="34"/>
      <c r="C249" s="41"/>
      <c r="D249" s="36"/>
      <c r="E249" s="38"/>
      <c r="F249" s="37"/>
      <c r="G249" s="39"/>
      <c r="H249" s="38"/>
      <c r="I249" s="35"/>
      <c r="J249" s="44"/>
      <c r="K249" s="46"/>
      <c r="L249" s="46"/>
      <c r="M249" s="46"/>
      <c r="N249" s="46"/>
      <c r="O249" s="25"/>
      <c r="P249" s="26"/>
      <c r="Q249" s="12"/>
      <c r="R249" s="12"/>
      <c r="S249" s="13"/>
      <c r="T249" s="14"/>
      <c r="U249" s="15"/>
      <c r="V249" s="15"/>
      <c r="W249" s="15"/>
      <c r="X249" s="14"/>
      <c r="Y249" s="15"/>
      <c r="Z249" s="13"/>
      <c r="AA249" s="15"/>
      <c r="AB249" s="15"/>
      <c r="AC249" s="15"/>
      <c r="AD249" s="15"/>
      <c r="AE249" s="15"/>
      <c r="AF249" s="13"/>
      <c r="AG249" s="15"/>
      <c r="AH249" s="13"/>
      <c r="AI249" s="15"/>
      <c r="AJ249" s="13"/>
    </row>
    <row r="250" spans="1:36" x14ac:dyDescent="0.2">
      <c r="A250" s="6"/>
      <c r="B250" s="34"/>
      <c r="C250" s="41"/>
      <c r="D250" s="36"/>
      <c r="E250" s="38"/>
      <c r="F250" s="37"/>
      <c r="G250" s="39"/>
      <c r="H250" s="38"/>
      <c r="I250" s="35"/>
      <c r="J250" s="44"/>
      <c r="K250" s="46"/>
      <c r="L250" s="46"/>
      <c r="M250" s="46"/>
      <c r="N250" s="46"/>
      <c r="O250" s="25"/>
      <c r="P250" s="26"/>
      <c r="Q250" s="12"/>
      <c r="R250" s="12"/>
      <c r="S250" s="13"/>
      <c r="T250" s="14"/>
      <c r="U250" s="15"/>
      <c r="V250" s="15"/>
      <c r="W250" s="15"/>
      <c r="X250" s="14"/>
      <c r="Y250" s="15"/>
      <c r="Z250" s="13"/>
      <c r="AA250" s="15"/>
      <c r="AB250" s="15"/>
      <c r="AC250" s="15"/>
      <c r="AD250" s="15"/>
      <c r="AE250" s="15"/>
      <c r="AF250" s="13"/>
      <c r="AG250" s="15"/>
      <c r="AH250" s="13"/>
      <c r="AI250" s="15"/>
      <c r="AJ250" s="13"/>
    </row>
    <row r="251" spans="1:36" x14ac:dyDescent="0.2">
      <c r="A251" s="6"/>
      <c r="B251" s="34"/>
      <c r="C251" s="41"/>
      <c r="D251" s="36"/>
      <c r="E251" s="38"/>
      <c r="F251" s="37"/>
      <c r="G251" s="39"/>
      <c r="H251" s="38"/>
      <c r="I251" s="35"/>
      <c r="J251" s="44"/>
      <c r="K251" s="46"/>
      <c r="L251" s="46"/>
      <c r="M251" s="46"/>
      <c r="N251" s="46"/>
      <c r="O251" s="25"/>
      <c r="P251" s="26"/>
      <c r="Q251" s="12"/>
      <c r="R251" s="12"/>
      <c r="S251" s="13"/>
      <c r="T251" s="14"/>
      <c r="U251" s="15"/>
      <c r="V251" s="15"/>
      <c r="W251" s="15"/>
      <c r="X251" s="14"/>
      <c r="Y251" s="15"/>
      <c r="Z251" s="13"/>
      <c r="AA251" s="15"/>
      <c r="AB251" s="15"/>
      <c r="AC251" s="15"/>
      <c r="AD251" s="15"/>
      <c r="AE251" s="15"/>
      <c r="AF251" s="13"/>
      <c r="AG251" s="15"/>
      <c r="AH251" s="13"/>
      <c r="AI251" s="15"/>
      <c r="AJ251" s="13"/>
    </row>
    <row r="252" spans="1:36" x14ac:dyDescent="0.2">
      <c r="A252" s="6"/>
      <c r="B252" s="34"/>
      <c r="C252" s="41"/>
      <c r="D252" s="36"/>
      <c r="E252" s="38"/>
      <c r="F252" s="37"/>
      <c r="G252" s="39"/>
      <c r="H252" s="38"/>
      <c r="I252" s="35"/>
      <c r="J252" s="44"/>
      <c r="K252" s="46"/>
      <c r="L252" s="46"/>
      <c r="M252" s="46"/>
      <c r="N252" s="46"/>
      <c r="O252" s="25"/>
      <c r="P252" s="26"/>
      <c r="Q252" s="12"/>
      <c r="R252" s="12"/>
      <c r="S252" s="13"/>
      <c r="T252" s="14"/>
      <c r="U252" s="15"/>
      <c r="V252" s="15"/>
      <c r="W252" s="15"/>
      <c r="X252" s="14"/>
      <c r="Y252" s="15"/>
      <c r="Z252" s="13"/>
      <c r="AA252" s="15"/>
      <c r="AB252" s="15"/>
      <c r="AC252" s="15"/>
      <c r="AD252" s="15"/>
      <c r="AE252" s="15"/>
      <c r="AF252" s="13"/>
      <c r="AG252" s="15"/>
      <c r="AH252" s="13"/>
      <c r="AI252" s="15"/>
      <c r="AJ252" s="13"/>
    </row>
    <row r="253" spans="1:36" x14ac:dyDescent="0.2">
      <c r="A253" s="6"/>
      <c r="B253" s="34"/>
      <c r="C253" s="41"/>
      <c r="D253" s="36"/>
      <c r="E253" s="38"/>
      <c r="F253" s="37"/>
      <c r="G253" s="39"/>
      <c r="H253" s="38"/>
      <c r="I253" s="35"/>
      <c r="J253" s="44"/>
      <c r="K253" s="46"/>
      <c r="L253" s="46"/>
      <c r="M253" s="46"/>
      <c r="N253" s="46"/>
      <c r="O253" s="25"/>
      <c r="P253" s="26"/>
      <c r="Q253" s="12"/>
      <c r="R253" s="12"/>
      <c r="S253" s="13"/>
      <c r="T253" s="14"/>
      <c r="U253" s="15"/>
      <c r="V253" s="15"/>
      <c r="W253" s="15"/>
      <c r="X253" s="14"/>
      <c r="Y253" s="15"/>
      <c r="Z253" s="13"/>
      <c r="AA253" s="15"/>
      <c r="AB253" s="15"/>
      <c r="AC253" s="15"/>
      <c r="AD253" s="15"/>
      <c r="AE253" s="15"/>
      <c r="AF253" s="13"/>
      <c r="AG253" s="15"/>
      <c r="AH253" s="13"/>
      <c r="AI253" s="15"/>
      <c r="AJ253" s="13"/>
    </row>
    <row r="254" spans="1:36" x14ac:dyDescent="0.2">
      <c r="A254" s="6"/>
      <c r="B254" s="34"/>
      <c r="C254" s="41"/>
      <c r="D254" s="36"/>
      <c r="E254" s="38"/>
      <c r="F254" s="37"/>
      <c r="G254" s="39"/>
      <c r="H254" s="38"/>
      <c r="I254" s="35"/>
      <c r="J254" s="44"/>
      <c r="K254" s="46"/>
      <c r="L254" s="46"/>
      <c r="M254" s="46"/>
      <c r="N254" s="46"/>
      <c r="O254" s="25"/>
      <c r="P254" s="26"/>
      <c r="Q254" s="12"/>
      <c r="R254" s="12"/>
      <c r="S254" s="13"/>
      <c r="T254" s="14"/>
      <c r="U254" s="15"/>
      <c r="V254" s="15"/>
      <c r="W254" s="15"/>
      <c r="X254" s="14"/>
      <c r="Y254" s="15"/>
      <c r="Z254" s="13"/>
      <c r="AA254" s="15"/>
      <c r="AB254" s="15"/>
      <c r="AC254" s="15"/>
      <c r="AD254" s="15"/>
      <c r="AE254" s="15"/>
      <c r="AF254" s="13"/>
      <c r="AG254" s="15"/>
      <c r="AH254" s="13"/>
      <c r="AI254" s="15"/>
      <c r="AJ254" s="13"/>
    </row>
    <row r="255" spans="1:36" x14ac:dyDescent="0.2">
      <c r="A255" s="6"/>
      <c r="B255" s="34"/>
      <c r="C255" s="41"/>
      <c r="D255" s="36"/>
      <c r="E255" s="38"/>
      <c r="F255" s="37"/>
      <c r="G255" s="39"/>
      <c r="H255" s="38"/>
      <c r="I255" s="35"/>
      <c r="J255" s="44"/>
      <c r="K255" s="46"/>
      <c r="L255" s="46"/>
      <c r="M255" s="46"/>
      <c r="N255" s="46"/>
      <c r="O255" s="25"/>
      <c r="P255" s="26"/>
      <c r="Q255" s="12"/>
      <c r="R255" s="12"/>
      <c r="S255" s="13"/>
      <c r="T255" s="14"/>
      <c r="U255" s="15"/>
      <c r="V255" s="15"/>
      <c r="W255" s="15"/>
      <c r="X255" s="14"/>
      <c r="Y255" s="15"/>
      <c r="Z255" s="13"/>
      <c r="AA255" s="15"/>
      <c r="AB255" s="15"/>
      <c r="AC255" s="15"/>
      <c r="AD255" s="15"/>
      <c r="AE255" s="15"/>
      <c r="AF255" s="13"/>
      <c r="AG255" s="15"/>
      <c r="AH255" s="13"/>
      <c r="AI255" s="15"/>
      <c r="AJ255" s="13"/>
    </row>
    <row r="256" spans="1:36" x14ac:dyDescent="0.2">
      <c r="A256" s="6"/>
      <c r="B256" s="34"/>
      <c r="C256" s="41"/>
      <c r="D256" s="36"/>
      <c r="E256" s="38"/>
      <c r="F256" s="37"/>
      <c r="G256" s="39"/>
      <c r="H256" s="38"/>
      <c r="I256" s="35"/>
      <c r="J256" s="44"/>
      <c r="K256" s="46"/>
      <c r="L256" s="46"/>
      <c r="M256" s="46"/>
      <c r="N256" s="46"/>
      <c r="O256" s="25"/>
      <c r="P256" s="26"/>
      <c r="Q256" s="12"/>
      <c r="R256" s="12"/>
      <c r="S256" s="13"/>
      <c r="T256" s="14"/>
      <c r="U256" s="15"/>
      <c r="V256" s="15"/>
      <c r="W256" s="15"/>
      <c r="X256" s="14"/>
      <c r="Y256" s="15"/>
      <c r="Z256" s="13"/>
      <c r="AA256" s="15"/>
      <c r="AB256" s="15"/>
      <c r="AC256" s="15"/>
      <c r="AD256" s="15"/>
      <c r="AE256" s="15"/>
      <c r="AF256" s="13"/>
      <c r="AG256" s="15"/>
      <c r="AH256" s="13"/>
      <c r="AI256" s="15"/>
      <c r="AJ256" s="13"/>
    </row>
    <row r="257" spans="1:36" x14ac:dyDescent="0.2">
      <c r="A257" s="6"/>
      <c r="B257" s="34"/>
      <c r="C257" s="41"/>
      <c r="D257" s="36"/>
      <c r="E257" s="38"/>
      <c r="F257" s="37"/>
      <c r="G257" s="39"/>
      <c r="H257" s="38"/>
      <c r="I257" s="35"/>
      <c r="J257" s="44"/>
      <c r="K257" s="46"/>
      <c r="L257" s="46"/>
      <c r="M257" s="46"/>
      <c r="N257" s="46"/>
      <c r="O257" s="25"/>
      <c r="P257" s="26"/>
      <c r="Q257" s="12"/>
      <c r="R257" s="12"/>
      <c r="S257" s="13"/>
      <c r="T257" s="14"/>
      <c r="U257" s="15"/>
      <c r="V257" s="15"/>
      <c r="W257" s="15"/>
      <c r="X257" s="14"/>
      <c r="Y257" s="15"/>
      <c r="Z257" s="13"/>
      <c r="AA257" s="15"/>
      <c r="AB257" s="15"/>
      <c r="AC257" s="15"/>
      <c r="AD257" s="15"/>
      <c r="AE257" s="15"/>
      <c r="AF257" s="13"/>
      <c r="AG257" s="15"/>
      <c r="AH257" s="13"/>
      <c r="AI257" s="15"/>
      <c r="AJ257" s="13"/>
    </row>
    <row r="258" spans="1:36" x14ac:dyDescent="0.2">
      <c r="A258" s="6"/>
      <c r="B258" s="34"/>
      <c r="C258" s="41"/>
      <c r="D258" s="36"/>
      <c r="E258" s="38"/>
      <c r="F258" s="37"/>
      <c r="G258" s="39"/>
      <c r="H258" s="38"/>
      <c r="I258" s="35"/>
      <c r="J258" s="44"/>
      <c r="K258" s="46"/>
      <c r="L258" s="46"/>
      <c r="M258" s="46"/>
      <c r="N258" s="46"/>
      <c r="O258" s="25"/>
      <c r="P258" s="26"/>
      <c r="Q258" s="12"/>
      <c r="R258" s="12"/>
      <c r="S258" s="13"/>
      <c r="T258" s="14"/>
      <c r="U258" s="15"/>
      <c r="V258" s="15"/>
      <c r="W258" s="15"/>
      <c r="X258" s="14"/>
      <c r="Y258" s="15"/>
      <c r="Z258" s="13"/>
      <c r="AA258" s="15"/>
      <c r="AB258" s="15"/>
      <c r="AC258" s="15"/>
      <c r="AD258" s="15"/>
      <c r="AE258" s="15"/>
      <c r="AF258" s="13"/>
      <c r="AG258" s="15"/>
      <c r="AH258" s="13"/>
      <c r="AI258" s="15"/>
      <c r="AJ258" s="13"/>
    </row>
    <row r="259" spans="1:36" x14ac:dyDescent="0.2">
      <c r="A259" s="6"/>
      <c r="B259" s="34"/>
      <c r="C259" s="41"/>
      <c r="D259" s="36"/>
      <c r="E259" s="38"/>
      <c r="F259" s="37"/>
      <c r="G259" s="39"/>
      <c r="H259" s="38"/>
      <c r="I259" s="35"/>
      <c r="J259" s="44"/>
      <c r="K259" s="46"/>
      <c r="L259" s="46"/>
      <c r="M259" s="46"/>
      <c r="N259" s="46"/>
      <c r="O259" s="25"/>
      <c r="P259" s="26"/>
      <c r="Q259" s="12"/>
      <c r="R259" s="12"/>
      <c r="S259" s="13"/>
      <c r="T259" s="14"/>
      <c r="U259" s="15"/>
      <c r="V259" s="15"/>
      <c r="W259" s="15"/>
      <c r="X259" s="14"/>
      <c r="Y259" s="15"/>
      <c r="Z259" s="13"/>
      <c r="AA259" s="15"/>
      <c r="AB259" s="15"/>
      <c r="AC259" s="15"/>
      <c r="AD259" s="15"/>
      <c r="AE259" s="15"/>
      <c r="AF259" s="13"/>
      <c r="AG259" s="15"/>
      <c r="AH259" s="13"/>
      <c r="AI259" s="15"/>
      <c r="AJ259" s="13"/>
    </row>
    <row r="260" spans="1:36" x14ac:dyDescent="0.2">
      <c r="A260" s="6"/>
      <c r="B260" s="34"/>
      <c r="C260" s="41"/>
      <c r="D260" s="36"/>
      <c r="E260" s="38"/>
      <c r="F260" s="37"/>
      <c r="G260" s="39"/>
      <c r="H260" s="38"/>
      <c r="I260" s="35"/>
      <c r="J260" s="44"/>
      <c r="K260" s="46"/>
      <c r="L260" s="46"/>
      <c r="M260" s="46"/>
      <c r="N260" s="46"/>
      <c r="O260" s="25"/>
      <c r="P260" s="26"/>
      <c r="Q260" s="12"/>
      <c r="R260" s="12"/>
      <c r="S260" s="13"/>
      <c r="T260" s="14"/>
      <c r="U260" s="15"/>
      <c r="V260" s="15"/>
      <c r="W260" s="15"/>
      <c r="X260" s="14"/>
      <c r="Y260" s="15"/>
      <c r="Z260" s="13"/>
      <c r="AA260" s="15"/>
      <c r="AB260" s="15"/>
      <c r="AC260" s="15"/>
      <c r="AD260" s="15"/>
      <c r="AE260" s="15"/>
      <c r="AF260" s="13"/>
      <c r="AG260" s="15"/>
      <c r="AH260" s="13"/>
      <c r="AI260" s="15"/>
      <c r="AJ260" s="13"/>
    </row>
    <row r="261" spans="1:36" x14ac:dyDescent="0.2">
      <c r="A261" s="6"/>
      <c r="B261" s="34"/>
      <c r="C261" s="41"/>
      <c r="D261" s="36"/>
      <c r="E261" s="38"/>
      <c r="F261" s="37"/>
      <c r="G261" s="39"/>
      <c r="H261" s="38"/>
      <c r="I261" s="35"/>
      <c r="J261" s="44"/>
      <c r="K261" s="46"/>
      <c r="L261" s="46"/>
      <c r="M261" s="46"/>
      <c r="N261" s="46"/>
      <c r="O261" s="46"/>
      <c r="P261" s="26"/>
      <c r="Q261" s="12"/>
      <c r="R261" s="12"/>
      <c r="S261" s="13"/>
      <c r="T261" s="14"/>
      <c r="U261" s="15"/>
      <c r="V261" s="15"/>
      <c r="W261" s="15"/>
      <c r="X261" s="14"/>
      <c r="Y261" s="15"/>
      <c r="Z261" s="13"/>
      <c r="AA261" s="15"/>
      <c r="AB261" s="15"/>
      <c r="AC261" s="15"/>
      <c r="AD261" s="15"/>
      <c r="AE261" s="15"/>
      <c r="AF261" s="13"/>
      <c r="AG261" s="15"/>
      <c r="AH261" s="13"/>
      <c r="AI261" s="15"/>
      <c r="AJ261" s="13"/>
    </row>
    <row r="262" spans="1:36" x14ac:dyDescent="0.2">
      <c r="A262" s="6"/>
      <c r="B262" s="34"/>
      <c r="C262" s="41"/>
      <c r="D262" s="36"/>
      <c r="E262" s="38"/>
      <c r="F262" s="37"/>
      <c r="G262" s="39"/>
      <c r="H262" s="38"/>
      <c r="I262" s="35"/>
      <c r="J262" s="44"/>
      <c r="K262" s="46"/>
      <c r="L262" s="46"/>
      <c r="M262" s="46"/>
      <c r="N262" s="46"/>
      <c r="O262" s="46"/>
      <c r="P262" s="26"/>
      <c r="Q262" s="12"/>
      <c r="R262" s="12"/>
      <c r="S262" s="13"/>
      <c r="T262" s="14"/>
      <c r="U262" s="15"/>
      <c r="V262" s="15"/>
      <c r="W262" s="15"/>
      <c r="X262" s="14"/>
      <c r="Y262" s="15"/>
      <c r="Z262" s="13"/>
      <c r="AA262" s="15"/>
      <c r="AB262" s="15"/>
      <c r="AC262" s="15"/>
      <c r="AD262" s="15"/>
      <c r="AE262" s="15"/>
      <c r="AF262" s="13"/>
      <c r="AG262" s="15"/>
      <c r="AH262" s="13"/>
      <c r="AI262" s="15"/>
      <c r="AJ262" s="13"/>
    </row>
    <row r="263" spans="1:36" x14ac:dyDescent="0.2">
      <c r="A263" s="6"/>
      <c r="B263" s="34"/>
      <c r="C263" s="41"/>
      <c r="D263" s="36"/>
      <c r="E263" s="38"/>
      <c r="F263" s="37"/>
      <c r="G263" s="39"/>
      <c r="H263" s="38"/>
      <c r="I263" s="35"/>
      <c r="J263" s="44"/>
      <c r="K263" s="46"/>
      <c r="L263" s="46"/>
      <c r="M263" s="46"/>
      <c r="N263" s="46"/>
      <c r="O263" s="46"/>
      <c r="P263" s="26"/>
      <c r="Q263" s="12"/>
      <c r="R263" s="12"/>
      <c r="S263" s="13"/>
      <c r="T263" s="14"/>
      <c r="U263" s="15"/>
      <c r="V263" s="15"/>
      <c r="W263" s="15"/>
      <c r="X263" s="14"/>
      <c r="Y263" s="15"/>
      <c r="Z263" s="13"/>
      <c r="AA263" s="15"/>
      <c r="AB263" s="15"/>
      <c r="AC263" s="15"/>
      <c r="AD263" s="15"/>
      <c r="AE263" s="15"/>
      <c r="AF263" s="13"/>
      <c r="AG263" s="15"/>
      <c r="AH263" s="13"/>
      <c r="AI263" s="15"/>
      <c r="AJ263" s="13"/>
    </row>
    <row r="264" spans="1:36" x14ac:dyDescent="0.2">
      <c r="A264" s="6"/>
      <c r="B264" s="34"/>
      <c r="C264" s="41"/>
      <c r="D264" s="36"/>
      <c r="E264" s="43"/>
      <c r="F264" s="37"/>
      <c r="G264" s="39"/>
      <c r="H264" s="38"/>
      <c r="I264" s="35"/>
      <c r="J264" s="44"/>
      <c r="K264" s="46"/>
      <c r="L264" s="46"/>
      <c r="M264" s="46"/>
      <c r="N264" s="46"/>
      <c r="O264" s="47"/>
      <c r="P264" s="26"/>
      <c r="Q264" s="12"/>
      <c r="R264" s="12"/>
      <c r="S264" s="13"/>
      <c r="T264" s="14"/>
      <c r="U264" s="15"/>
      <c r="V264" s="15"/>
      <c r="W264" s="15"/>
      <c r="X264" s="14"/>
      <c r="Y264" s="15"/>
      <c r="Z264" s="13"/>
      <c r="AA264" s="15"/>
      <c r="AB264" s="15"/>
      <c r="AC264" s="15"/>
      <c r="AD264" s="15"/>
      <c r="AE264" s="15"/>
      <c r="AF264" s="13"/>
      <c r="AG264" s="15"/>
      <c r="AH264" s="13"/>
      <c r="AI264" s="15"/>
      <c r="AJ264" s="13"/>
    </row>
    <row r="265" spans="1:36" x14ac:dyDescent="0.2">
      <c r="A265" s="6"/>
      <c r="B265" s="34"/>
      <c r="C265" s="41"/>
      <c r="D265" s="36"/>
      <c r="E265" s="38"/>
      <c r="F265" s="37"/>
      <c r="G265" s="39"/>
      <c r="H265" s="38"/>
      <c r="I265" s="35"/>
      <c r="J265" s="38"/>
      <c r="K265" s="40"/>
      <c r="L265" s="40"/>
      <c r="M265" s="40"/>
      <c r="N265" s="40"/>
      <c r="O265" s="25"/>
      <c r="P265" s="26"/>
      <c r="Q265" s="12"/>
      <c r="R265" s="12"/>
      <c r="S265" s="13"/>
      <c r="T265" s="14"/>
      <c r="U265" s="15"/>
      <c r="V265" s="15"/>
      <c r="W265" s="15"/>
      <c r="X265" s="14"/>
      <c r="Y265" s="15"/>
      <c r="Z265" s="13"/>
      <c r="AA265" s="15"/>
      <c r="AB265" s="15"/>
      <c r="AC265" s="15"/>
      <c r="AD265" s="15"/>
      <c r="AE265" s="15"/>
      <c r="AF265" s="13"/>
      <c r="AG265" s="15"/>
      <c r="AH265" s="13"/>
      <c r="AI265" s="15"/>
      <c r="AJ265" s="13"/>
    </row>
    <row r="266" spans="1:36" x14ac:dyDescent="0.2">
      <c r="A266" s="6"/>
      <c r="B266" s="6"/>
      <c r="C266" s="27"/>
      <c r="D266" s="28"/>
      <c r="E266" s="26"/>
      <c r="F266" s="29"/>
      <c r="G266" s="30"/>
      <c r="H266" s="26"/>
      <c r="I266" s="31"/>
      <c r="J266" s="26"/>
      <c r="K266" s="25"/>
      <c r="L266" s="25"/>
      <c r="M266" s="25"/>
      <c r="N266" s="25"/>
      <c r="O266" s="25"/>
      <c r="P266" s="26"/>
      <c r="Q266" s="12"/>
      <c r="R266" s="12"/>
      <c r="S266" s="13"/>
      <c r="T266" s="14"/>
      <c r="U266" s="15"/>
      <c r="V266" s="15"/>
      <c r="W266" s="15"/>
      <c r="X266" s="14"/>
      <c r="Y266" s="15"/>
      <c r="Z266" s="13"/>
      <c r="AA266" s="15"/>
      <c r="AB266" s="15"/>
      <c r="AC266" s="15"/>
      <c r="AD266" s="15"/>
      <c r="AE266" s="15"/>
      <c r="AF266" s="13"/>
      <c r="AG266" s="15"/>
      <c r="AH266" s="13"/>
      <c r="AI266" s="15"/>
      <c r="AJ266" s="13"/>
    </row>
    <row r="267" spans="1:36" x14ac:dyDescent="0.2">
      <c r="A267" s="34"/>
      <c r="B267" s="34"/>
      <c r="C267" s="41"/>
      <c r="D267" s="36"/>
      <c r="E267" s="38"/>
      <c r="F267" s="37"/>
      <c r="G267" s="39"/>
      <c r="H267" s="38"/>
      <c r="I267" s="35"/>
      <c r="J267" s="38"/>
      <c r="K267" s="40"/>
      <c r="L267" s="40"/>
      <c r="M267" s="40"/>
      <c r="N267" s="40"/>
      <c r="O267" s="25"/>
      <c r="P267" s="26"/>
      <c r="Q267" s="12"/>
      <c r="R267" s="12"/>
      <c r="S267" s="13"/>
      <c r="T267" s="14"/>
      <c r="U267" s="15"/>
      <c r="V267" s="15"/>
      <c r="W267" s="15"/>
      <c r="X267" s="14"/>
      <c r="Y267" s="15"/>
      <c r="Z267" s="13"/>
      <c r="AA267" s="15"/>
      <c r="AB267" s="15"/>
      <c r="AC267" s="15"/>
      <c r="AD267" s="15"/>
      <c r="AE267" s="15"/>
      <c r="AF267" s="13"/>
      <c r="AG267" s="15"/>
      <c r="AH267" s="13"/>
      <c r="AI267" s="15"/>
      <c r="AJ267" s="13"/>
    </row>
    <row r="268" spans="1:36" x14ac:dyDescent="0.2">
      <c r="A268" s="6"/>
      <c r="B268" s="34"/>
      <c r="C268" s="41"/>
      <c r="D268" s="36"/>
      <c r="E268" s="38"/>
      <c r="F268" s="37"/>
      <c r="G268" s="39"/>
      <c r="H268" s="38"/>
      <c r="I268" s="35"/>
      <c r="J268" s="38"/>
      <c r="K268" s="40"/>
      <c r="L268" s="40"/>
      <c r="M268" s="40"/>
      <c r="N268" s="40"/>
      <c r="O268" s="25"/>
      <c r="P268" s="26"/>
      <c r="Q268" s="12"/>
      <c r="R268" s="12"/>
      <c r="S268" s="13"/>
      <c r="T268" s="14"/>
      <c r="U268" s="15"/>
      <c r="V268" s="15"/>
      <c r="W268" s="15"/>
      <c r="X268" s="14"/>
      <c r="Y268" s="15"/>
      <c r="Z268" s="13"/>
      <c r="AA268" s="15"/>
      <c r="AB268" s="15"/>
      <c r="AC268" s="15"/>
      <c r="AD268" s="15"/>
      <c r="AE268" s="15"/>
      <c r="AF268" s="13"/>
      <c r="AG268" s="15"/>
      <c r="AH268" s="13"/>
      <c r="AI268" s="15"/>
      <c r="AJ268" s="13"/>
    </row>
    <row r="269" spans="1:36" x14ac:dyDescent="0.2">
      <c r="A269" s="6"/>
      <c r="B269" s="34"/>
      <c r="C269" s="41"/>
      <c r="D269" s="36"/>
      <c r="E269" s="38"/>
      <c r="F269" s="37"/>
      <c r="G269" s="39"/>
      <c r="H269" s="38"/>
      <c r="I269" s="35"/>
      <c r="J269" s="38"/>
      <c r="K269" s="40"/>
      <c r="L269" s="40"/>
      <c r="M269" s="40"/>
      <c r="N269" s="40"/>
      <c r="O269" s="25"/>
      <c r="P269" s="26"/>
      <c r="Q269" s="12"/>
      <c r="R269" s="12"/>
      <c r="S269" s="13"/>
      <c r="T269" s="14"/>
      <c r="U269" s="15"/>
      <c r="V269" s="15"/>
      <c r="W269" s="15"/>
      <c r="X269" s="14"/>
      <c r="Y269" s="15"/>
      <c r="Z269" s="13"/>
      <c r="AA269" s="15"/>
      <c r="AB269" s="15"/>
      <c r="AC269" s="15"/>
      <c r="AD269" s="15"/>
      <c r="AE269" s="15"/>
      <c r="AF269" s="13"/>
      <c r="AG269" s="15"/>
      <c r="AH269" s="13"/>
      <c r="AI269" s="15"/>
      <c r="AJ269" s="13"/>
    </row>
    <row r="270" spans="1:36" x14ac:dyDescent="0.2">
      <c r="A270" s="6"/>
      <c r="B270" s="34"/>
      <c r="C270" s="41"/>
      <c r="D270" s="36"/>
      <c r="E270" s="38"/>
      <c r="F270" s="37"/>
      <c r="G270" s="39"/>
      <c r="H270" s="38"/>
      <c r="I270" s="35"/>
      <c r="J270" s="38"/>
      <c r="K270" s="40"/>
      <c r="L270" s="40"/>
      <c r="M270" s="40"/>
      <c r="N270" s="40"/>
      <c r="O270" s="25"/>
      <c r="P270" s="26"/>
      <c r="Q270" s="12"/>
      <c r="R270" s="12"/>
      <c r="S270" s="13"/>
      <c r="T270" s="14"/>
      <c r="U270" s="15"/>
      <c r="V270" s="15"/>
      <c r="W270" s="15"/>
      <c r="X270" s="14"/>
      <c r="Y270" s="15"/>
      <c r="Z270" s="13"/>
      <c r="AA270" s="15"/>
      <c r="AB270" s="15"/>
      <c r="AC270" s="15"/>
      <c r="AD270" s="15"/>
      <c r="AE270" s="15"/>
      <c r="AF270" s="13"/>
      <c r="AG270" s="15"/>
      <c r="AH270" s="13"/>
      <c r="AI270" s="15"/>
      <c r="AJ270" s="13"/>
    </row>
    <row r="271" spans="1:36" x14ac:dyDescent="0.2">
      <c r="A271" s="6"/>
      <c r="B271" s="34"/>
      <c r="C271" s="41"/>
      <c r="D271" s="36"/>
      <c r="E271" s="38"/>
      <c r="F271" s="37"/>
      <c r="G271" s="39"/>
      <c r="H271" s="38"/>
      <c r="I271" s="35"/>
      <c r="J271" s="38"/>
      <c r="K271" s="40"/>
      <c r="L271" s="40"/>
      <c r="M271" s="40"/>
      <c r="N271" s="40"/>
      <c r="O271" s="25"/>
      <c r="P271" s="26"/>
      <c r="Q271" s="12"/>
      <c r="R271" s="12"/>
      <c r="S271" s="13"/>
      <c r="T271" s="14"/>
      <c r="U271" s="15"/>
      <c r="V271" s="15"/>
      <c r="W271" s="15"/>
      <c r="X271" s="14"/>
      <c r="Y271" s="15"/>
      <c r="Z271" s="13"/>
      <c r="AA271" s="15"/>
      <c r="AB271" s="15"/>
      <c r="AC271" s="15"/>
      <c r="AD271" s="15"/>
      <c r="AE271" s="15"/>
      <c r="AF271" s="13"/>
      <c r="AG271" s="15"/>
      <c r="AH271" s="13"/>
      <c r="AI271" s="15"/>
      <c r="AJ271" s="13"/>
    </row>
    <row r="272" spans="1:36" x14ac:dyDescent="0.2">
      <c r="A272" s="6"/>
      <c r="B272" s="34"/>
      <c r="C272" s="41"/>
      <c r="D272" s="36"/>
      <c r="E272" s="38"/>
      <c r="F272" s="37"/>
      <c r="G272" s="39"/>
      <c r="H272" s="38"/>
      <c r="I272" s="35"/>
      <c r="J272" s="38"/>
      <c r="K272" s="40"/>
      <c r="L272" s="40"/>
      <c r="M272" s="40"/>
      <c r="N272" s="40"/>
      <c r="O272" s="25"/>
      <c r="P272" s="26"/>
      <c r="Q272" s="12"/>
      <c r="R272" s="12"/>
      <c r="S272" s="13"/>
      <c r="T272" s="14"/>
      <c r="U272" s="15"/>
      <c r="V272" s="15"/>
      <c r="W272" s="15"/>
      <c r="X272" s="14"/>
      <c r="Y272" s="15"/>
      <c r="Z272" s="13"/>
      <c r="AA272" s="15"/>
      <c r="AB272" s="15"/>
      <c r="AC272" s="15"/>
      <c r="AD272" s="15"/>
      <c r="AE272" s="15"/>
      <c r="AF272" s="13"/>
      <c r="AG272" s="15"/>
      <c r="AH272" s="13"/>
      <c r="AI272" s="15"/>
      <c r="AJ272" s="13"/>
    </row>
    <row r="273" spans="1:36" x14ac:dyDescent="0.2">
      <c r="A273" s="6"/>
      <c r="B273" s="34"/>
      <c r="C273" s="41"/>
      <c r="D273" s="36"/>
      <c r="E273" s="38"/>
      <c r="F273" s="37"/>
      <c r="G273" s="39"/>
      <c r="H273" s="38"/>
      <c r="I273" s="35"/>
      <c r="J273" s="38"/>
      <c r="K273" s="40"/>
      <c r="L273" s="40"/>
      <c r="M273" s="40"/>
      <c r="N273" s="40"/>
      <c r="O273" s="25"/>
      <c r="P273" s="26"/>
      <c r="Q273" s="12"/>
      <c r="R273" s="12"/>
      <c r="S273" s="13"/>
      <c r="T273" s="14"/>
      <c r="U273" s="15"/>
      <c r="V273" s="15"/>
      <c r="W273" s="15"/>
      <c r="X273" s="14"/>
      <c r="Y273" s="15"/>
      <c r="Z273" s="13"/>
      <c r="AA273" s="15"/>
      <c r="AB273" s="15"/>
      <c r="AC273" s="15"/>
      <c r="AD273" s="15"/>
      <c r="AE273" s="15"/>
      <c r="AF273" s="13"/>
      <c r="AG273" s="15"/>
      <c r="AH273" s="13"/>
      <c r="AI273" s="15"/>
      <c r="AJ273" s="13"/>
    </row>
    <row r="274" spans="1:36" x14ac:dyDescent="0.2">
      <c r="A274" s="6"/>
      <c r="B274" s="34"/>
      <c r="C274" s="41"/>
      <c r="D274" s="36"/>
      <c r="E274" s="38"/>
      <c r="F274" s="37"/>
      <c r="G274" s="39"/>
      <c r="H274" s="38"/>
      <c r="I274" s="35"/>
      <c r="J274" s="38"/>
      <c r="K274" s="40"/>
      <c r="L274" s="40"/>
      <c r="M274" s="40"/>
      <c r="N274" s="40"/>
      <c r="O274" s="25"/>
      <c r="P274" s="26"/>
      <c r="Q274" s="12"/>
      <c r="R274" s="12"/>
      <c r="S274" s="13"/>
      <c r="T274" s="14"/>
      <c r="U274" s="15"/>
      <c r="V274" s="15"/>
      <c r="W274" s="15"/>
      <c r="X274" s="14"/>
      <c r="Y274" s="15"/>
      <c r="Z274" s="13"/>
      <c r="AA274" s="15"/>
      <c r="AB274" s="15"/>
      <c r="AC274" s="15"/>
      <c r="AD274" s="15"/>
      <c r="AE274" s="15"/>
      <c r="AF274" s="13"/>
      <c r="AG274" s="15"/>
      <c r="AH274" s="13"/>
      <c r="AI274" s="15"/>
      <c r="AJ274" s="13"/>
    </row>
    <row r="275" spans="1:36" x14ac:dyDescent="0.2">
      <c r="A275" s="6"/>
      <c r="B275" s="34"/>
      <c r="C275" s="41"/>
      <c r="D275" s="36"/>
      <c r="E275" s="38"/>
      <c r="F275" s="37"/>
      <c r="G275" s="39"/>
      <c r="H275" s="38"/>
      <c r="I275" s="35"/>
      <c r="J275" s="38"/>
      <c r="K275" s="40"/>
      <c r="L275" s="40"/>
      <c r="M275" s="40"/>
      <c r="N275" s="40"/>
      <c r="O275" s="25"/>
      <c r="P275" s="26"/>
      <c r="Q275" s="12"/>
      <c r="R275" s="12"/>
      <c r="S275" s="13"/>
      <c r="T275" s="14"/>
      <c r="U275" s="15"/>
      <c r="V275" s="15"/>
      <c r="W275" s="15"/>
      <c r="X275" s="14"/>
      <c r="Y275" s="15"/>
      <c r="Z275" s="13"/>
      <c r="AA275" s="15"/>
      <c r="AB275" s="15"/>
      <c r="AC275" s="15"/>
      <c r="AD275" s="15"/>
      <c r="AE275" s="15"/>
      <c r="AF275" s="13"/>
      <c r="AG275" s="15"/>
      <c r="AH275" s="13"/>
      <c r="AI275" s="15"/>
      <c r="AJ275" s="13"/>
    </row>
    <row r="276" spans="1:36" x14ac:dyDescent="0.2">
      <c r="A276" s="6"/>
      <c r="B276" s="34"/>
      <c r="C276" s="41"/>
      <c r="D276" s="36"/>
      <c r="E276" s="38"/>
      <c r="F276" s="37"/>
      <c r="G276" s="39"/>
      <c r="H276" s="38"/>
      <c r="I276" s="35"/>
      <c r="J276" s="38"/>
      <c r="K276" s="40"/>
      <c r="L276" s="40"/>
      <c r="M276" s="40"/>
      <c r="N276" s="40"/>
      <c r="O276" s="25"/>
      <c r="P276" s="26"/>
      <c r="Q276" s="12"/>
      <c r="R276" s="12"/>
      <c r="S276" s="13"/>
      <c r="T276" s="14"/>
      <c r="U276" s="15"/>
      <c r="V276" s="15"/>
      <c r="W276" s="15"/>
      <c r="X276" s="14"/>
      <c r="Y276" s="15"/>
      <c r="Z276" s="13"/>
      <c r="AA276" s="15"/>
      <c r="AB276" s="15"/>
      <c r="AC276" s="15"/>
      <c r="AD276" s="15"/>
      <c r="AE276" s="15"/>
      <c r="AF276" s="13"/>
      <c r="AG276" s="15"/>
      <c r="AH276" s="13"/>
      <c r="AI276" s="15"/>
      <c r="AJ276" s="13"/>
    </row>
    <row r="277" spans="1:36" x14ac:dyDescent="0.2">
      <c r="A277" s="6"/>
      <c r="B277" s="34"/>
      <c r="C277" s="41"/>
      <c r="D277" s="36"/>
      <c r="E277" s="38"/>
      <c r="F277" s="37"/>
      <c r="G277" s="39"/>
      <c r="H277" s="38"/>
      <c r="I277" s="35"/>
      <c r="J277" s="38"/>
      <c r="K277" s="40"/>
      <c r="L277" s="40"/>
      <c r="M277" s="40"/>
      <c r="N277" s="40"/>
      <c r="O277" s="25"/>
      <c r="P277" s="26"/>
      <c r="Q277" s="12"/>
      <c r="R277" s="12"/>
      <c r="S277" s="13"/>
      <c r="T277" s="14"/>
      <c r="U277" s="15"/>
      <c r="V277" s="15"/>
      <c r="W277" s="15"/>
      <c r="X277" s="14"/>
      <c r="Y277" s="15"/>
      <c r="Z277" s="13"/>
      <c r="AA277" s="15"/>
      <c r="AB277" s="15"/>
      <c r="AC277" s="15"/>
      <c r="AD277" s="15"/>
      <c r="AE277" s="15"/>
      <c r="AF277" s="13"/>
      <c r="AG277" s="15"/>
      <c r="AH277" s="13"/>
      <c r="AI277" s="15"/>
      <c r="AJ277" s="13"/>
    </row>
    <row r="278" spans="1:36" x14ac:dyDescent="0.2">
      <c r="A278" s="6"/>
      <c r="B278" s="34"/>
      <c r="C278" s="41"/>
      <c r="D278" s="36"/>
      <c r="E278" s="38"/>
      <c r="F278" s="37"/>
      <c r="G278" s="39"/>
      <c r="H278" s="38"/>
      <c r="I278" s="35"/>
      <c r="J278" s="38"/>
      <c r="K278" s="40"/>
      <c r="L278" s="40"/>
      <c r="M278" s="40"/>
      <c r="N278" s="40"/>
      <c r="O278" s="25"/>
      <c r="P278" s="26"/>
      <c r="Q278" s="12"/>
      <c r="R278" s="12"/>
      <c r="S278" s="13"/>
      <c r="T278" s="14"/>
      <c r="U278" s="15"/>
      <c r="V278" s="15"/>
      <c r="W278" s="15"/>
      <c r="X278" s="14"/>
      <c r="Y278" s="15"/>
      <c r="Z278" s="13"/>
      <c r="AA278" s="15"/>
      <c r="AB278" s="15"/>
      <c r="AC278" s="15"/>
      <c r="AD278" s="15"/>
      <c r="AE278" s="15"/>
      <c r="AF278" s="13"/>
      <c r="AG278" s="15"/>
      <c r="AH278" s="13"/>
      <c r="AI278" s="15"/>
      <c r="AJ278" s="13"/>
    </row>
    <row r="279" spans="1:36" x14ac:dyDescent="0.2">
      <c r="A279" s="6"/>
      <c r="B279" s="34"/>
      <c r="C279" s="41"/>
      <c r="D279" s="36"/>
      <c r="E279" s="38"/>
      <c r="F279" s="37"/>
      <c r="G279" s="39"/>
      <c r="H279" s="38"/>
      <c r="I279" s="35"/>
      <c r="J279" s="38"/>
      <c r="K279" s="40"/>
      <c r="L279" s="40"/>
      <c r="M279" s="40"/>
      <c r="N279" s="40"/>
      <c r="O279" s="25"/>
      <c r="P279" s="26"/>
      <c r="Q279" s="12"/>
      <c r="R279" s="12"/>
      <c r="S279" s="13"/>
      <c r="T279" s="14"/>
      <c r="U279" s="15"/>
      <c r="V279" s="15"/>
      <c r="W279" s="15"/>
      <c r="X279" s="14"/>
      <c r="Y279" s="15"/>
      <c r="Z279" s="13"/>
      <c r="AA279" s="15"/>
      <c r="AB279" s="15"/>
      <c r="AC279" s="15"/>
      <c r="AD279" s="15"/>
      <c r="AE279" s="15"/>
      <c r="AF279" s="13"/>
      <c r="AG279" s="15"/>
      <c r="AH279" s="13"/>
      <c r="AI279" s="15"/>
      <c r="AJ279" s="13"/>
    </row>
    <row r="280" spans="1:36" x14ac:dyDescent="0.2">
      <c r="A280" s="6"/>
      <c r="B280" s="34"/>
      <c r="C280" s="41"/>
      <c r="D280" s="36"/>
      <c r="E280" s="43"/>
      <c r="F280" s="37"/>
      <c r="G280" s="39"/>
      <c r="H280" s="38"/>
      <c r="I280" s="35"/>
      <c r="J280" s="38"/>
      <c r="K280" s="40"/>
      <c r="L280" s="40"/>
      <c r="M280" s="40"/>
      <c r="N280" s="40"/>
      <c r="O280" s="25"/>
      <c r="P280" s="26"/>
      <c r="Q280" s="12"/>
      <c r="R280" s="12"/>
      <c r="S280" s="13"/>
      <c r="T280" s="14"/>
      <c r="U280" s="15"/>
      <c r="V280" s="15"/>
      <c r="W280" s="15"/>
      <c r="X280" s="14"/>
      <c r="Y280" s="15"/>
      <c r="Z280" s="13"/>
      <c r="AA280" s="15"/>
      <c r="AB280" s="15"/>
      <c r="AC280" s="15"/>
      <c r="AD280" s="15"/>
      <c r="AE280" s="15"/>
      <c r="AF280" s="13"/>
      <c r="AG280" s="15"/>
      <c r="AH280" s="13"/>
      <c r="AI280" s="15"/>
      <c r="AJ280" s="13"/>
    </row>
    <row r="281" spans="1:36" x14ac:dyDescent="0.2">
      <c r="A281" s="6"/>
      <c r="B281" s="34"/>
      <c r="C281" s="41"/>
      <c r="D281" s="36"/>
      <c r="E281" s="43"/>
      <c r="F281" s="42"/>
      <c r="G281" s="39"/>
      <c r="H281" s="38"/>
      <c r="I281" s="35"/>
      <c r="J281" s="38"/>
      <c r="K281" s="40"/>
      <c r="L281" s="40"/>
      <c r="M281" s="40"/>
      <c r="N281" s="40"/>
      <c r="O281" s="25"/>
      <c r="P281" s="26"/>
      <c r="Q281" s="12"/>
      <c r="R281" s="12"/>
      <c r="S281" s="13"/>
      <c r="T281" s="14"/>
      <c r="U281" s="15"/>
      <c r="V281" s="15"/>
      <c r="W281" s="15"/>
      <c r="X281" s="14"/>
      <c r="Y281" s="15"/>
      <c r="Z281" s="13"/>
      <c r="AA281" s="15"/>
      <c r="AB281" s="15"/>
      <c r="AC281" s="15"/>
      <c r="AD281" s="15"/>
      <c r="AE281" s="15"/>
      <c r="AF281" s="13"/>
      <c r="AG281" s="15"/>
      <c r="AH281" s="13"/>
      <c r="AI281" s="15"/>
      <c r="AJ281" s="13"/>
    </row>
    <row r="282" spans="1:36" x14ac:dyDescent="0.2">
      <c r="A282" s="6"/>
      <c r="B282" s="34"/>
      <c r="C282" s="41"/>
      <c r="D282" s="36"/>
      <c r="E282" s="43"/>
      <c r="F282" s="42"/>
      <c r="G282" s="39"/>
      <c r="H282" s="38"/>
      <c r="I282" s="35"/>
      <c r="J282" s="38"/>
      <c r="K282" s="40"/>
      <c r="L282" s="40"/>
      <c r="M282" s="40"/>
      <c r="N282" s="40"/>
      <c r="O282" s="25"/>
      <c r="P282" s="26"/>
      <c r="Q282" s="12"/>
      <c r="R282" s="12"/>
      <c r="S282" s="13"/>
      <c r="T282" s="14"/>
      <c r="U282" s="15"/>
      <c r="V282" s="15"/>
      <c r="W282" s="15"/>
      <c r="X282" s="14"/>
      <c r="Y282" s="15"/>
      <c r="Z282" s="13"/>
      <c r="AA282" s="15"/>
      <c r="AB282" s="15"/>
      <c r="AC282" s="15"/>
      <c r="AD282" s="15"/>
      <c r="AE282" s="15"/>
      <c r="AF282" s="13"/>
      <c r="AG282" s="15"/>
      <c r="AH282" s="13"/>
      <c r="AI282" s="15"/>
      <c r="AJ282" s="13"/>
    </row>
    <row r="283" spans="1:36" x14ac:dyDescent="0.2">
      <c r="A283" s="6"/>
      <c r="B283" s="34"/>
      <c r="C283" s="41"/>
      <c r="D283" s="36"/>
      <c r="E283" s="38"/>
      <c r="F283" s="37"/>
      <c r="G283" s="39"/>
      <c r="H283" s="38"/>
      <c r="I283" s="35"/>
      <c r="J283" s="38"/>
      <c r="K283" s="40"/>
      <c r="L283" s="40"/>
      <c r="M283" s="40"/>
      <c r="N283" s="40"/>
      <c r="O283" s="25"/>
      <c r="P283" s="26"/>
      <c r="Q283" s="12"/>
      <c r="R283" s="12"/>
      <c r="S283" s="13"/>
      <c r="T283" s="14"/>
      <c r="U283" s="15"/>
      <c r="V283" s="15"/>
      <c r="W283" s="15"/>
      <c r="X283" s="14"/>
      <c r="Y283" s="15"/>
      <c r="Z283" s="13"/>
      <c r="AA283" s="15"/>
      <c r="AB283" s="15"/>
      <c r="AC283" s="15"/>
      <c r="AD283" s="15"/>
      <c r="AE283" s="15"/>
      <c r="AF283" s="13"/>
      <c r="AG283" s="15"/>
      <c r="AH283" s="13"/>
      <c r="AI283" s="15"/>
      <c r="AJ283" s="13"/>
    </row>
    <row r="284" spans="1:36" x14ac:dyDescent="0.2">
      <c r="A284" s="6"/>
      <c r="B284" s="34"/>
      <c r="C284" s="41"/>
      <c r="D284" s="36"/>
      <c r="E284" s="38"/>
      <c r="F284" s="37"/>
      <c r="G284" s="39"/>
      <c r="H284" s="38"/>
      <c r="I284" s="35"/>
      <c r="J284" s="38"/>
      <c r="K284" s="40"/>
      <c r="L284" s="40"/>
      <c r="M284" s="40"/>
      <c r="N284" s="40"/>
      <c r="O284" s="25"/>
      <c r="P284" s="26"/>
      <c r="Q284" s="12"/>
      <c r="R284" s="12"/>
      <c r="S284" s="13"/>
      <c r="T284" s="14"/>
      <c r="U284" s="15"/>
      <c r="V284" s="15"/>
      <c r="W284" s="15"/>
      <c r="X284" s="14"/>
      <c r="Y284" s="15"/>
      <c r="Z284" s="13"/>
      <c r="AA284" s="15"/>
      <c r="AB284" s="15"/>
      <c r="AC284" s="15"/>
      <c r="AD284" s="15"/>
      <c r="AE284" s="15"/>
      <c r="AF284" s="13"/>
      <c r="AG284" s="15"/>
      <c r="AH284" s="13"/>
      <c r="AI284" s="15"/>
      <c r="AJ284" s="13"/>
    </row>
    <row r="285" spans="1:36" x14ac:dyDescent="0.2">
      <c r="A285" s="6"/>
      <c r="B285" s="34"/>
      <c r="C285" s="41"/>
      <c r="D285" s="36"/>
      <c r="E285" s="38"/>
      <c r="F285" s="37"/>
      <c r="G285" s="39"/>
      <c r="H285" s="38"/>
      <c r="I285" s="35"/>
      <c r="J285" s="38"/>
      <c r="K285" s="40"/>
      <c r="L285" s="40"/>
      <c r="M285" s="40"/>
      <c r="N285" s="40"/>
      <c r="O285" s="25"/>
      <c r="P285" s="26"/>
      <c r="Q285" s="12"/>
      <c r="R285" s="12"/>
      <c r="S285" s="13"/>
      <c r="T285" s="14"/>
      <c r="U285" s="15"/>
      <c r="V285" s="15"/>
      <c r="W285" s="15"/>
      <c r="X285" s="14"/>
      <c r="Y285" s="15"/>
      <c r="Z285" s="13"/>
      <c r="AA285" s="15"/>
      <c r="AB285" s="15"/>
      <c r="AC285" s="15"/>
      <c r="AD285" s="15"/>
      <c r="AE285" s="15"/>
      <c r="AF285" s="13"/>
      <c r="AG285" s="15"/>
      <c r="AH285" s="13"/>
      <c r="AI285" s="15"/>
      <c r="AJ285" s="13"/>
    </row>
    <row r="286" spans="1:36" x14ac:dyDescent="0.2">
      <c r="A286" s="6"/>
      <c r="B286" s="6"/>
      <c r="C286" s="27"/>
      <c r="D286" s="28"/>
      <c r="E286" s="26"/>
      <c r="F286" s="29"/>
      <c r="G286" s="30"/>
      <c r="H286" s="26"/>
      <c r="I286" s="31"/>
      <c r="J286" s="26"/>
      <c r="K286" s="25"/>
      <c r="L286" s="25"/>
      <c r="M286" s="25"/>
      <c r="N286" s="25"/>
      <c r="O286" s="25"/>
      <c r="P286" s="26"/>
      <c r="Q286" s="12"/>
      <c r="R286" s="12"/>
      <c r="S286" s="13"/>
      <c r="T286" s="14"/>
      <c r="U286" s="15"/>
      <c r="V286" s="15"/>
      <c r="W286" s="15"/>
      <c r="X286" s="14"/>
      <c r="Y286" s="15"/>
      <c r="Z286" s="13"/>
      <c r="AA286" s="15"/>
      <c r="AB286" s="15"/>
      <c r="AC286" s="15"/>
      <c r="AD286" s="15"/>
      <c r="AE286" s="15"/>
      <c r="AF286" s="13"/>
      <c r="AG286" s="15"/>
      <c r="AH286" s="13"/>
      <c r="AI286" s="15"/>
      <c r="AJ286" s="13"/>
    </row>
    <row r="287" spans="1:36" x14ac:dyDescent="0.2">
      <c r="A287" s="34"/>
      <c r="B287" s="34"/>
      <c r="C287" s="41"/>
      <c r="D287" s="36"/>
      <c r="E287" s="38"/>
      <c r="F287" s="37"/>
      <c r="G287" s="39"/>
      <c r="H287" s="38"/>
      <c r="I287" s="35"/>
      <c r="J287" s="38"/>
      <c r="K287" s="40"/>
      <c r="L287" s="40"/>
      <c r="M287" s="40"/>
      <c r="N287" s="25"/>
      <c r="O287" s="47"/>
      <c r="P287" s="26"/>
      <c r="Q287" s="12"/>
      <c r="R287" s="12"/>
      <c r="S287" s="13"/>
      <c r="T287" s="14"/>
      <c r="U287" s="15"/>
      <c r="V287" s="15"/>
      <c r="W287" s="15"/>
      <c r="X287" s="14"/>
      <c r="Y287" s="15"/>
      <c r="Z287" s="13"/>
      <c r="AA287" s="15"/>
      <c r="AB287" s="15"/>
      <c r="AC287" s="15"/>
      <c r="AD287" s="15"/>
      <c r="AE287" s="15"/>
      <c r="AF287" s="13"/>
      <c r="AG287" s="15"/>
      <c r="AH287" s="13"/>
      <c r="AI287" s="15"/>
      <c r="AJ287" s="13"/>
    </row>
    <row r="288" spans="1:36" x14ac:dyDescent="0.2">
      <c r="A288" s="6"/>
      <c r="B288" s="34"/>
      <c r="C288" s="41"/>
      <c r="D288" s="36"/>
      <c r="E288" s="38"/>
      <c r="F288" s="37"/>
      <c r="G288" s="39"/>
      <c r="H288" s="38"/>
      <c r="I288" s="35"/>
      <c r="J288" s="38"/>
      <c r="K288" s="40"/>
      <c r="L288" s="40"/>
      <c r="M288" s="40"/>
      <c r="N288" s="25"/>
      <c r="O288" s="47"/>
      <c r="P288" s="26"/>
      <c r="Q288" s="12"/>
      <c r="R288" s="12"/>
      <c r="S288" s="13"/>
      <c r="T288" s="14"/>
      <c r="U288" s="15"/>
      <c r="V288" s="15"/>
      <c r="W288" s="15"/>
      <c r="X288" s="14"/>
      <c r="Y288" s="15"/>
      <c r="Z288" s="13"/>
      <c r="AA288" s="15"/>
      <c r="AB288" s="15"/>
      <c r="AC288" s="15"/>
      <c r="AD288" s="15"/>
      <c r="AE288" s="15"/>
      <c r="AF288" s="13"/>
      <c r="AG288" s="15"/>
      <c r="AH288" s="13"/>
      <c r="AI288" s="15"/>
      <c r="AJ288" s="13"/>
    </row>
    <row r="289" spans="1:36" x14ac:dyDescent="0.2">
      <c r="A289" s="6"/>
      <c r="B289" s="34"/>
      <c r="C289" s="41"/>
      <c r="D289" s="36"/>
      <c r="E289" s="38"/>
      <c r="F289" s="37"/>
      <c r="G289" s="39"/>
      <c r="H289" s="38"/>
      <c r="I289" s="35"/>
      <c r="J289" s="38"/>
      <c r="K289" s="40"/>
      <c r="L289" s="40"/>
      <c r="M289" s="40"/>
      <c r="N289" s="25"/>
      <c r="O289" s="47"/>
      <c r="P289" s="26"/>
      <c r="Q289" s="12"/>
      <c r="R289" s="12"/>
      <c r="S289" s="13"/>
      <c r="T289" s="14"/>
      <c r="U289" s="15"/>
      <c r="V289" s="15"/>
      <c r="W289" s="15"/>
      <c r="X289" s="14"/>
      <c r="Y289" s="15"/>
      <c r="Z289" s="13"/>
      <c r="AA289" s="15"/>
      <c r="AB289" s="15"/>
      <c r="AC289" s="15"/>
      <c r="AD289" s="15"/>
      <c r="AE289" s="15"/>
      <c r="AF289" s="13"/>
      <c r="AG289" s="15"/>
      <c r="AH289" s="13"/>
      <c r="AI289" s="15"/>
      <c r="AJ289" s="13"/>
    </row>
    <row r="290" spans="1:36" x14ac:dyDescent="0.2">
      <c r="A290" s="6"/>
      <c r="B290" s="34"/>
      <c r="C290" s="41"/>
      <c r="D290" s="36"/>
      <c r="E290" s="38"/>
      <c r="F290" s="37"/>
      <c r="G290" s="39"/>
      <c r="H290" s="38"/>
      <c r="I290" s="35"/>
      <c r="J290" s="38"/>
      <c r="K290" s="40"/>
      <c r="L290" s="40"/>
      <c r="M290" s="40"/>
      <c r="N290" s="40"/>
      <c r="O290" s="25"/>
      <c r="P290" s="26"/>
      <c r="Q290" s="12"/>
      <c r="R290" s="12"/>
      <c r="S290" s="13"/>
      <c r="T290" s="14"/>
      <c r="U290" s="15"/>
      <c r="V290" s="15"/>
      <c r="W290" s="15"/>
      <c r="X290" s="14"/>
      <c r="Y290" s="15"/>
      <c r="Z290" s="13"/>
      <c r="AA290" s="15"/>
      <c r="AB290" s="15"/>
      <c r="AC290" s="15"/>
      <c r="AD290" s="15"/>
      <c r="AE290" s="15"/>
      <c r="AF290" s="13"/>
      <c r="AG290" s="15"/>
      <c r="AH290" s="13"/>
      <c r="AI290" s="15"/>
      <c r="AJ290" s="13"/>
    </row>
    <row r="291" spans="1:36" x14ac:dyDescent="0.2">
      <c r="A291" s="6"/>
      <c r="B291" s="34"/>
      <c r="C291" s="41"/>
      <c r="D291" s="36"/>
      <c r="E291" s="38"/>
      <c r="F291" s="37"/>
      <c r="G291" s="39"/>
      <c r="H291" s="38"/>
      <c r="I291" s="35"/>
      <c r="J291" s="38"/>
      <c r="K291" s="40"/>
      <c r="L291" s="40"/>
      <c r="M291" s="40"/>
      <c r="N291" s="40"/>
      <c r="O291" s="25"/>
      <c r="P291" s="26"/>
      <c r="Q291" s="12"/>
      <c r="R291" s="12"/>
      <c r="S291" s="13"/>
      <c r="T291" s="14"/>
      <c r="U291" s="15"/>
      <c r="V291" s="15"/>
      <c r="W291" s="15"/>
      <c r="X291" s="14"/>
      <c r="Y291" s="15"/>
      <c r="Z291" s="13"/>
      <c r="AA291" s="15"/>
      <c r="AB291" s="15"/>
      <c r="AC291" s="15"/>
      <c r="AD291" s="15"/>
      <c r="AE291" s="15"/>
      <c r="AF291" s="13"/>
      <c r="AG291" s="15"/>
      <c r="AH291" s="13"/>
      <c r="AI291" s="15"/>
      <c r="AJ291" s="13"/>
    </row>
    <row r="292" spans="1:36" x14ac:dyDescent="0.2">
      <c r="A292" s="6"/>
      <c r="B292" s="34"/>
      <c r="C292" s="41"/>
      <c r="D292" s="36"/>
      <c r="E292" s="38"/>
      <c r="F292" s="37"/>
      <c r="G292" s="39"/>
      <c r="H292" s="38"/>
      <c r="I292" s="35"/>
      <c r="J292" s="38"/>
      <c r="K292" s="40"/>
      <c r="L292" s="40"/>
      <c r="M292" s="40"/>
      <c r="N292" s="40"/>
      <c r="O292" s="25"/>
      <c r="P292" s="26"/>
      <c r="Q292" s="12"/>
      <c r="R292" s="12"/>
      <c r="S292" s="13"/>
      <c r="T292" s="14"/>
      <c r="U292" s="15"/>
      <c r="V292" s="15"/>
      <c r="W292" s="15"/>
      <c r="X292" s="14"/>
      <c r="Y292" s="15"/>
      <c r="Z292" s="13"/>
      <c r="AA292" s="15"/>
      <c r="AB292" s="15"/>
      <c r="AC292" s="15"/>
      <c r="AD292" s="15"/>
      <c r="AE292" s="15"/>
      <c r="AF292" s="13"/>
      <c r="AG292" s="15"/>
      <c r="AH292" s="13"/>
      <c r="AI292" s="15"/>
      <c r="AJ292" s="13"/>
    </row>
    <row r="293" spans="1:36" x14ac:dyDescent="0.2">
      <c r="A293" s="6"/>
      <c r="B293" s="34"/>
      <c r="C293" s="41"/>
      <c r="D293" s="36"/>
      <c r="E293" s="38"/>
      <c r="F293" s="37"/>
      <c r="G293" s="39"/>
      <c r="H293" s="38"/>
      <c r="I293" s="35"/>
      <c r="J293" s="38"/>
      <c r="K293" s="40"/>
      <c r="L293" s="40"/>
      <c r="M293" s="40"/>
      <c r="N293" s="40"/>
      <c r="O293" s="25"/>
      <c r="P293" s="26"/>
      <c r="Q293" s="12"/>
      <c r="R293" s="12"/>
      <c r="S293" s="13"/>
      <c r="T293" s="14"/>
      <c r="U293" s="15"/>
      <c r="V293" s="15"/>
      <c r="W293" s="15"/>
      <c r="X293" s="14"/>
      <c r="Y293" s="15"/>
      <c r="Z293" s="13"/>
      <c r="AA293" s="15"/>
      <c r="AB293" s="15"/>
      <c r="AC293" s="15"/>
      <c r="AD293" s="15"/>
      <c r="AE293" s="15"/>
      <c r="AF293" s="13"/>
      <c r="AG293" s="15"/>
      <c r="AH293" s="13"/>
      <c r="AI293" s="15"/>
      <c r="AJ293" s="13"/>
    </row>
    <row r="294" spans="1:36" x14ac:dyDescent="0.2">
      <c r="A294" s="6"/>
      <c r="B294" s="34"/>
      <c r="C294" s="41"/>
      <c r="D294" s="36"/>
      <c r="E294" s="38"/>
      <c r="F294" s="37"/>
      <c r="G294" s="39"/>
      <c r="H294" s="38"/>
      <c r="I294" s="35"/>
      <c r="J294" s="38"/>
      <c r="K294" s="40"/>
      <c r="L294" s="40"/>
      <c r="M294" s="40"/>
      <c r="N294" s="40"/>
      <c r="O294" s="25"/>
      <c r="P294" s="26"/>
      <c r="Q294" s="12"/>
      <c r="R294" s="12"/>
      <c r="S294" s="13"/>
      <c r="T294" s="14"/>
      <c r="U294" s="15"/>
      <c r="V294" s="15"/>
      <c r="W294" s="15"/>
      <c r="X294" s="14"/>
      <c r="Y294" s="15"/>
      <c r="Z294" s="13"/>
      <c r="AA294" s="15"/>
      <c r="AB294" s="15"/>
      <c r="AC294" s="15"/>
      <c r="AD294" s="15"/>
      <c r="AE294" s="15"/>
      <c r="AF294" s="13"/>
      <c r="AG294" s="15"/>
      <c r="AH294" s="13"/>
      <c r="AI294" s="15"/>
      <c r="AJ294" s="13"/>
    </row>
    <row r="295" spans="1:36" x14ac:dyDescent="0.2">
      <c r="A295" s="6"/>
      <c r="B295" s="34"/>
      <c r="C295" s="41"/>
      <c r="D295" s="36"/>
      <c r="E295" s="38"/>
      <c r="F295" s="37"/>
      <c r="G295" s="39"/>
      <c r="H295" s="38"/>
      <c r="I295" s="35"/>
      <c r="J295" s="38"/>
      <c r="K295" s="40"/>
      <c r="L295" s="40"/>
      <c r="M295" s="40"/>
      <c r="N295" s="40"/>
      <c r="O295" s="25"/>
      <c r="P295" s="26"/>
      <c r="Q295" s="12"/>
      <c r="R295" s="12"/>
      <c r="S295" s="13"/>
      <c r="T295" s="14"/>
      <c r="U295" s="15"/>
      <c r="V295" s="15"/>
      <c r="W295" s="15"/>
      <c r="X295" s="14"/>
      <c r="Y295" s="15"/>
      <c r="Z295" s="13"/>
      <c r="AA295" s="15"/>
      <c r="AB295" s="15"/>
      <c r="AC295" s="15"/>
      <c r="AD295" s="15"/>
      <c r="AE295" s="15"/>
      <c r="AF295" s="13"/>
      <c r="AG295" s="15"/>
      <c r="AH295" s="13"/>
      <c r="AI295" s="15"/>
      <c r="AJ295" s="13"/>
    </row>
    <row r="296" spans="1:36" x14ac:dyDescent="0.2">
      <c r="A296" s="6"/>
      <c r="B296" s="34"/>
      <c r="C296" s="41"/>
      <c r="D296" s="36"/>
      <c r="E296" s="38"/>
      <c r="F296" s="37"/>
      <c r="G296" s="39"/>
      <c r="H296" s="38"/>
      <c r="I296" s="35"/>
      <c r="J296" s="38"/>
      <c r="K296" s="40"/>
      <c r="L296" s="40"/>
      <c r="M296" s="40"/>
      <c r="N296" s="40"/>
      <c r="O296" s="25"/>
      <c r="P296" s="26"/>
      <c r="Q296" s="12"/>
      <c r="R296" s="12"/>
      <c r="S296" s="13"/>
      <c r="T296" s="14"/>
      <c r="U296" s="15"/>
      <c r="V296" s="15"/>
      <c r="W296" s="15"/>
      <c r="X296" s="14"/>
      <c r="Y296" s="15"/>
      <c r="Z296" s="13"/>
      <c r="AA296" s="15"/>
      <c r="AB296" s="15"/>
      <c r="AC296" s="15"/>
      <c r="AD296" s="15"/>
      <c r="AE296" s="15"/>
      <c r="AF296" s="13"/>
      <c r="AG296" s="15"/>
      <c r="AH296" s="13"/>
      <c r="AI296" s="15"/>
      <c r="AJ296" s="13"/>
    </row>
    <row r="297" spans="1:36" x14ac:dyDescent="0.2">
      <c r="A297" s="6"/>
      <c r="B297" s="34"/>
      <c r="C297" s="41"/>
      <c r="D297" s="36"/>
      <c r="E297" s="38"/>
      <c r="F297" s="37"/>
      <c r="G297" s="39"/>
      <c r="H297" s="38"/>
      <c r="I297" s="35"/>
      <c r="J297" s="38"/>
      <c r="K297" s="40"/>
      <c r="L297" s="40"/>
      <c r="M297" s="40"/>
      <c r="N297" s="40"/>
      <c r="O297" s="25"/>
      <c r="P297" s="26"/>
      <c r="Q297" s="12"/>
      <c r="R297" s="12"/>
      <c r="S297" s="13"/>
      <c r="T297" s="14"/>
      <c r="U297" s="15"/>
      <c r="V297" s="15"/>
      <c r="W297" s="15"/>
      <c r="X297" s="14"/>
      <c r="Y297" s="15"/>
      <c r="Z297" s="13"/>
      <c r="AA297" s="15"/>
      <c r="AB297" s="15"/>
      <c r="AC297" s="15"/>
      <c r="AD297" s="15"/>
      <c r="AE297" s="15"/>
      <c r="AF297" s="13"/>
      <c r="AG297" s="15"/>
      <c r="AH297" s="13"/>
      <c r="AI297" s="15"/>
      <c r="AJ297" s="13"/>
    </row>
    <row r="298" spans="1:36" x14ac:dyDescent="0.2">
      <c r="A298" s="6"/>
      <c r="B298" s="34"/>
      <c r="C298" s="41"/>
      <c r="D298" s="36"/>
      <c r="E298" s="38"/>
      <c r="F298" s="37"/>
      <c r="G298" s="39"/>
      <c r="H298" s="38"/>
      <c r="I298" s="35"/>
      <c r="J298" s="38"/>
      <c r="K298" s="40"/>
      <c r="L298" s="40"/>
      <c r="M298" s="40"/>
      <c r="N298" s="40"/>
      <c r="O298" s="25"/>
      <c r="P298" s="26"/>
      <c r="Q298" s="12"/>
      <c r="R298" s="12"/>
      <c r="S298" s="13"/>
      <c r="T298" s="14"/>
      <c r="U298" s="15"/>
      <c r="V298" s="15"/>
      <c r="W298" s="15"/>
      <c r="X298" s="14"/>
      <c r="Y298" s="15"/>
      <c r="Z298" s="13"/>
      <c r="AA298" s="15"/>
      <c r="AB298" s="15"/>
      <c r="AC298" s="15"/>
      <c r="AD298" s="15"/>
      <c r="AE298" s="15"/>
      <c r="AF298" s="13"/>
      <c r="AG298" s="15"/>
      <c r="AH298" s="13"/>
      <c r="AI298" s="15"/>
      <c r="AJ298" s="13"/>
    </row>
    <row r="299" spans="1:36" x14ac:dyDescent="0.2">
      <c r="A299" s="6"/>
      <c r="B299" s="34"/>
      <c r="C299" s="41"/>
      <c r="D299" s="36"/>
      <c r="E299" s="38"/>
      <c r="F299" s="37"/>
      <c r="G299" s="39"/>
      <c r="H299" s="38"/>
      <c r="I299" s="35"/>
      <c r="J299" s="38"/>
      <c r="K299" s="40"/>
      <c r="L299" s="40"/>
      <c r="M299" s="40"/>
      <c r="N299" s="40"/>
      <c r="O299" s="25"/>
      <c r="P299" s="26"/>
      <c r="Q299" s="12"/>
      <c r="R299" s="12"/>
      <c r="S299" s="13"/>
      <c r="T299" s="14"/>
      <c r="U299" s="15"/>
      <c r="V299" s="15"/>
      <c r="W299" s="15"/>
      <c r="X299" s="14"/>
      <c r="Y299" s="15"/>
      <c r="Z299" s="13"/>
      <c r="AA299" s="15"/>
      <c r="AB299" s="15"/>
      <c r="AC299" s="15"/>
      <c r="AD299" s="15"/>
      <c r="AE299" s="15"/>
      <c r="AF299" s="13"/>
      <c r="AG299" s="15"/>
      <c r="AH299" s="13"/>
      <c r="AI299" s="15"/>
      <c r="AJ299" s="13"/>
    </row>
    <row r="300" spans="1:36" x14ac:dyDescent="0.2">
      <c r="A300" s="6"/>
      <c r="B300" s="34"/>
      <c r="C300" s="41"/>
      <c r="D300" s="36"/>
      <c r="E300" s="38"/>
      <c r="F300" s="37"/>
      <c r="G300" s="39"/>
      <c r="H300" s="38"/>
      <c r="I300" s="35"/>
      <c r="J300" s="38"/>
      <c r="K300" s="40"/>
      <c r="L300" s="40"/>
      <c r="M300" s="40"/>
      <c r="N300" s="40"/>
      <c r="O300" s="25"/>
      <c r="P300" s="26"/>
      <c r="Q300" s="12"/>
      <c r="R300" s="12"/>
      <c r="S300" s="13"/>
      <c r="T300" s="14"/>
      <c r="U300" s="15"/>
      <c r="V300" s="15"/>
      <c r="W300" s="15"/>
      <c r="X300" s="14"/>
      <c r="Y300" s="15"/>
      <c r="Z300" s="13"/>
      <c r="AA300" s="15"/>
      <c r="AB300" s="15"/>
      <c r="AC300" s="15"/>
      <c r="AD300" s="15"/>
      <c r="AE300" s="15"/>
      <c r="AF300" s="13"/>
      <c r="AG300" s="15"/>
      <c r="AH300" s="13"/>
      <c r="AI300" s="15"/>
      <c r="AJ300" s="13"/>
    </row>
    <row r="301" spans="1:36" x14ac:dyDescent="0.2">
      <c r="A301" s="6"/>
      <c r="B301" s="34"/>
      <c r="C301" s="41"/>
      <c r="D301" s="36"/>
      <c r="E301" s="38"/>
      <c r="F301" s="37"/>
      <c r="G301" s="39"/>
      <c r="H301" s="38"/>
      <c r="I301" s="35"/>
      <c r="J301" s="38"/>
      <c r="K301" s="40"/>
      <c r="L301" s="40"/>
      <c r="M301" s="40"/>
      <c r="N301" s="40"/>
      <c r="O301" s="25"/>
      <c r="P301" s="26"/>
      <c r="Q301" s="12"/>
      <c r="R301" s="12"/>
      <c r="S301" s="13"/>
      <c r="T301" s="14"/>
      <c r="U301" s="15"/>
      <c r="V301" s="15"/>
      <c r="W301" s="15"/>
      <c r="X301" s="14"/>
      <c r="Y301" s="15"/>
      <c r="Z301" s="13"/>
      <c r="AA301" s="15"/>
      <c r="AB301" s="15"/>
      <c r="AC301" s="15"/>
      <c r="AD301" s="15"/>
      <c r="AE301" s="15"/>
      <c r="AF301" s="13"/>
      <c r="AG301" s="15"/>
      <c r="AH301" s="13"/>
      <c r="AI301" s="15"/>
      <c r="AJ301" s="13"/>
    </row>
    <row r="302" spans="1:36" x14ac:dyDescent="0.2">
      <c r="A302" s="6"/>
      <c r="B302" s="34"/>
      <c r="C302" s="41"/>
      <c r="D302" s="36"/>
      <c r="E302" s="38"/>
      <c r="F302" s="37"/>
      <c r="G302" s="39"/>
      <c r="H302" s="38"/>
      <c r="I302" s="35"/>
      <c r="J302" s="38"/>
      <c r="K302" s="40"/>
      <c r="L302" s="40"/>
      <c r="M302" s="40"/>
      <c r="N302" s="40"/>
      <c r="O302" s="25"/>
      <c r="P302" s="26"/>
      <c r="Q302" s="12"/>
      <c r="R302" s="12"/>
      <c r="S302" s="13"/>
      <c r="T302" s="14"/>
      <c r="U302" s="15"/>
      <c r="V302" s="15"/>
      <c r="W302" s="15"/>
      <c r="X302" s="14"/>
      <c r="Y302" s="15"/>
      <c r="Z302" s="13"/>
      <c r="AA302" s="15"/>
      <c r="AB302" s="15"/>
      <c r="AC302" s="15"/>
      <c r="AD302" s="15"/>
      <c r="AE302" s="15"/>
      <c r="AF302" s="13"/>
      <c r="AG302" s="15"/>
      <c r="AH302" s="13"/>
      <c r="AI302" s="15"/>
      <c r="AJ302" s="13"/>
    </row>
    <row r="303" spans="1:36" x14ac:dyDescent="0.2">
      <c r="A303" s="6"/>
      <c r="B303" s="34"/>
      <c r="C303" s="41"/>
      <c r="D303" s="36"/>
      <c r="E303" s="38"/>
      <c r="F303" s="37"/>
      <c r="G303" s="39"/>
      <c r="H303" s="38"/>
      <c r="I303" s="35"/>
      <c r="J303" s="38"/>
      <c r="K303" s="40"/>
      <c r="L303" s="40"/>
      <c r="M303" s="40"/>
      <c r="N303" s="40"/>
      <c r="O303" s="25"/>
      <c r="P303" s="26"/>
      <c r="Q303" s="12"/>
      <c r="R303" s="12"/>
      <c r="S303" s="13"/>
      <c r="T303" s="14"/>
      <c r="U303" s="15"/>
      <c r="V303" s="15"/>
      <c r="W303" s="15"/>
      <c r="X303" s="14"/>
      <c r="Y303" s="15"/>
      <c r="Z303" s="13"/>
      <c r="AA303" s="15"/>
      <c r="AB303" s="15"/>
      <c r="AC303" s="15"/>
      <c r="AD303" s="15"/>
      <c r="AE303" s="15"/>
      <c r="AF303" s="13"/>
      <c r="AG303" s="15"/>
      <c r="AH303" s="13"/>
      <c r="AI303" s="15"/>
      <c r="AJ303" s="13"/>
    </row>
    <row r="304" spans="1:36" x14ac:dyDescent="0.2">
      <c r="A304" s="6"/>
      <c r="B304" s="34"/>
      <c r="C304" s="41"/>
      <c r="D304" s="36"/>
      <c r="E304" s="38"/>
      <c r="F304" s="37"/>
      <c r="G304" s="39"/>
      <c r="H304" s="38"/>
      <c r="I304" s="35"/>
      <c r="J304" s="38"/>
      <c r="K304" s="40"/>
      <c r="L304" s="40"/>
      <c r="M304" s="40"/>
      <c r="N304" s="40"/>
      <c r="O304" s="25"/>
      <c r="P304" s="26"/>
      <c r="Q304" s="12"/>
      <c r="R304" s="12"/>
      <c r="S304" s="13"/>
      <c r="T304" s="14"/>
      <c r="U304" s="15"/>
      <c r="V304" s="15"/>
      <c r="W304" s="15"/>
      <c r="X304" s="14"/>
      <c r="Y304" s="15"/>
      <c r="Z304" s="13"/>
      <c r="AA304" s="15"/>
      <c r="AB304" s="15"/>
      <c r="AC304" s="15"/>
      <c r="AD304" s="15"/>
      <c r="AE304" s="15"/>
      <c r="AF304" s="13"/>
      <c r="AG304" s="15"/>
      <c r="AH304" s="13"/>
      <c r="AI304" s="15"/>
      <c r="AJ304" s="13"/>
    </row>
    <row r="305" spans="1:36" x14ac:dyDescent="0.2">
      <c r="A305" s="6"/>
      <c r="B305" s="6"/>
      <c r="C305" s="27"/>
      <c r="D305" s="28"/>
      <c r="E305" s="26"/>
      <c r="F305" s="29"/>
      <c r="G305" s="30"/>
      <c r="H305" s="26"/>
      <c r="I305" s="31"/>
      <c r="J305" s="26"/>
      <c r="K305" s="25"/>
      <c r="L305" s="25"/>
      <c r="M305" s="25"/>
      <c r="N305" s="25"/>
      <c r="O305" s="25"/>
      <c r="P305" s="26"/>
      <c r="Q305" s="12"/>
      <c r="R305" s="12"/>
      <c r="S305" s="13"/>
      <c r="T305" s="14"/>
      <c r="U305" s="15"/>
      <c r="V305" s="15"/>
      <c r="W305" s="15"/>
      <c r="X305" s="14"/>
      <c r="Y305" s="15"/>
      <c r="Z305" s="13"/>
      <c r="AA305" s="15"/>
      <c r="AB305" s="15"/>
      <c r="AC305" s="15"/>
      <c r="AD305" s="15"/>
      <c r="AE305" s="15"/>
      <c r="AF305" s="13"/>
      <c r="AG305" s="15"/>
      <c r="AH305" s="13"/>
      <c r="AI305" s="15"/>
      <c r="AJ305" s="13"/>
    </row>
    <row r="306" spans="1:36" x14ac:dyDescent="0.2">
      <c r="A306" s="34"/>
      <c r="B306" s="34"/>
      <c r="C306" s="41"/>
      <c r="D306" s="36"/>
      <c r="E306" s="38"/>
      <c r="F306" s="37"/>
      <c r="G306" s="39"/>
      <c r="H306" s="38"/>
      <c r="I306" s="35"/>
      <c r="J306" s="38"/>
      <c r="K306" s="40"/>
      <c r="L306" s="40"/>
      <c r="M306" s="40"/>
      <c r="N306" s="40"/>
      <c r="O306" s="25"/>
      <c r="P306" s="26"/>
      <c r="Q306" s="12"/>
      <c r="R306" s="12"/>
      <c r="S306" s="13"/>
      <c r="T306" s="14"/>
      <c r="U306" s="15"/>
      <c r="V306" s="15"/>
      <c r="W306" s="15"/>
      <c r="X306" s="14"/>
      <c r="Y306" s="15"/>
      <c r="Z306" s="13"/>
      <c r="AA306" s="15"/>
      <c r="AB306" s="15"/>
      <c r="AC306" s="15"/>
      <c r="AD306" s="15"/>
      <c r="AE306" s="15"/>
      <c r="AF306" s="13"/>
      <c r="AG306" s="15"/>
      <c r="AH306" s="13"/>
      <c r="AI306" s="15"/>
      <c r="AJ306" s="13"/>
    </row>
    <row r="307" spans="1:36" x14ac:dyDescent="0.2">
      <c r="A307" s="6"/>
      <c r="B307" s="34"/>
      <c r="C307" s="41"/>
      <c r="D307" s="36"/>
      <c r="E307" s="38"/>
      <c r="F307" s="37"/>
      <c r="G307" s="39"/>
      <c r="H307" s="38"/>
      <c r="I307" s="35"/>
      <c r="J307" s="38"/>
      <c r="K307" s="40"/>
      <c r="L307" s="40"/>
      <c r="M307" s="40"/>
      <c r="N307" s="40"/>
      <c r="O307" s="25"/>
      <c r="P307" s="26"/>
      <c r="Q307" s="12"/>
      <c r="R307" s="12"/>
      <c r="S307" s="13"/>
      <c r="T307" s="14"/>
      <c r="U307" s="15"/>
      <c r="V307" s="15"/>
      <c r="W307" s="15"/>
      <c r="X307" s="14"/>
      <c r="Y307" s="15"/>
      <c r="Z307" s="13"/>
      <c r="AA307" s="15"/>
      <c r="AB307" s="15"/>
      <c r="AC307" s="15"/>
      <c r="AD307" s="15"/>
      <c r="AE307" s="15"/>
      <c r="AF307" s="13"/>
      <c r="AG307" s="15"/>
      <c r="AH307" s="13"/>
      <c r="AI307" s="15"/>
      <c r="AJ307" s="13"/>
    </row>
    <row r="308" spans="1:36" x14ac:dyDescent="0.2">
      <c r="A308" s="6"/>
      <c r="B308" s="34"/>
      <c r="C308" s="41"/>
      <c r="D308" s="36"/>
      <c r="E308" s="38"/>
      <c r="F308" s="37"/>
      <c r="G308" s="39"/>
      <c r="H308" s="38"/>
      <c r="I308" s="35"/>
      <c r="J308" s="38"/>
      <c r="K308" s="40"/>
      <c r="L308" s="40"/>
      <c r="M308" s="40"/>
      <c r="N308" s="40"/>
      <c r="O308" s="25"/>
      <c r="P308" s="26"/>
      <c r="Q308" s="12"/>
      <c r="R308" s="12"/>
      <c r="S308" s="13"/>
      <c r="T308" s="14"/>
      <c r="U308" s="15"/>
      <c r="V308" s="15"/>
      <c r="W308" s="15"/>
      <c r="X308" s="14"/>
      <c r="Y308" s="15"/>
      <c r="Z308" s="13"/>
      <c r="AA308" s="15"/>
      <c r="AB308" s="15"/>
      <c r="AC308" s="15"/>
      <c r="AD308" s="15"/>
      <c r="AE308" s="15"/>
      <c r="AF308" s="13"/>
      <c r="AG308" s="15"/>
      <c r="AH308" s="13"/>
      <c r="AI308" s="15"/>
      <c r="AJ308" s="13"/>
    </row>
    <row r="309" spans="1:36" x14ac:dyDescent="0.2">
      <c r="A309" s="6"/>
      <c r="B309" s="6"/>
      <c r="C309" s="27"/>
      <c r="D309" s="36"/>
      <c r="E309" s="38"/>
      <c r="F309" s="37"/>
      <c r="G309" s="39"/>
      <c r="H309" s="38"/>
      <c r="I309" s="35"/>
      <c r="J309" s="38"/>
      <c r="K309" s="40"/>
      <c r="L309" s="40"/>
      <c r="M309" s="40"/>
      <c r="N309" s="40"/>
      <c r="O309" s="25"/>
      <c r="P309" s="26"/>
      <c r="Q309" s="12"/>
      <c r="R309" s="12"/>
      <c r="S309" s="13"/>
      <c r="T309" s="14"/>
      <c r="U309" s="15"/>
      <c r="V309" s="15"/>
      <c r="W309" s="15"/>
      <c r="X309" s="14"/>
      <c r="Y309" s="15"/>
      <c r="Z309" s="13"/>
      <c r="AA309" s="15"/>
      <c r="AB309" s="15"/>
      <c r="AC309" s="15"/>
      <c r="AD309" s="15"/>
      <c r="AE309" s="15"/>
      <c r="AF309" s="13"/>
      <c r="AG309" s="15"/>
      <c r="AH309" s="13"/>
      <c r="AI309" s="15"/>
      <c r="AJ309" s="13"/>
    </row>
    <row r="310" spans="1:36" x14ac:dyDescent="0.2">
      <c r="A310" s="6"/>
      <c r="B310" s="34"/>
      <c r="C310" s="41"/>
      <c r="D310" s="36"/>
      <c r="E310" s="38"/>
      <c r="F310" s="37"/>
      <c r="G310" s="39"/>
      <c r="H310" s="38"/>
      <c r="I310" s="35"/>
      <c r="J310" s="38"/>
      <c r="K310" s="40"/>
      <c r="L310" s="40"/>
      <c r="M310" s="40"/>
      <c r="N310" s="40"/>
      <c r="O310" s="25"/>
      <c r="P310" s="26"/>
      <c r="Q310" s="12"/>
      <c r="R310" s="12"/>
      <c r="S310" s="13"/>
      <c r="T310" s="14"/>
      <c r="U310" s="15"/>
      <c r="V310" s="15"/>
      <c r="W310" s="15"/>
      <c r="X310" s="14"/>
      <c r="Y310" s="15"/>
      <c r="Z310" s="13"/>
      <c r="AA310" s="15"/>
      <c r="AB310" s="15"/>
      <c r="AC310" s="15"/>
      <c r="AD310" s="15"/>
      <c r="AE310" s="15"/>
      <c r="AF310" s="13"/>
      <c r="AG310" s="15"/>
      <c r="AH310" s="13"/>
      <c r="AI310" s="15"/>
      <c r="AJ310" s="13"/>
    </row>
    <row r="311" spans="1:36" x14ac:dyDescent="0.2">
      <c r="A311" s="6"/>
      <c r="B311" s="34"/>
      <c r="C311" s="41"/>
      <c r="D311" s="36"/>
      <c r="E311" s="38"/>
      <c r="F311" s="37"/>
      <c r="G311" s="39"/>
      <c r="H311" s="38"/>
      <c r="I311" s="35"/>
      <c r="J311" s="38"/>
      <c r="K311" s="40"/>
      <c r="L311" s="40"/>
      <c r="M311" s="40"/>
      <c r="N311" s="40"/>
      <c r="O311" s="25"/>
      <c r="P311" s="26"/>
      <c r="Q311" s="12"/>
      <c r="R311" s="12"/>
      <c r="S311" s="13"/>
      <c r="T311" s="14"/>
      <c r="U311" s="15"/>
      <c r="V311" s="15"/>
      <c r="W311" s="15"/>
      <c r="X311" s="14"/>
      <c r="Y311" s="15"/>
      <c r="Z311" s="13"/>
      <c r="AA311" s="15"/>
      <c r="AB311" s="15"/>
      <c r="AC311" s="15"/>
      <c r="AD311" s="15"/>
      <c r="AE311" s="15"/>
      <c r="AF311" s="13"/>
      <c r="AG311" s="15"/>
      <c r="AH311" s="13"/>
      <c r="AI311" s="15"/>
      <c r="AJ311" s="13"/>
    </row>
    <row r="312" spans="1:36" x14ac:dyDescent="0.2">
      <c r="A312" s="6"/>
      <c r="B312" s="34"/>
      <c r="C312" s="41"/>
      <c r="D312" s="36"/>
      <c r="E312" s="38"/>
      <c r="F312" s="37"/>
      <c r="G312" s="39"/>
      <c r="H312" s="38"/>
      <c r="I312" s="35"/>
      <c r="J312" s="38"/>
      <c r="K312" s="40"/>
      <c r="L312" s="40"/>
      <c r="M312" s="40"/>
      <c r="N312" s="40"/>
      <c r="O312" s="25"/>
      <c r="P312" s="26"/>
      <c r="Q312" s="12"/>
      <c r="R312" s="12"/>
      <c r="S312" s="13"/>
      <c r="T312" s="14"/>
      <c r="U312" s="15"/>
      <c r="V312" s="15"/>
      <c r="W312" s="15"/>
      <c r="X312" s="14"/>
      <c r="Y312" s="15"/>
      <c r="Z312" s="13"/>
      <c r="AA312" s="15"/>
      <c r="AB312" s="15"/>
      <c r="AC312" s="15"/>
      <c r="AD312" s="15"/>
      <c r="AE312" s="15"/>
      <c r="AF312" s="13"/>
      <c r="AG312" s="15"/>
      <c r="AH312" s="13"/>
      <c r="AI312" s="15"/>
      <c r="AJ312" s="13"/>
    </row>
    <row r="313" spans="1:36" x14ac:dyDescent="0.2">
      <c r="A313" s="6"/>
      <c r="B313" s="34"/>
      <c r="C313" s="41"/>
      <c r="D313" s="36"/>
      <c r="E313" s="37"/>
      <c r="F313" s="38"/>
      <c r="G313" s="39"/>
      <c r="H313" s="38"/>
      <c r="I313" s="35"/>
      <c r="J313" s="38"/>
      <c r="K313" s="40"/>
      <c r="L313" s="40"/>
      <c r="M313" s="40"/>
      <c r="N313" s="40"/>
      <c r="O313" s="25"/>
      <c r="P313" s="26"/>
      <c r="Q313" s="12"/>
      <c r="R313" s="12"/>
      <c r="S313" s="13"/>
      <c r="T313" s="14"/>
      <c r="U313" s="15"/>
      <c r="V313" s="15"/>
      <c r="W313" s="15"/>
      <c r="X313" s="14"/>
      <c r="Y313" s="15"/>
      <c r="Z313" s="13"/>
      <c r="AA313" s="15"/>
      <c r="AB313" s="15"/>
      <c r="AC313" s="15"/>
      <c r="AD313" s="15"/>
      <c r="AE313" s="15"/>
      <c r="AF313" s="13"/>
      <c r="AG313" s="15"/>
      <c r="AH313" s="13"/>
      <c r="AI313" s="15"/>
      <c r="AJ313" s="13"/>
    </row>
    <row r="314" spans="1:36" x14ac:dyDescent="0.2">
      <c r="A314" s="6"/>
      <c r="B314" s="6"/>
      <c r="C314" s="27"/>
      <c r="D314" s="28"/>
      <c r="E314" s="29"/>
      <c r="F314" s="26"/>
      <c r="G314" s="30"/>
      <c r="H314" s="26"/>
      <c r="I314" s="31"/>
      <c r="J314" s="26"/>
      <c r="K314" s="25"/>
      <c r="L314" s="25"/>
      <c r="M314" s="25"/>
      <c r="N314" s="25"/>
      <c r="O314" s="25"/>
      <c r="P314" s="26"/>
      <c r="Q314" s="12"/>
      <c r="R314" s="12"/>
      <c r="S314" s="13"/>
      <c r="T314" s="14"/>
      <c r="U314" s="15"/>
      <c r="V314" s="15"/>
      <c r="W314" s="15"/>
      <c r="X314" s="14"/>
      <c r="Y314" s="15"/>
      <c r="Z314" s="13"/>
      <c r="AA314" s="15"/>
      <c r="AB314" s="15"/>
      <c r="AC314" s="15"/>
      <c r="AD314" s="15"/>
      <c r="AE314" s="15"/>
      <c r="AF314" s="13"/>
      <c r="AG314" s="15"/>
      <c r="AH314" s="13"/>
      <c r="AI314" s="15"/>
      <c r="AJ314" s="13"/>
    </row>
    <row r="315" spans="1:36" x14ac:dyDescent="0.2">
      <c r="A315" s="34"/>
      <c r="B315" s="34"/>
      <c r="C315" s="41"/>
      <c r="D315" s="36"/>
      <c r="E315" s="37"/>
      <c r="F315" s="38"/>
      <c r="G315" s="39"/>
      <c r="H315" s="38"/>
      <c r="I315" s="35"/>
      <c r="J315" s="38"/>
      <c r="K315" s="40"/>
      <c r="L315" s="40"/>
      <c r="M315" s="40"/>
      <c r="N315" s="40"/>
      <c r="O315" s="25"/>
      <c r="P315" s="26"/>
      <c r="Q315" s="12"/>
      <c r="R315" s="12"/>
      <c r="S315" s="13"/>
      <c r="T315" s="14"/>
      <c r="U315" s="15"/>
      <c r="V315" s="15"/>
      <c r="W315" s="15"/>
      <c r="X315" s="14"/>
      <c r="Y315" s="15"/>
      <c r="Z315" s="13"/>
      <c r="AA315" s="15"/>
      <c r="AB315" s="15"/>
      <c r="AC315" s="15"/>
      <c r="AD315" s="15"/>
      <c r="AE315" s="15"/>
      <c r="AF315" s="13"/>
      <c r="AG315" s="15"/>
      <c r="AH315" s="13"/>
      <c r="AI315" s="15"/>
      <c r="AJ315" s="13"/>
    </row>
    <row r="316" spans="1:36" x14ac:dyDescent="0.2">
      <c r="A316" s="6"/>
      <c r="B316" s="6"/>
      <c r="C316" s="27"/>
      <c r="D316" s="36"/>
      <c r="E316" s="37"/>
      <c r="F316" s="38"/>
      <c r="G316" s="39"/>
      <c r="H316" s="38"/>
      <c r="I316" s="35"/>
      <c r="J316" s="38"/>
      <c r="K316" s="40"/>
      <c r="L316" s="40"/>
      <c r="M316" s="40"/>
      <c r="N316" s="40"/>
      <c r="O316" s="25"/>
      <c r="P316" s="26"/>
      <c r="Q316" s="12"/>
      <c r="R316" s="12"/>
      <c r="S316" s="13"/>
      <c r="T316" s="14"/>
      <c r="U316" s="15"/>
      <c r="V316" s="15"/>
      <c r="W316" s="15"/>
      <c r="X316" s="14"/>
      <c r="Y316" s="15"/>
      <c r="Z316" s="13"/>
      <c r="AA316" s="15"/>
      <c r="AB316" s="15"/>
      <c r="AC316" s="15"/>
      <c r="AD316" s="15"/>
      <c r="AE316" s="15"/>
      <c r="AF316" s="13"/>
      <c r="AG316" s="15"/>
      <c r="AH316" s="13"/>
      <c r="AI316" s="15"/>
      <c r="AJ316" s="13"/>
    </row>
    <row r="317" spans="1:36" x14ac:dyDescent="0.2">
      <c r="A317" s="6"/>
      <c r="B317" s="34"/>
      <c r="C317" s="41"/>
      <c r="D317" s="36"/>
      <c r="E317" s="37"/>
      <c r="F317" s="38"/>
      <c r="G317" s="39"/>
      <c r="H317" s="38"/>
      <c r="I317" s="35"/>
      <c r="J317" s="38"/>
      <c r="K317" s="40"/>
      <c r="L317" s="40"/>
      <c r="M317" s="40"/>
      <c r="N317" s="40"/>
      <c r="O317" s="25"/>
      <c r="P317" s="26"/>
      <c r="Q317" s="12"/>
      <c r="R317" s="12"/>
      <c r="S317" s="13"/>
      <c r="T317" s="14"/>
      <c r="U317" s="15"/>
      <c r="V317" s="15"/>
      <c r="W317" s="15"/>
      <c r="X317" s="14"/>
      <c r="Y317" s="15"/>
      <c r="Z317" s="13"/>
      <c r="AA317" s="15"/>
      <c r="AB317" s="15"/>
      <c r="AC317" s="15"/>
      <c r="AD317" s="15"/>
      <c r="AE317" s="15"/>
      <c r="AF317" s="13"/>
      <c r="AG317" s="15"/>
      <c r="AH317" s="13"/>
      <c r="AI317" s="15"/>
      <c r="AJ317" s="13"/>
    </row>
    <row r="318" spans="1:36" x14ac:dyDescent="0.2">
      <c r="A318" s="6"/>
      <c r="B318" s="6"/>
      <c r="C318" s="27"/>
      <c r="D318" s="28"/>
      <c r="E318" s="29"/>
      <c r="F318" s="26"/>
      <c r="G318" s="30"/>
      <c r="H318" s="26"/>
      <c r="I318" s="31"/>
      <c r="J318" s="26"/>
      <c r="K318" s="25"/>
      <c r="L318" s="25"/>
      <c r="M318" s="25"/>
      <c r="N318" s="25"/>
      <c r="O318" s="25"/>
      <c r="P318" s="26"/>
      <c r="Q318" s="12"/>
      <c r="R318" s="12"/>
      <c r="S318" s="13"/>
      <c r="T318" s="14"/>
      <c r="U318" s="15"/>
      <c r="V318" s="15"/>
      <c r="W318" s="15"/>
      <c r="X318" s="14"/>
      <c r="Y318" s="15"/>
      <c r="Z318" s="13"/>
      <c r="AA318" s="15"/>
      <c r="AB318" s="15"/>
      <c r="AC318" s="15"/>
      <c r="AD318" s="15"/>
      <c r="AE318" s="15"/>
      <c r="AF318" s="13"/>
      <c r="AG318" s="15"/>
      <c r="AH318" s="13"/>
      <c r="AI318" s="15"/>
      <c r="AJ318" s="13"/>
    </row>
    <row r="319" spans="1:36" x14ac:dyDescent="0.2">
      <c r="A319" s="34"/>
      <c r="B319" s="34"/>
      <c r="C319" s="41"/>
      <c r="D319" s="36"/>
      <c r="E319" s="37"/>
      <c r="F319" s="38"/>
      <c r="G319" s="39"/>
      <c r="H319" s="38"/>
      <c r="I319" s="35"/>
      <c r="J319" s="38"/>
      <c r="K319" s="40"/>
      <c r="L319" s="40"/>
      <c r="M319" s="40"/>
      <c r="N319" s="40"/>
      <c r="O319" s="25"/>
      <c r="P319" s="26"/>
      <c r="Q319" s="12"/>
      <c r="R319" s="12"/>
      <c r="S319" s="13"/>
      <c r="T319" s="14"/>
      <c r="U319" s="15"/>
      <c r="V319" s="15"/>
      <c r="W319" s="15"/>
      <c r="X319" s="14"/>
      <c r="Y319" s="15"/>
      <c r="Z319" s="13"/>
      <c r="AA319" s="15"/>
      <c r="AB319" s="15"/>
      <c r="AC319" s="15"/>
      <c r="AD319" s="15"/>
      <c r="AE319" s="15"/>
      <c r="AF319" s="13"/>
      <c r="AG319" s="15"/>
      <c r="AH319" s="13"/>
      <c r="AI319" s="15"/>
      <c r="AJ319" s="13"/>
    </row>
    <row r="320" spans="1:36" x14ac:dyDescent="0.2">
      <c r="A320" s="6"/>
      <c r="B320" s="34"/>
      <c r="C320" s="41"/>
      <c r="D320" s="36"/>
      <c r="E320" s="37"/>
      <c r="F320" s="38"/>
      <c r="G320" s="39"/>
      <c r="H320" s="38"/>
      <c r="I320" s="35"/>
      <c r="J320" s="38"/>
      <c r="K320" s="40"/>
      <c r="L320" s="40"/>
      <c r="M320" s="40"/>
      <c r="N320" s="40"/>
      <c r="O320" s="25"/>
      <c r="P320" s="26"/>
      <c r="Q320" s="12"/>
      <c r="R320" s="12"/>
      <c r="S320" s="13"/>
      <c r="T320" s="14"/>
      <c r="U320" s="15"/>
      <c r="V320" s="15"/>
      <c r="W320" s="15"/>
      <c r="X320" s="14"/>
      <c r="Y320" s="15"/>
      <c r="Z320" s="13"/>
      <c r="AA320" s="15"/>
      <c r="AB320" s="15"/>
      <c r="AC320" s="15"/>
      <c r="AD320" s="15"/>
      <c r="AE320" s="15"/>
      <c r="AF320" s="13"/>
      <c r="AG320" s="15"/>
      <c r="AH320" s="13"/>
      <c r="AI320" s="15"/>
      <c r="AJ320" s="13"/>
    </row>
    <row r="321" spans="1:36" x14ac:dyDescent="0.2">
      <c r="A321" s="6"/>
      <c r="B321" s="34"/>
      <c r="C321" s="41"/>
      <c r="D321" s="36"/>
      <c r="E321" s="37"/>
      <c r="F321" s="38"/>
      <c r="G321" s="39"/>
      <c r="H321" s="38"/>
      <c r="I321" s="35"/>
      <c r="J321" s="38"/>
      <c r="K321" s="40"/>
      <c r="L321" s="40"/>
      <c r="M321" s="40"/>
      <c r="N321" s="40"/>
      <c r="O321" s="25"/>
      <c r="P321" s="26"/>
      <c r="Q321" s="12"/>
      <c r="R321" s="12"/>
      <c r="S321" s="13"/>
      <c r="T321" s="14"/>
      <c r="U321" s="15"/>
      <c r="V321" s="15"/>
      <c r="W321" s="15"/>
      <c r="X321" s="14"/>
      <c r="Y321" s="15"/>
      <c r="Z321" s="13"/>
      <c r="AA321" s="15"/>
      <c r="AB321" s="15"/>
      <c r="AC321" s="15"/>
      <c r="AD321" s="15"/>
      <c r="AE321" s="15"/>
      <c r="AF321" s="13"/>
      <c r="AG321" s="15"/>
      <c r="AH321" s="13"/>
      <c r="AI321" s="15"/>
      <c r="AJ321" s="13"/>
    </row>
    <row r="322" spans="1:36" x14ac:dyDescent="0.2">
      <c r="A322" s="6"/>
      <c r="B322" s="34"/>
      <c r="C322" s="41"/>
      <c r="D322" s="36"/>
      <c r="E322" s="37"/>
      <c r="F322" s="38"/>
      <c r="G322" s="39"/>
      <c r="H322" s="38"/>
      <c r="I322" s="35"/>
      <c r="J322" s="38"/>
      <c r="K322" s="40"/>
      <c r="L322" s="40"/>
      <c r="M322" s="40"/>
      <c r="N322" s="40"/>
      <c r="O322" s="25"/>
      <c r="P322" s="26"/>
      <c r="Q322" s="12"/>
      <c r="R322" s="12"/>
      <c r="S322" s="13"/>
      <c r="T322" s="14"/>
      <c r="U322" s="15"/>
      <c r="V322" s="15"/>
      <c r="W322" s="15"/>
      <c r="X322" s="14"/>
      <c r="Y322" s="15"/>
      <c r="Z322" s="13"/>
      <c r="AA322" s="15"/>
      <c r="AB322" s="15"/>
      <c r="AC322" s="15"/>
      <c r="AD322" s="15"/>
      <c r="AE322" s="15"/>
      <c r="AF322" s="13"/>
      <c r="AG322" s="15"/>
      <c r="AH322" s="13"/>
      <c r="AI322" s="15"/>
      <c r="AJ322" s="13"/>
    </row>
    <row r="323" spans="1:36" x14ac:dyDescent="0.2">
      <c r="A323" s="6"/>
      <c r="B323" s="34"/>
      <c r="C323" s="41"/>
      <c r="D323" s="36"/>
      <c r="E323" s="37"/>
      <c r="F323" s="38"/>
      <c r="G323" s="39"/>
      <c r="H323" s="38"/>
      <c r="I323" s="35"/>
      <c r="J323" s="38"/>
      <c r="K323" s="40"/>
      <c r="L323" s="40"/>
      <c r="M323" s="40"/>
      <c r="N323" s="40"/>
      <c r="O323" s="25"/>
      <c r="P323" s="26"/>
      <c r="Q323" s="12"/>
      <c r="R323" s="12"/>
      <c r="S323" s="13"/>
      <c r="T323" s="14"/>
      <c r="U323" s="15"/>
      <c r="V323" s="15"/>
      <c r="W323" s="15"/>
      <c r="X323" s="14"/>
      <c r="Y323" s="15"/>
      <c r="Z323" s="13"/>
      <c r="AA323" s="15"/>
      <c r="AB323" s="15"/>
      <c r="AC323" s="15"/>
      <c r="AD323" s="15"/>
      <c r="AE323" s="15"/>
      <c r="AF323" s="13"/>
      <c r="AG323" s="15"/>
      <c r="AH323" s="13"/>
      <c r="AI323" s="15"/>
      <c r="AJ323" s="13"/>
    </row>
    <row r="324" spans="1:36" x14ac:dyDescent="0.2">
      <c r="A324" s="6"/>
      <c r="B324" s="6"/>
      <c r="C324" s="27"/>
      <c r="D324" s="28"/>
      <c r="E324" s="29"/>
      <c r="F324" s="26"/>
      <c r="G324" s="30"/>
      <c r="H324" s="26"/>
      <c r="I324" s="31"/>
      <c r="J324" s="26"/>
      <c r="K324" s="25"/>
      <c r="L324" s="25"/>
      <c r="M324" s="25"/>
      <c r="N324" s="25"/>
      <c r="O324" s="25"/>
      <c r="P324" s="26"/>
      <c r="Q324" s="12"/>
      <c r="R324" s="12"/>
      <c r="S324" s="13"/>
      <c r="T324" s="14"/>
      <c r="U324" s="15"/>
      <c r="V324" s="15"/>
      <c r="W324" s="15"/>
      <c r="X324" s="14"/>
      <c r="Y324" s="15"/>
      <c r="Z324" s="13"/>
      <c r="AA324" s="15"/>
      <c r="AB324" s="15"/>
      <c r="AC324" s="15"/>
      <c r="AD324" s="15"/>
      <c r="AE324" s="15"/>
      <c r="AF324" s="13"/>
      <c r="AG324" s="15"/>
      <c r="AH324" s="13"/>
      <c r="AI324" s="15"/>
      <c r="AJ324" s="13"/>
    </row>
    <row r="325" spans="1:36" x14ac:dyDescent="0.2">
      <c r="A325" s="52"/>
      <c r="B325" s="52"/>
      <c r="C325" s="53"/>
      <c r="D325" s="54"/>
      <c r="E325" s="55"/>
      <c r="F325" s="56"/>
      <c r="G325" s="57"/>
      <c r="H325" s="56"/>
      <c r="I325" s="58"/>
      <c r="J325" s="56"/>
      <c r="K325" s="59"/>
      <c r="L325" s="59"/>
      <c r="M325" s="59"/>
      <c r="N325" s="59"/>
      <c r="O325" s="59"/>
      <c r="P325" s="56"/>
      <c r="Q325" s="60"/>
      <c r="R325" s="60"/>
      <c r="S325" s="13"/>
      <c r="T325" s="14"/>
      <c r="U325" s="15"/>
      <c r="V325" s="15"/>
      <c r="W325" s="15"/>
      <c r="X325" s="14"/>
      <c r="Y325" s="15"/>
      <c r="Z325" s="13"/>
      <c r="AA325" s="15"/>
      <c r="AB325" s="15"/>
      <c r="AC325" s="15"/>
      <c r="AD325" s="15"/>
      <c r="AE325" s="15"/>
      <c r="AF325" s="13"/>
      <c r="AG325" s="15"/>
      <c r="AH325" s="13"/>
      <c r="AI325" s="15"/>
      <c r="AJ325" s="13"/>
    </row>
    <row r="326" spans="1:36" x14ac:dyDescent="0.2">
      <c r="A326" s="6"/>
      <c r="B326" s="6"/>
      <c r="C326" s="27"/>
      <c r="D326" s="28"/>
      <c r="E326" s="29"/>
      <c r="F326" s="26"/>
      <c r="G326" s="30"/>
      <c r="H326" s="26"/>
      <c r="I326" s="31"/>
      <c r="J326" s="26"/>
      <c r="K326" s="25"/>
      <c r="L326" s="25"/>
      <c r="M326" s="25"/>
      <c r="N326" s="25"/>
      <c r="O326" s="25"/>
      <c r="P326" s="26"/>
      <c r="Q326" s="12"/>
      <c r="R326" s="12"/>
      <c r="S326" s="13"/>
      <c r="T326" s="14"/>
      <c r="U326" s="15"/>
      <c r="V326" s="15"/>
      <c r="W326" s="15"/>
      <c r="X326" s="14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">
      <c r="A327" s="6"/>
      <c r="B327" s="6"/>
      <c r="C327" s="27"/>
      <c r="D327" s="28"/>
      <c r="E327" s="29"/>
      <c r="F327" s="26"/>
      <c r="G327" s="30"/>
      <c r="H327" s="26"/>
      <c r="I327" s="31"/>
      <c r="J327" s="26"/>
      <c r="K327" s="25"/>
      <c r="L327" s="25"/>
      <c r="M327" s="25"/>
      <c r="N327" s="25"/>
      <c r="O327" s="25"/>
      <c r="P327" s="26"/>
      <c r="Q327" s="12"/>
      <c r="R327" s="12"/>
      <c r="S327" s="13"/>
      <c r="T327" s="14"/>
      <c r="U327" s="15"/>
      <c r="V327" s="15"/>
      <c r="W327" s="15"/>
      <c r="X327" s="14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x14ac:dyDescent="0.2">
      <c r="A328" s="34"/>
      <c r="B328" s="34"/>
      <c r="C328" s="41"/>
      <c r="D328" s="28"/>
      <c r="E328" s="37"/>
      <c r="F328" s="38"/>
      <c r="G328" s="39"/>
      <c r="H328" s="38"/>
      <c r="I328" s="35"/>
      <c r="J328" s="38"/>
      <c r="K328" s="40"/>
      <c r="L328" s="40"/>
      <c r="M328" s="40"/>
      <c r="N328" s="40"/>
      <c r="O328" s="25"/>
      <c r="P328" s="26"/>
      <c r="Q328" s="12"/>
      <c r="R328" s="12"/>
      <c r="S328" s="13"/>
      <c r="T328" s="14"/>
      <c r="U328" s="15"/>
      <c r="V328" s="15"/>
      <c r="W328" s="15"/>
      <c r="X328" s="14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">
      <c r="A329" s="34"/>
      <c r="B329" s="34"/>
      <c r="C329" s="41"/>
      <c r="D329" s="28"/>
      <c r="E329" s="37"/>
      <c r="F329" s="38"/>
      <c r="G329" s="39"/>
      <c r="H329" s="38"/>
      <c r="I329" s="35"/>
      <c r="J329" s="38"/>
      <c r="K329" s="40"/>
      <c r="L329" s="40"/>
      <c r="M329" s="40"/>
      <c r="N329" s="40"/>
      <c r="O329" s="25"/>
      <c r="P329" s="26"/>
      <c r="Q329" s="12"/>
      <c r="R329" s="12"/>
      <c r="S329" s="13"/>
      <c r="T329" s="14"/>
      <c r="U329" s="15"/>
      <c r="V329" s="15"/>
      <c r="W329" s="15"/>
      <c r="X329" s="14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x14ac:dyDescent="0.2">
      <c r="A330" s="34"/>
      <c r="B330" s="34"/>
      <c r="C330" s="41"/>
      <c r="D330" s="28"/>
      <c r="E330" s="37"/>
      <c r="F330" s="38"/>
      <c r="G330" s="39"/>
      <c r="H330" s="38"/>
      <c r="I330" s="35"/>
      <c r="J330" s="38"/>
      <c r="K330" s="40"/>
      <c r="L330" s="40"/>
      <c r="M330" s="40"/>
      <c r="N330" s="40"/>
      <c r="O330" s="25"/>
      <c r="P330" s="26"/>
      <c r="Q330" s="12"/>
      <c r="R330" s="12"/>
      <c r="S330" s="13"/>
      <c r="T330" s="14"/>
      <c r="U330" s="15"/>
      <c r="V330" s="15"/>
      <c r="W330" s="15"/>
      <c r="X330" s="14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">
      <c r="A331" s="6"/>
      <c r="B331" s="6"/>
      <c r="C331" s="27"/>
      <c r="D331" s="28"/>
      <c r="E331" s="29"/>
      <c r="F331" s="26"/>
      <c r="G331" s="30"/>
      <c r="H331" s="26"/>
      <c r="I331" s="31"/>
      <c r="J331" s="26"/>
      <c r="K331" s="25"/>
      <c r="L331" s="25"/>
      <c r="M331" s="25"/>
      <c r="N331" s="25"/>
      <c r="O331" s="25"/>
      <c r="P331" s="26"/>
      <c r="Q331" s="12"/>
      <c r="R331" s="12"/>
      <c r="S331" s="13"/>
      <c r="T331" s="14"/>
      <c r="U331" s="15"/>
      <c r="V331" s="15"/>
      <c r="W331" s="15"/>
      <c r="X331" s="14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x14ac:dyDescent="0.2">
      <c r="A332" s="6"/>
      <c r="B332" s="6"/>
      <c r="C332" s="27"/>
      <c r="D332" s="28"/>
      <c r="E332" s="29"/>
      <c r="F332" s="26"/>
      <c r="G332" s="30"/>
      <c r="H332" s="26"/>
      <c r="I332" s="31"/>
      <c r="J332" s="26"/>
      <c r="K332" s="25"/>
      <c r="L332" s="25"/>
      <c r="M332" s="25"/>
      <c r="N332" s="25"/>
      <c r="O332" s="25"/>
      <c r="P332" s="26"/>
      <c r="Q332" s="12"/>
      <c r="R332" s="12"/>
      <c r="S332" s="13"/>
      <c r="T332" s="14"/>
      <c r="U332" s="15"/>
      <c r="V332" s="15"/>
      <c r="W332" s="15"/>
      <c r="X332" s="14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">
      <c r="A333" s="14"/>
      <c r="B333" s="14"/>
      <c r="C333" s="14"/>
      <c r="D333" s="14"/>
      <c r="E333" s="14"/>
      <c r="F333" s="14"/>
      <c r="G333" s="14"/>
      <c r="H333" s="14"/>
      <c r="I333" s="61"/>
      <c r="J333" s="16"/>
      <c r="K333" s="13"/>
      <c r="L333" s="13"/>
      <c r="M333" s="13"/>
      <c r="N333" s="13"/>
      <c r="O333" s="13"/>
      <c r="P333" s="16"/>
      <c r="Q333" s="16"/>
      <c r="R333" s="16"/>
      <c r="S333" s="13"/>
      <c r="T333" s="14"/>
      <c r="U333" s="15"/>
      <c r="V333" s="15"/>
      <c r="W333" s="16"/>
      <c r="X333" s="14"/>
      <c r="Y333" s="16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6"/>
    </row>
    <row r="334" spans="1:36" x14ac:dyDescent="0.2">
      <c r="A334" s="6"/>
      <c r="B334" s="6"/>
      <c r="C334" s="27"/>
      <c r="D334" s="28"/>
      <c r="E334" s="29"/>
      <c r="F334" s="26"/>
      <c r="G334" s="30"/>
      <c r="H334" s="26"/>
      <c r="I334" s="31"/>
      <c r="J334" s="26"/>
      <c r="K334" s="25"/>
      <c r="L334" s="25"/>
      <c r="M334" s="25"/>
      <c r="N334" s="25"/>
      <c r="O334" s="25"/>
      <c r="P334" s="26"/>
      <c r="Q334" s="12"/>
      <c r="R334" s="12"/>
      <c r="S334" s="13"/>
      <c r="T334" s="14"/>
      <c r="U334" s="15"/>
      <c r="V334" s="15"/>
      <c r="W334" s="16"/>
      <c r="X334" s="14"/>
      <c r="Y334" s="16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6"/>
    </row>
    <row r="335" spans="1:36" x14ac:dyDescent="0.2">
      <c r="A335" s="6"/>
      <c r="B335" s="6"/>
      <c r="C335" s="27"/>
      <c r="D335" s="28"/>
      <c r="E335" s="29"/>
      <c r="F335" s="26"/>
      <c r="G335" s="30"/>
      <c r="H335" s="26"/>
      <c r="I335" s="31"/>
      <c r="J335" s="26"/>
      <c r="K335" s="25"/>
      <c r="L335" s="25"/>
      <c r="M335" s="25"/>
      <c r="N335" s="25"/>
      <c r="O335" s="25"/>
      <c r="P335" s="26"/>
      <c r="Q335" s="12"/>
      <c r="R335" s="12"/>
      <c r="S335" s="13"/>
      <c r="T335" s="14"/>
      <c r="U335" s="15"/>
      <c r="V335" s="15"/>
      <c r="W335" s="16"/>
      <c r="X335" s="14"/>
      <c r="Y335" s="16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6"/>
    </row>
    <row r="336" spans="1:36" ht="13.5" thickBot="1" x14ac:dyDescent="0.25">
      <c r="A336" s="17"/>
      <c r="B336" s="6"/>
      <c r="C336" s="27"/>
      <c r="D336" s="28"/>
      <c r="E336" s="29"/>
      <c r="F336" s="26"/>
      <c r="G336" s="30"/>
      <c r="H336" s="26"/>
      <c r="I336" s="31"/>
      <c r="J336" s="26"/>
      <c r="K336" s="25"/>
      <c r="L336" s="25"/>
      <c r="M336" s="25"/>
      <c r="N336" s="25"/>
      <c r="O336" s="25"/>
      <c r="P336" s="26"/>
      <c r="Q336" s="12"/>
      <c r="R336" s="12"/>
      <c r="S336" s="13"/>
      <c r="T336" s="14"/>
      <c r="U336" s="15"/>
      <c r="V336" s="15"/>
      <c r="W336" s="16"/>
      <c r="X336" s="14"/>
      <c r="Y336" s="16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6"/>
    </row>
    <row r="337" spans="1:36" x14ac:dyDescent="0.2">
      <c r="A337" s="18"/>
      <c r="B337" s="18"/>
      <c r="C337" s="32"/>
      <c r="D337" s="19"/>
      <c r="E337" s="20"/>
      <c r="F337" s="21"/>
      <c r="G337" s="22"/>
      <c r="H337" s="21"/>
      <c r="I337" s="23"/>
      <c r="J337" s="21"/>
      <c r="K337" s="24"/>
      <c r="L337" s="24"/>
      <c r="M337" s="24"/>
      <c r="N337" s="24"/>
      <c r="O337" s="25"/>
      <c r="P337" s="26"/>
      <c r="Q337" s="12"/>
      <c r="R337" s="12"/>
      <c r="S337" s="13"/>
      <c r="T337" s="14"/>
      <c r="U337" s="15"/>
      <c r="V337" s="15"/>
      <c r="W337" s="16"/>
      <c r="X337" s="14"/>
      <c r="Y337" s="16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6"/>
    </row>
    <row r="338" spans="1:36" x14ac:dyDescent="0.2">
      <c r="A338" s="34"/>
      <c r="B338" s="34"/>
      <c r="C338" s="41"/>
      <c r="D338" s="28"/>
      <c r="E338" s="37"/>
      <c r="F338" s="38"/>
      <c r="G338" s="39"/>
      <c r="H338" s="38"/>
      <c r="I338" s="35"/>
      <c r="J338" s="38"/>
      <c r="K338" s="40"/>
      <c r="L338" s="40"/>
      <c r="M338" s="40"/>
      <c r="N338" s="40"/>
      <c r="O338" s="25"/>
      <c r="P338" s="26"/>
      <c r="Q338" s="12"/>
      <c r="R338" s="12"/>
      <c r="S338" s="13"/>
      <c r="T338" s="14"/>
      <c r="U338" s="15"/>
      <c r="V338" s="15"/>
      <c r="W338" s="16"/>
      <c r="X338" s="14"/>
      <c r="Y338" s="16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6"/>
    </row>
    <row r="339" spans="1:36" x14ac:dyDescent="0.2">
      <c r="A339" s="6"/>
      <c r="B339" s="34"/>
      <c r="C339" s="41"/>
      <c r="D339" s="28"/>
      <c r="E339" s="37"/>
      <c r="F339" s="38"/>
      <c r="G339" s="39"/>
      <c r="H339" s="38"/>
      <c r="I339" s="35"/>
      <c r="J339" s="38"/>
      <c r="K339" s="40"/>
      <c r="L339" s="40"/>
      <c r="M339" s="40"/>
      <c r="N339" s="40"/>
      <c r="O339" s="25"/>
      <c r="P339" s="26"/>
      <c r="Q339" s="12"/>
      <c r="R339" s="12"/>
      <c r="S339" s="13"/>
      <c r="T339" s="14"/>
      <c r="U339" s="15"/>
      <c r="V339" s="15"/>
      <c r="W339" s="16"/>
      <c r="X339" s="14"/>
      <c r="Y339" s="16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6"/>
    </row>
    <row r="340" spans="1:36" x14ac:dyDescent="0.2">
      <c r="A340" s="6"/>
      <c r="B340" s="34"/>
      <c r="C340" s="41"/>
      <c r="D340" s="28"/>
      <c r="E340" s="37"/>
      <c r="F340" s="38"/>
      <c r="G340" s="39"/>
      <c r="H340" s="38"/>
      <c r="I340" s="35"/>
      <c r="J340" s="38"/>
      <c r="K340" s="40"/>
      <c r="L340" s="40"/>
      <c r="M340" s="40"/>
      <c r="N340" s="40"/>
      <c r="O340" s="25"/>
      <c r="P340" s="26"/>
      <c r="Q340" s="12"/>
      <c r="R340" s="12"/>
      <c r="S340" s="13"/>
      <c r="T340" s="14"/>
      <c r="U340" s="15"/>
      <c r="V340" s="15"/>
      <c r="W340" s="16"/>
      <c r="X340" s="14"/>
      <c r="Y340" s="16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6"/>
    </row>
    <row r="341" spans="1:36" x14ac:dyDescent="0.2">
      <c r="A341" s="14"/>
      <c r="B341" s="14"/>
      <c r="C341" s="14"/>
      <c r="D341" s="14"/>
      <c r="E341" s="62"/>
      <c r="F341" s="63"/>
      <c r="G341" s="16"/>
      <c r="H341" s="14"/>
      <c r="I341" s="61"/>
      <c r="J341" s="16"/>
      <c r="K341" s="13"/>
      <c r="L341" s="13"/>
      <c r="M341" s="13"/>
      <c r="N341" s="13"/>
      <c r="O341" s="13"/>
      <c r="P341" s="16"/>
      <c r="Q341" s="16"/>
      <c r="R341" s="16"/>
      <c r="S341" s="13"/>
      <c r="T341" s="14"/>
      <c r="U341" s="15"/>
      <c r="V341" s="15"/>
      <c r="W341" s="16"/>
      <c r="X341" s="14"/>
      <c r="Y341" s="16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6"/>
    </row>
    <row r="342" spans="1:36" x14ac:dyDescent="0.2">
      <c r="A342" s="14"/>
      <c r="B342" s="14"/>
      <c r="C342" s="14"/>
      <c r="D342" s="14"/>
      <c r="E342" s="14"/>
      <c r="F342" s="14"/>
      <c r="G342" s="14"/>
      <c r="H342" s="14"/>
      <c r="I342" s="61"/>
      <c r="J342" s="16"/>
      <c r="K342" s="13"/>
      <c r="L342" s="13"/>
      <c r="M342" s="13"/>
      <c r="N342" s="13"/>
      <c r="O342" s="13"/>
      <c r="P342" s="16"/>
      <c r="Q342" s="16"/>
      <c r="R342" s="16"/>
      <c r="S342" s="13"/>
      <c r="T342" s="14"/>
      <c r="U342" s="15"/>
      <c r="V342" s="15"/>
      <c r="W342" s="16"/>
      <c r="X342" s="14"/>
      <c r="Y342" s="16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6"/>
    </row>
    <row r="343" spans="1:36" x14ac:dyDescent="0.2">
      <c r="A343" s="14"/>
      <c r="B343" s="14"/>
      <c r="C343" s="14"/>
      <c r="D343" s="14"/>
      <c r="E343" s="14"/>
      <c r="F343" s="14"/>
      <c r="G343" s="14"/>
      <c r="H343" s="14"/>
      <c r="I343" s="61"/>
      <c r="J343" s="16"/>
      <c r="K343" s="13"/>
      <c r="L343" s="13"/>
      <c r="M343" s="13"/>
      <c r="N343" s="13"/>
      <c r="O343" s="13"/>
      <c r="P343" s="16"/>
      <c r="Q343" s="16"/>
      <c r="R343" s="16"/>
      <c r="S343" s="13"/>
      <c r="T343" s="14"/>
      <c r="U343" s="15"/>
      <c r="V343" s="15"/>
      <c r="W343" s="16"/>
      <c r="X343" s="14"/>
      <c r="Y343" s="16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6"/>
    </row>
    <row r="344" spans="1:36" x14ac:dyDescent="0.2">
      <c r="A344" s="14"/>
      <c r="B344" s="14"/>
      <c r="C344" s="14"/>
      <c r="D344" s="14"/>
      <c r="E344" s="14"/>
      <c r="F344" s="14"/>
      <c r="G344" s="14"/>
      <c r="H344" s="14"/>
      <c r="I344" s="61"/>
      <c r="J344" s="16"/>
      <c r="K344" s="13"/>
      <c r="L344" s="13"/>
      <c r="M344" s="13"/>
      <c r="N344" s="13"/>
      <c r="O344" s="13"/>
      <c r="P344" s="16"/>
      <c r="Q344" s="16"/>
      <c r="R344" s="16"/>
      <c r="S344" s="13"/>
      <c r="T344" s="14"/>
      <c r="U344" s="15"/>
      <c r="V344" s="15"/>
      <c r="W344" s="16"/>
      <c r="X344" s="14"/>
      <c r="Y344" s="16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6"/>
    </row>
    <row r="345" spans="1:36" x14ac:dyDescent="0.2">
      <c r="A345" s="34"/>
      <c r="B345" s="34"/>
      <c r="C345" s="41"/>
      <c r="D345" s="28"/>
      <c r="E345" s="37"/>
      <c r="F345" s="38"/>
      <c r="G345" s="39"/>
      <c r="H345" s="38"/>
      <c r="I345" s="35"/>
      <c r="J345" s="38"/>
      <c r="K345" s="40"/>
      <c r="L345" s="40"/>
      <c r="M345" s="40"/>
      <c r="N345" s="40"/>
      <c r="O345" s="25"/>
      <c r="P345" s="26"/>
      <c r="Q345" s="12"/>
      <c r="R345" s="12"/>
      <c r="S345" s="13"/>
      <c r="T345" s="14"/>
      <c r="U345" s="15"/>
      <c r="V345" s="15"/>
      <c r="W345" s="16"/>
      <c r="X345" s="14"/>
      <c r="Y345" s="16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6"/>
    </row>
    <row r="346" spans="1:36" x14ac:dyDescent="0.2">
      <c r="A346" s="6"/>
      <c r="B346" s="6"/>
      <c r="C346" s="27"/>
      <c r="D346" s="28"/>
      <c r="E346" s="29"/>
      <c r="F346" s="26"/>
      <c r="G346" s="30"/>
      <c r="H346" s="26"/>
      <c r="I346" s="31"/>
      <c r="J346" s="26"/>
      <c r="K346" s="25"/>
      <c r="L346" s="25"/>
      <c r="M346" s="25"/>
      <c r="N346" s="25"/>
      <c r="O346" s="25"/>
      <c r="P346" s="26"/>
      <c r="Q346" s="12"/>
      <c r="R346" s="12"/>
      <c r="S346" s="13"/>
      <c r="T346" s="14"/>
      <c r="U346" s="15"/>
      <c r="V346" s="15"/>
      <c r="W346" s="16"/>
      <c r="X346" s="14"/>
      <c r="Y346" s="16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6"/>
    </row>
    <row r="347" spans="1:36" x14ac:dyDescent="0.2">
      <c r="A347" s="34"/>
      <c r="B347" s="34"/>
      <c r="C347" s="41"/>
      <c r="D347" s="28"/>
      <c r="E347" s="37"/>
      <c r="F347" s="38"/>
      <c r="G347" s="39"/>
      <c r="H347" s="38"/>
      <c r="I347" s="35"/>
      <c r="J347" s="38"/>
      <c r="K347" s="40"/>
      <c r="L347" s="40"/>
      <c r="M347" s="40"/>
      <c r="N347" s="40"/>
      <c r="O347" s="25"/>
      <c r="P347" s="26"/>
      <c r="Q347" s="12"/>
      <c r="R347" s="12"/>
      <c r="S347" s="13"/>
      <c r="T347" s="14"/>
      <c r="U347" s="15"/>
      <c r="V347" s="15"/>
      <c r="W347" s="16"/>
      <c r="X347" s="14"/>
      <c r="Y347" s="16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6"/>
    </row>
    <row r="348" spans="1:36" x14ac:dyDescent="0.2">
      <c r="A348" s="6"/>
      <c r="B348" s="6"/>
      <c r="C348" s="27"/>
      <c r="D348" s="28"/>
      <c r="E348" s="37"/>
      <c r="F348" s="38"/>
      <c r="G348" s="30"/>
      <c r="H348" s="26"/>
      <c r="I348" s="35"/>
      <c r="J348" s="26"/>
      <c r="K348" s="25"/>
      <c r="L348" s="25"/>
      <c r="M348" s="25"/>
      <c r="N348" s="25"/>
      <c r="O348" s="25"/>
      <c r="P348" s="26"/>
      <c r="Q348" s="12"/>
      <c r="R348" s="12"/>
      <c r="S348" s="13"/>
      <c r="T348" s="14"/>
      <c r="U348" s="15"/>
      <c r="V348" s="15"/>
      <c r="W348" s="16"/>
      <c r="X348" s="14"/>
      <c r="Y348" s="16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6"/>
    </row>
    <row r="349" spans="1:36" x14ac:dyDescent="0.2">
      <c r="A349" s="6"/>
      <c r="B349" s="6"/>
      <c r="C349" s="27"/>
      <c r="D349" s="28"/>
      <c r="E349" s="37"/>
      <c r="F349" s="38"/>
      <c r="G349" s="30"/>
      <c r="H349" s="26"/>
      <c r="I349" s="35"/>
      <c r="J349" s="26"/>
      <c r="K349" s="25"/>
      <c r="L349" s="25"/>
      <c r="M349" s="25"/>
      <c r="N349" s="25"/>
      <c r="O349" s="25"/>
      <c r="P349" s="26"/>
      <c r="Q349" s="12"/>
      <c r="R349" s="12"/>
      <c r="S349" s="13"/>
      <c r="T349" s="14"/>
      <c r="U349" s="15"/>
      <c r="V349" s="15"/>
      <c r="W349" s="16"/>
      <c r="X349" s="14"/>
      <c r="Y349" s="16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6"/>
    </row>
    <row r="350" spans="1:36" x14ac:dyDescent="0.2">
      <c r="A350" s="6"/>
      <c r="B350" s="6"/>
      <c r="C350" s="27"/>
      <c r="D350" s="28"/>
      <c r="E350" s="37"/>
      <c r="F350" s="38"/>
      <c r="G350" s="30"/>
      <c r="H350" s="26"/>
      <c r="I350" s="35"/>
      <c r="J350" s="26"/>
      <c r="K350" s="25"/>
      <c r="L350" s="25"/>
      <c r="M350" s="25"/>
      <c r="N350" s="25"/>
      <c r="O350" s="25"/>
      <c r="P350" s="26"/>
      <c r="Q350" s="12"/>
      <c r="R350" s="12"/>
      <c r="S350" s="13"/>
      <c r="T350" s="14"/>
      <c r="U350" s="15"/>
      <c r="V350" s="15"/>
      <c r="W350" s="16"/>
      <c r="X350" s="14"/>
      <c r="Y350" s="16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6"/>
    </row>
    <row r="351" spans="1:36" x14ac:dyDescent="0.2">
      <c r="A351" s="6"/>
      <c r="B351" s="6"/>
      <c r="C351" s="27"/>
      <c r="D351" s="28"/>
      <c r="E351" s="37"/>
      <c r="F351" s="38"/>
      <c r="G351" s="30"/>
      <c r="H351" s="26"/>
      <c r="I351" s="35"/>
      <c r="J351" s="26"/>
      <c r="K351" s="25"/>
      <c r="L351" s="25"/>
      <c r="M351" s="25"/>
      <c r="N351" s="25"/>
      <c r="O351" s="25"/>
      <c r="P351" s="26"/>
      <c r="Q351" s="12"/>
      <c r="R351" s="12"/>
      <c r="S351" s="13"/>
      <c r="T351" s="14"/>
      <c r="U351" s="15"/>
      <c r="V351" s="15"/>
      <c r="W351" s="16"/>
      <c r="X351" s="14"/>
      <c r="Y351" s="16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6"/>
    </row>
    <row r="352" spans="1:36" x14ac:dyDescent="0.2">
      <c r="A352" s="6"/>
      <c r="B352" s="6"/>
      <c r="C352" s="27"/>
      <c r="D352" s="28"/>
      <c r="E352" s="37"/>
      <c r="F352" s="38"/>
      <c r="G352" s="30"/>
      <c r="H352" s="26"/>
      <c r="I352" s="35"/>
      <c r="J352" s="26"/>
      <c r="K352" s="25"/>
      <c r="L352" s="25"/>
      <c r="M352" s="25"/>
      <c r="N352" s="25"/>
      <c r="O352" s="25"/>
      <c r="P352" s="26"/>
      <c r="Q352" s="12"/>
      <c r="R352" s="12"/>
      <c r="S352" s="13"/>
      <c r="T352" s="14"/>
      <c r="U352" s="15"/>
      <c r="V352" s="15"/>
      <c r="W352" s="16"/>
      <c r="X352" s="14"/>
      <c r="Y352" s="16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6"/>
    </row>
    <row r="353" spans="1:36" x14ac:dyDescent="0.2">
      <c r="A353" s="6"/>
      <c r="B353" s="6"/>
      <c r="C353" s="27"/>
      <c r="D353" s="28"/>
      <c r="E353" s="37"/>
      <c r="F353" s="38"/>
      <c r="G353" s="30"/>
      <c r="H353" s="26"/>
      <c r="I353" s="35"/>
      <c r="J353" s="26"/>
      <c r="K353" s="25"/>
      <c r="L353" s="25"/>
      <c r="M353" s="25"/>
      <c r="N353" s="25"/>
      <c r="O353" s="25"/>
      <c r="P353" s="26"/>
      <c r="Q353" s="12"/>
      <c r="R353" s="12"/>
      <c r="S353" s="13"/>
      <c r="T353" s="14"/>
      <c r="U353" s="15"/>
      <c r="V353" s="15"/>
      <c r="W353" s="16"/>
      <c r="X353" s="14"/>
      <c r="Y353" s="16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6"/>
    </row>
    <row r="354" spans="1:36" x14ac:dyDescent="0.2">
      <c r="A354" s="6"/>
      <c r="B354" s="6"/>
      <c r="C354" s="27"/>
      <c r="D354" s="28"/>
      <c r="E354" s="37"/>
      <c r="F354" s="38"/>
      <c r="G354" s="30"/>
      <c r="H354" s="26"/>
      <c r="I354" s="35"/>
      <c r="J354" s="26"/>
      <c r="K354" s="25"/>
      <c r="L354" s="25"/>
      <c r="M354" s="25"/>
      <c r="N354" s="25"/>
      <c r="O354" s="25"/>
      <c r="P354" s="26"/>
      <c r="Q354" s="12"/>
      <c r="R354" s="12"/>
      <c r="S354" s="13"/>
      <c r="T354" s="14"/>
      <c r="U354" s="15"/>
      <c r="V354" s="15"/>
      <c r="W354" s="16"/>
      <c r="X354" s="14"/>
      <c r="Y354" s="16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6"/>
    </row>
    <row r="355" spans="1:36" x14ac:dyDescent="0.2">
      <c r="A355" s="14"/>
      <c r="B355" s="14"/>
      <c r="C355" s="14"/>
      <c r="D355" s="14"/>
      <c r="E355" s="14"/>
      <c r="F355" s="14"/>
      <c r="G355" s="14"/>
      <c r="H355" s="14"/>
      <c r="I355" s="61"/>
      <c r="J355" s="16"/>
      <c r="K355" s="13"/>
      <c r="L355" s="13"/>
      <c r="M355" s="13"/>
      <c r="N355" s="13"/>
      <c r="O355" s="13"/>
      <c r="P355" s="16"/>
      <c r="Q355" s="16"/>
      <c r="R355" s="16"/>
      <c r="S355" s="13"/>
      <c r="T355" s="14"/>
      <c r="U355" s="15"/>
      <c r="V355" s="15"/>
      <c r="W355" s="16"/>
      <c r="X355" s="14"/>
      <c r="Y355" s="16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6"/>
    </row>
    <row r="356" spans="1:36" x14ac:dyDescent="0.2">
      <c r="A356" s="64"/>
      <c r="B356" s="64"/>
      <c r="C356" s="65"/>
      <c r="D356" s="66"/>
      <c r="E356" s="67"/>
      <c r="F356" s="68"/>
      <c r="G356" s="69"/>
      <c r="H356" s="68"/>
      <c r="I356" s="70"/>
      <c r="J356" s="68"/>
      <c r="K356" s="71"/>
      <c r="L356" s="71"/>
      <c r="M356" s="71"/>
      <c r="N356" s="71"/>
      <c r="O356" s="71"/>
      <c r="P356" s="68"/>
      <c r="Q356" s="68"/>
      <c r="R356" s="68"/>
      <c r="S356" s="13"/>
      <c r="T356" s="14"/>
      <c r="U356" s="15"/>
      <c r="V356" s="15"/>
      <c r="W356" s="16"/>
      <c r="X356" s="14"/>
      <c r="Y356" s="16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6"/>
    </row>
    <row r="357" spans="1:36" x14ac:dyDescent="0.2">
      <c r="A357" s="6"/>
      <c r="B357" s="34"/>
      <c r="C357" s="41"/>
      <c r="D357" s="36"/>
      <c r="E357" s="38"/>
      <c r="F357" s="37"/>
      <c r="G357" s="39"/>
      <c r="H357" s="38"/>
      <c r="I357" s="35"/>
      <c r="J357" s="38"/>
      <c r="K357" s="40"/>
      <c r="L357" s="40"/>
      <c r="M357" s="40"/>
      <c r="N357" s="40"/>
      <c r="O357" s="25"/>
      <c r="P357" s="26"/>
      <c r="Q357" s="12"/>
      <c r="R357" s="12"/>
      <c r="S357" s="13"/>
      <c r="T357" s="14"/>
      <c r="U357" s="15"/>
      <c r="V357" s="15"/>
      <c r="W357" s="16"/>
      <c r="X357" s="14"/>
      <c r="Y357" s="16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6"/>
    </row>
    <row r="358" spans="1:36" x14ac:dyDescent="0.2">
      <c r="A358" s="6"/>
      <c r="B358" s="34"/>
      <c r="C358" s="41"/>
      <c r="D358" s="36"/>
      <c r="E358" s="38"/>
      <c r="F358" s="37"/>
      <c r="G358" s="39"/>
      <c r="H358" s="38"/>
      <c r="I358" s="35"/>
      <c r="J358" s="38"/>
      <c r="K358" s="40"/>
      <c r="L358" s="40"/>
      <c r="M358" s="40"/>
      <c r="N358" s="40"/>
      <c r="O358" s="25"/>
      <c r="P358" s="26"/>
      <c r="Q358" s="12"/>
      <c r="R358" s="12"/>
      <c r="S358" s="13"/>
      <c r="T358" s="14"/>
      <c r="U358" s="15"/>
      <c r="V358" s="15"/>
      <c r="W358" s="16"/>
      <c r="X358" s="14"/>
      <c r="Y358" s="16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6"/>
    </row>
    <row r="359" spans="1:36" x14ac:dyDescent="0.2">
      <c r="A359" s="6"/>
      <c r="B359" s="34"/>
      <c r="C359" s="41"/>
      <c r="D359" s="36"/>
      <c r="E359" s="38"/>
      <c r="F359" s="37"/>
      <c r="G359" s="39"/>
      <c r="H359" s="38"/>
      <c r="I359" s="35"/>
      <c r="J359" s="38"/>
      <c r="K359" s="40"/>
      <c r="L359" s="40"/>
      <c r="M359" s="40"/>
      <c r="N359" s="40"/>
      <c r="O359" s="25"/>
      <c r="P359" s="26"/>
      <c r="Q359" s="12"/>
      <c r="R359" s="12"/>
      <c r="S359" s="13"/>
      <c r="T359" s="14"/>
      <c r="U359" s="15"/>
      <c r="V359" s="15"/>
      <c r="W359" s="16"/>
      <c r="X359" s="14"/>
      <c r="Y359" s="16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6"/>
    </row>
    <row r="360" spans="1:36" x14ac:dyDescent="0.2">
      <c r="A360" s="6"/>
      <c r="B360" s="34"/>
      <c r="C360" s="41"/>
      <c r="D360" s="36"/>
      <c r="E360" s="38"/>
      <c r="F360" s="37"/>
      <c r="G360" s="39"/>
      <c r="H360" s="38"/>
      <c r="I360" s="35"/>
      <c r="J360" s="38"/>
      <c r="K360" s="40"/>
      <c r="L360" s="40"/>
      <c r="M360" s="40"/>
      <c r="N360" s="40"/>
      <c r="O360" s="25"/>
      <c r="P360" s="26"/>
      <c r="Q360" s="12"/>
      <c r="R360" s="12"/>
      <c r="S360" s="13"/>
      <c r="T360" s="14"/>
      <c r="U360" s="15"/>
      <c r="V360" s="15"/>
      <c r="W360" s="16"/>
      <c r="X360" s="14"/>
      <c r="Y360" s="16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6"/>
    </row>
    <row r="361" spans="1:36" x14ac:dyDescent="0.2">
      <c r="A361" s="14"/>
      <c r="B361" s="14"/>
      <c r="C361" s="14"/>
      <c r="D361" s="72"/>
      <c r="E361" s="73"/>
      <c r="F361" s="16"/>
      <c r="G361" s="74"/>
      <c r="H361" s="16"/>
      <c r="I361" s="61"/>
      <c r="J361" s="16"/>
      <c r="K361" s="13"/>
      <c r="L361" s="13"/>
      <c r="M361" s="13"/>
      <c r="N361" s="13"/>
      <c r="O361" s="13"/>
      <c r="P361" s="16"/>
      <c r="Q361" s="16"/>
      <c r="R361" s="16"/>
      <c r="S361" s="13"/>
      <c r="T361" s="14"/>
      <c r="U361" s="15"/>
      <c r="V361" s="15"/>
      <c r="W361" s="16"/>
      <c r="X361" s="14"/>
      <c r="Y361" s="16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6"/>
    </row>
    <row r="362" spans="1:36" x14ac:dyDescent="0.2">
      <c r="A362" s="6"/>
      <c r="B362" s="34"/>
      <c r="C362" s="41"/>
      <c r="D362" s="36"/>
      <c r="E362" s="38"/>
      <c r="F362" s="37"/>
      <c r="G362" s="39"/>
      <c r="H362" s="38"/>
      <c r="I362" s="35"/>
      <c r="J362" s="38"/>
      <c r="K362" s="40"/>
      <c r="L362" s="40"/>
      <c r="M362" s="40"/>
      <c r="N362" s="40"/>
      <c r="O362" s="25"/>
      <c r="P362" s="26"/>
      <c r="Q362" s="12"/>
      <c r="R362" s="12"/>
      <c r="S362" s="13"/>
      <c r="T362" s="14"/>
      <c r="U362" s="15"/>
      <c r="V362" s="15"/>
      <c r="W362" s="16"/>
      <c r="X362" s="14"/>
      <c r="Y362" s="16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6"/>
    </row>
    <row r="363" spans="1:36" x14ac:dyDescent="0.2">
      <c r="A363" s="6"/>
      <c r="B363" s="34"/>
      <c r="C363" s="41"/>
      <c r="D363" s="36"/>
      <c r="E363" s="38"/>
      <c r="F363" s="37"/>
      <c r="G363" s="39"/>
      <c r="H363" s="38"/>
      <c r="I363" s="35"/>
      <c r="J363" s="38"/>
      <c r="K363" s="40"/>
      <c r="L363" s="40"/>
      <c r="M363" s="40"/>
      <c r="N363" s="40"/>
      <c r="O363" s="25"/>
      <c r="P363" s="26"/>
      <c r="Q363" s="12"/>
      <c r="R363" s="12"/>
      <c r="S363" s="13"/>
      <c r="T363" s="14"/>
      <c r="U363" s="15"/>
      <c r="V363" s="15"/>
      <c r="W363" s="16"/>
      <c r="X363" s="14"/>
      <c r="Y363" s="16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6"/>
    </row>
    <row r="364" spans="1:36" x14ac:dyDescent="0.2">
      <c r="A364" s="6"/>
      <c r="B364" s="34"/>
      <c r="C364" s="41"/>
      <c r="D364" s="36"/>
      <c r="E364" s="38"/>
      <c r="F364" s="37"/>
      <c r="G364" s="39"/>
      <c r="H364" s="38"/>
      <c r="I364" s="35"/>
      <c r="J364" s="38"/>
      <c r="K364" s="40"/>
      <c r="L364" s="40"/>
      <c r="M364" s="40"/>
      <c r="N364" s="40"/>
      <c r="O364" s="25"/>
      <c r="P364" s="26"/>
      <c r="Q364" s="12"/>
      <c r="R364" s="12"/>
      <c r="S364" s="13"/>
      <c r="T364" s="14"/>
      <c r="U364" s="15"/>
      <c r="V364" s="15"/>
      <c r="W364" s="16"/>
      <c r="X364" s="14"/>
      <c r="Y364" s="16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6"/>
    </row>
    <row r="365" spans="1:36" x14ac:dyDescent="0.2">
      <c r="A365" s="6"/>
      <c r="B365" s="34"/>
      <c r="C365" s="41"/>
      <c r="D365" s="36"/>
      <c r="E365" s="38"/>
      <c r="F365" s="37"/>
      <c r="G365" s="39"/>
      <c r="H365" s="38"/>
      <c r="I365" s="35"/>
      <c r="J365" s="38"/>
      <c r="K365" s="40"/>
      <c r="L365" s="40"/>
      <c r="M365" s="40"/>
      <c r="N365" s="40"/>
      <c r="O365" s="25"/>
      <c r="P365" s="26"/>
      <c r="Q365" s="12"/>
      <c r="R365" s="12"/>
      <c r="S365" s="13"/>
      <c r="T365" s="14"/>
      <c r="U365" s="15"/>
      <c r="V365" s="15"/>
      <c r="W365" s="16"/>
      <c r="X365" s="14"/>
      <c r="Y365" s="16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6"/>
    </row>
    <row r="366" spans="1:36" x14ac:dyDescent="0.2">
      <c r="A366" s="6"/>
      <c r="B366" s="6"/>
      <c r="C366" s="6"/>
      <c r="D366" s="75"/>
      <c r="E366" s="12"/>
      <c r="F366" s="76"/>
      <c r="G366" s="48"/>
      <c r="H366" s="12"/>
      <c r="I366" s="49"/>
      <c r="J366" s="12"/>
      <c r="K366" s="47"/>
      <c r="L366" s="47"/>
      <c r="M366" s="47"/>
      <c r="N366" s="47"/>
      <c r="O366" s="47"/>
      <c r="P366" s="12"/>
      <c r="Q366" s="12"/>
      <c r="R366" s="12"/>
      <c r="S366" s="13"/>
      <c r="T366" s="14"/>
      <c r="U366" s="13"/>
      <c r="V366" s="15"/>
      <c r="W366" s="13"/>
      <c r="X366" s="16"/>
      <c r="Y366" s="13"/>
      <c r="Z366" s="13"/>
      <c r="AA366" s="77"/>
      <c r="AB366" s="77"/>
      <c r="AC366" s="77"/>
      <c r="AD366" s="77"/>
      <c r="AE366" s="77"/>
      <c r="AF366" s="77"/>
      <c r="AG366" s="77"/>
      <c r="AH366" s="77"/>
      <c r="AI366" s="77"/>
      <c r="AJ366" s="16"/>
    </row>
    <row r="367" spans="1:36" x14ac:dyDescent="0.2">
      <c r="A367" s="6"/>
      <c r="B367" s="6"/>
      <c r="C367" s="6"/>
      <c r="D367" s="75"/>
      <c r="E367" s="12"/>
      <c r="F367" s="76"/>
      <c r="G367" s="48"/>
      <c r="H367" s="12"/>
      <c r="I367" s="49"/>
      <c r="J367" s="12"/>
      <c r="K367" s="47"/>
      <c r="L367" s="47"/>
      <c r="M367" s="47"/>
      <c r="N367" s="47"/>
      <c r="O367" s="47"/>
      <c r="P367" s="12"/>
      <c r="Q367" s="12"/>
      <c r="R367" s="47"/>
      <c r="S367" s="13"/>
      <c r="T367" s="16"/>
      <c r="U367" s="13"/>
      <c r="V367" s="13"/>
      <c r="W367" s="13"/>
      <c r="X367" s="16"/>
      <c r="Y367" s="13"/>
      <c r="Z367" s="13"/>
      <c r="AA367" s="13"/>
      <c r="AB367" s="13"/>
      <c r="AC367" s="13"/>
      <c r="AD367" s="13"/>
      <c r="AE367" s="14"/>
      <c r="AF367" s="13"/>
      <c r="AG367" s="14"/>
      <c r="AH367" s="13"/>
      <c r="AI367" s="14"/>
      <c r="AJ367" s="78"/>
    </row>
    <row r="368" spans="1:36" x14ac:dyDescent="0.2">
      <c r="A368" s="6"/>
      <c r="B368" s="6"/>
      <c r="C368" s="6"/>
      <c r="D368" s="75"/>
      <c r="E368" s="12"/>
      <c r="F368" s="76"/>
      <c r="G368" s="48"/>
      <c r="H368" s="12"/>
      <c r="I368" s="49"/>
      <c r="J368" s="12"/>
      <c r="K368" s="47"/>
      <c r="L368" s="47"/>
      <c r="M368" s="47"/>
      <c r="N368" s="47"/>
      <c r="O368" s="47"/>
      <c r="P368" s="12"/>
      <c r="Q368" s="12"/>
      <c r="R368" s="13"/>
      <c r="S368" s="47"/>
      <c r="T368" s="16"/>
      <c r="U368" s="13"/>
      <c r="V368" s="13"/>
      <c r="W368" s="13"/>
      <c r="X368" s="16"/>
      <c r="Y368" s="13"/>
      <c r="Z368" s="13"/>
      <c r="AA368" s="13"/>
      <c r="AB368" s="13"/>
      <c r="AC368" s="13"/>
      <c r="AD368" s="13"/>
      <c r="AE368" s="14"/>
      <c r="AF368" s="13"/>
      <c r="AG368" s="14"/>
      <c r="AH368" s="13"/>
      <c r="AI368" s="14"/>
      <c r="AJ368" s="78"/>
    </row>
    <row r="369" spans="1:36" x14ac:dyDescent="0.2">
      <c r="A369" s="6"/>
      <c r="B369" s="6"/>
      <c r="C369" s="6"/>
      <c r="D369" s="75"/>
      <c r="E369" s="12"/>
      <c r="F369" s="76"/>
      <c r="G369" s="48"/>
      <c r="H369" s="12"/>
      <c r="I369" s="49"/>
      <c r="J369" s="12"/>
      <c r="K369" s="47"/>
      <c r="L369" s="47"/>
      <c r="M369" s="47"/>
      <c r="N369" s="47"/>
      <c r="O369" s="47"/>
      <c r="P369" s="12"/>
      <c r="Q369" s="12"/>
      <c r="R369" s="16"/>
      <c r="S369" s="47"/>
      <c r="T369" s="16"/>
      <c r="U369" s="13"/>
      <c r="V369" s="13"/>
      <c r="W369" s="13"/>
      <c r="X369" s="16"/>
      <c r="Y369" s="13"/>
      <c r="Z369" s="13"/>
      <c r="AA369" s="13"/>
      <c r="AB369" s="13"/>
      <c r="AC369" s="13"/>
      <c r="AD369" s="13"/>
      <c r="AE369" s="14"/>
      <c r="AF369" s="13"/>
      <c r="AG369" s="14"/>
      <c r="AH369" s="13"/>
      <c r="AI369" s="14"/>
      <c r="AJ369" s="78"/>
    </row>
    <row r="370" spans="1:36" x14ac:dyDescent="0.2">
      <c r="A370" s="14"/>
      <c r="B370" s="14"/>
      <c r="C370" s="14"/>
      <c r="D370" s="72"/>
      <c r="E370" s="73"/>
      <c r="F370" s="16"/>
      <c r="G370" s="74"/>
      <c r="H370" s="16"/>
      <c r="I370" s="61"/>
      <c r="J370" s="16"/>
      <c r="K370" s="13"/>
      <c r="L370" s="13"/>
      <c r="M370" s="13"/>
      <c r="N370" s="13"/>
      <c r="O370" s="13"/>
      <c r="P370" s="16"/>
      <c r="Q370" s="16"/>
      <c r="R370" s="13"/>
      <c r="S370" s="13"/>
      <c r="T370" s="14"/>
      <c r="U370" s="15"/>
      <c r="V370" s="15"/>
      <c r="W370" s="16"/>
      <c r="X370" s="14"/>
      <c r="Y370" s="13"/>
      <c r="Z370" s="14"/>
      <c r="AA370" s="77"/>
      <c r="AB370" s="77"/>
      <c r="AC370" s="14"/>
      <c r="AD370" s="14"/>
      <c r="AE370" s="14"/>
      <c r="AF370" s="14"/>
      <c r="AG370" s="14"/>
      <c r="AH370" s="14"/>
      <c r="AI370" s="14"/>
      <c r="AJ370" s="16"/>
    </row>
    <row r="371" spans="1:36" x14ac:dyDescent="0.2">
      <c r="A371" s="14"/>
      <c r="B371" s="14"/>
      <c r="C371" s="14"/>
      <c r="D371" s="72"/>
      <c r="E371" s="73"/>
      <c r="F371" s="16"/>
      <c r="G371" s="74"/>
      <c r="H371" s="16"/>
      <c r="I371" s="61"/>
      <c r="J371" s="16"/>
      <c r="K371" s="13"/>
      <c r="L371" s="13"/>
      <c r="M371" s="13"/>
      <c r="N371" s="13"/>
      <c r="O371" s="13"/>
      <c r="P371" s="16"/>
      <c r="Q371" s="16"/>
      <c r="R371" s="16"/>
      <c r="S371" s="13"/>
      <c r="T371" s="14"/>
      <c r="U371" s="15"/>
      <c r="V371" s="15"/>
      <c r="W371" s="16"/>
      <c r="X371" s="14"/>
      <c r="Y371" s="16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3"/>
    </row>
    <row r="372" spans="1:36" x14ac:dyDescent="0.2">
      <c r="A372" s="14"/>
      <c r="B372" s="14"/>
      <c r="C372" s="14"/>
      <c r="D372" s="72"/>
      <c r="E372" s="73"/>
      <c r="F372" s="16"/>
      <c r="G372" s="74"/>
      <c r="H372" s="16"/>
      <c r="I372" s="61"/>
      <c r="J372" s="16"/>
      <c r="K372" s="13"/>
      <c r="L372" s="13"/>
      <c r="M372" s="13"/>
      <c r="N372" s="13"/>
      <c r="O372" s="13"/>
      <c r="P372" s="16"/>
      <c r="Q372" s="16"/>
      <c r="R372" s="16"/>
      <c r="S372" s="13"/>
      <c r="T372" s="14"/>
      <c r="U372" s="15"/>
      <c r="V372" s="15"/>
      <c r="W372" s="16"/>
      <c r="X372" s="14"/>
      <c r="Y372" s="16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3"/>
    </row>
    <row r="373" spans="1:36" x14ac:dyDescent="0.2">
      <c r="A373" s="14"/>
      <c r="B373" s="14"/>
      <c r="C373" s="14"/>
      <c r="D373" s="72"/>
      <c r="E373" s="73"/>
      <c r="F373" s="16"/>
      <c r="G373" s="74"/>
      <c r="H373" s="16"/>
      <c r="I373" s="61"/>
      <c r="J373" s="16"/>
      <c r="K373" s="13"/>
      <c r="L373" s="13"/>
      <c r="M373" s="13"/>
      <c r="N373" s="13"/>
      <c r="O373" s="13"/>
      <c r="P373" s="16"/>
      <c r="Q373" s="14"/>
      <c r="R373" s="16"/>
      <c r="S373" s="13"/>
      <c r="T373" s="14"/>
      <c r="U373" s="15"/>
      <c r="V373" s="15"/>
      <c r="W373" s="16"/>
      <c r="X373" s="14"/>
      <c r="Y373" s="16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3"/>
    </row>
    <row r="374" spans="1:36" x14ac:dyDescent="0.2">
      <c r="A374" s="14"/>
      <c r="B374" s="14"/>
      <c r="C374" s="14"/>
      <c r="D374" s="72"/>
      <c r="E374" s="73"/>
      <c r="F374" s="16"/>
      <c r="G374" s="74"/>
      <c r="H374" s="16"/>
      <c r="I374" s="61"/>
      <c r="J374" s="16"/>
      <c r="K374" s="13"/>
      <c r="L374" s="13"/>
      <c r="M374" s="13"/>
      <c r="N374" s="13"/>
      <c r="O374" s="13"/>
      <c r="P374" s="16"/>
      <c r="Q374" s="14"/>
      <c r="R374" s="16"/>
      <c r="S374" s="13"/>
      <c r="T374" s="14"/>
      <c r="U374" s="15"/>
      <c r="V374" s="15"/>
      <c r="W374" s="16"/>
      <c r="X374" s="14"/>
      <c r="Y374" s="16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3"/>
    </row>
    <row r="375" spans="1:36" x14ac:dyDescent="0.2">
      <c r="A375" s="14"/>
      <c r="B375" s="14"/>
      <c r="C375" s="14"/>
      <c r="D375" s="72"/>
      <c r="E375" s="73"/>
      <c r="F375" s="16"/>
      <c r="G375" s="74"/>
      <c r="H375" s="16"/>
      <c r="I375" s="61"/>
      <c r="J375" s="16"/>
      <c r="K375" s="13"/>
      <c r="L375" s="13"/>
      <c r="M375" s="13"/>
      <c r="N375" s="13"/>
      <c r="O375" s="13"/>
      <c r="P375" s="16"/>
      <c r="Q375" s="14"/>
      <c r="R375" s="16"/>
      <c r="S375" s="13"/>
      <c r="T375" s="14"/>
      <c r="U375" s="15"/>
      <c r="V375" s="15"/>
      <c r="W375" s="16"/>
      <c r="X375" s="14"/>
      <c r="Y375" s="16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3"/>
    </row>
    <row r="376" spans="1:36" x14ac:dyDescent="0.2">
      <c r="A376" s="14"/>
      <c r="B376" s="14"/>
      <c r="C376" s="14"/>
      <c r="D376" s="72"/>
      <c r="E376" s="73"/>
      <c r="F376" s="16"/>
      <c r="G376" s="74"/>
      <c r="H376" s="16"/>
      <c r="I376" s="61"/>
      <c r="J376" s="16"/>
      <c r="K376" s="13"/>
      <c r="L376" s="13"/>
      <c r="M376" s="13"/>
      <c r="N376" s="13"/>
      <c r="O376" s="13"/>
      <c r="P376" s="16"/>
      <c r="Q376" s="14"/>
      <c r="R376" s="16"/>
      <c r="S376" s="13"/>
      <c r="T376" s="14"/>
      <c r="U376" s="15"/>
      <c r="V376" s="15"/>
      <c r="W376" s="16"/>
      <c r="X376" s="14"/>
      <c r="Y376" s="16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3"/>
    </row>
    <row r="377" spans="1:36" x14ac:dyDescent="0.2">
      <c r="A377" s="14"/>
      <c r="B377" s="14"/>
      <c r="C377" s="14"/>
      <c r="D377" s="72"/>
      <c r="E377" s="73"/>
      <c r="F377" s="16"/>
      <c r="G377" s="74"/>
      <c r="H377" s="16"/>
      <c r="I377" s="61"/>
      <c r="J377" s="16"/>
      <c r="K377" s="13"/>
      <c r="L377" s="13"/>
      <c r="M377" s="13"/>
      <c r="N377" s="13"/>
      <c r="O377" s="13"/>
      <c r="P377" s="16"/>
      <c r="Q377" s="14"/>
      <c r="R377" s="16"/>
      <c r="S377" s="13"/>
      <c r="T377" s="14"/>
      <c r="U377" s="15"/>
      <c r="V377" s="15"/>
      <c r="W377" s="16"/>
      <c r="X377" s="14"/>
      <c r="Y377" s="16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6"/>
    </row>
    <row r="378" spans="1:36" x14ac:dyDescent="0.2">
      <c r="A378" s="14"/>
      <c r="B378" s="14"/>
      <c r="C378" s="14"/>
      <c r="D378" s="72"/>
      <c r="E378" s="73"/>
      <c r="F378" s="16"/>
      <c r="G378" s="74"/>
      <c r="H378" s="16"/>
      <c r="I378" s="61"/>
      <c r="J378" s="16"/>
      <c r="K378" s="13"/>
      <c r="L378" s="13"/>
      <c r="M378" s="13"/>
      <c r="N378" s="13"/>
      <c r="O378" s="13"/>
      <c r="P378" s="16"/>
      <c r="Q378" s="14"/>
      <c r="R378" s="16"/>
      <c r="S378" s="13"/>
      <c r="T378" s="14"/>
      <c r="U378" s="15"/>
      <c r="V378" s="15"/>
      <c r="W378" s="16"/>
      <c r="X378" s="14"/>
      <c r="Y378" s="16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6"/>
    </row>
    <row r="379" spans="1:36" x14ac:dyDescent="0.2">
      <c r="A379" s="14"/>
      <c r="B379" s="14"/>
      <c r="C379" s="14"/>
      <c r="D379" s="72"/>
      <c r="E379" s="73"/>
      <c r="F379" s="16"/>
      <c r="G379" s="74"/>
      <c r="H379" s="16"/>
      <c r="I379" s="61"/>
      <c r="J379" s="16"/>
      <c r="K379" s="13"/>
      <c r="L379" s="13"/>
      <c r="M379" s="13"/>
      <c r="N379" s="13"/>
      <c r="O379" s="13"/>
      <c r="P379" s="16"/>
      <c r="Q379" s="14"/>
      <c r="R379" s="16"/>
      <c r="S379" s="13"/>
      <c r="T379" s="14"/>
      <c r="U379" s="15"/>
      <c r="V379" s="15"/>
      <c r="W379" s="16"/>
      <c r="X379" s="14"/>
      <c r="Y379" s="16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6"/>
    </row>
    <row r="380" spans="1:36" x14ac:dyDescent="0.2">
      <c r="A380" s="14"/>
      <c r="B380" s="14"/>
      <c r="C380" s="14"/>
      <c r="D380" s="72"/>
      <c r="E380" s="73"/>
      <c r="F380" s="16"/>
      <c r="G380" s="74"/>
      <c r="H380" s="16"/>
      <c r="I380" s="61"/>
      <c r="J380" s="16"/>
      <c r="K380" s="13"/>
      <c r="L380" s="13"/>
      <c r="M380" s="13"/>
      <c r="N380" s="13"/>
      <c r="O380" s="13"/>
      <c r="P380" s="16"/>
      <c r="Q380" s="14"/>
      <c r="R380" s="16"/>
      <c r="S380" s="13"/>
      <c r="T380" s="14"/>
      <c r="U380" s="15"/>
      <c r="V380" s="15"/>
      <c r="W380" s="16"/>
      <c r="X380" s="14"/>
      <c r="Y380" s="16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6"/>
    </row>
    <row r="381" spans="1:36" x14ac:dyDescent="0.2">
      <c r="A381" s="14"/>
      <c r="B381" s="14"/>
      <c r="C381" s="14"/>
      <c r="D381" s="72"/>
      <c r="E381" s="73"/>
      <c r="F381" s="16"/>
      <c r="G381" s="74"/>
      <c r="H381" s="16"/>
      <c r="I381" s="61"/>
      <c r="J381" s="16"/>
      <c r="K381" s="13"/>
      <c r="L381" s="13"/>
      <c r="M381" s="13"/>
      <c r="N381" s="13"/>
      <c r="O381" s="13"/>
      <c r="P381" s="16"/>
      <c r="Q381" s="14"/>
      <c r="R381" s="16"/>
      <c r="S381" s="13"/>
      <c r="T381" s="14"/>
      <c r="U381" s="15"/>
      <c r="V381" s="15"/>
      <c r="W381" s="16"/>
      <c r="X381" s="14"/>
      <c r="Y381" s="16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6"/>
    </row>
    <row r="382" spans="1:36" x14ac:dyDescent="0.2">
      <c r="A382" s="14"/>
      <c r="B382" s="14"/>
      <c r="C382" s="14"/>
      <c r="D382" s="72"/>
      <c r="E382" s="73"/>
      <c r="F382" s="16"/>
      <c r="G382" s="74"/>
      <c r="H382" s="16"/>
      <c r="I382" s="61"/>
      <c r="J382" s="16"/>
      <c r="K382" s="13"/>
      <c r="L382" s="13"/>
      <c r="M382" s="13"/>
      <c r="N382" s="13"/>
      <c r="O382" s="13"/>
      <c r="P382" s="16"/>
      <c r="Q382" s="14"/>
      <c r="R382" s="16"/>
      <c r="S382" s="13"/>
      <c r="T382" s="14"/>
      <c r="U382" s="15"/>
      <c r="V382" s="15"/>
      <c r="W382" s="16"/>
      <c r="X382" s="14"/>
      <c r="Y382" s="16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6"/>
    </row>
    <row r="383" spans="1:36" x14ac:dyDescent="0.2">
      <c r="A383" s="14"/>
      <c r="B383" s="14"/>
      <c r="C383" s="14"/>
      <c r="D383" s="72"/>
      <c r="E383" s="73"/>
      <c r="F383" s="16"/>
      <c r="G383" s="74"/>
      <c r="H383" s="16"/>
      <c r="I383" s="61"/>
      <c r="J383" s="16"/>
      <c r="K383" s="13"/>
      <c r="L383" s="13"/>
      <c r="M383" s="13"/>
      <c r="N383" s="13"/>
      <c r="O383" s="13"/>
      <c r="P383" s="16"/>
      <c r="Q383" s="14"/>
      <c r="R383" s="16"/>
      <c r="S383" s="13"/>
      <c r="T383" s="14"/>
      <c r="U383" s="15"/>
      <c r="V383" s="15"/>
      <c r="W383" s="16"/>
      <c r="X383" s="14"/>
      <c r="Y383" s="16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6"/>
    </row>
    <row r="384" spans="1:36" x14ac:dyDescent="0.2">
      <c r="A384" s="14"/>
      <c r="B384" s="14"/>
      <c r="C384" s="14"/>
      <c r="D384" s="72"/>
      <c r="E384" s="73"/>
      <c r="F384" s="16"/>
      <c r="G384" s="74"/>
      <c r="H384" s="16"/>
      <c r="I384" s="61"/>
      <c r="J384" s="16"/>
      <c r="K384" s="13"/>
      <c r="L384" s="13"/>
      <c r="M384" s="13"/>
      <c r="N384" s="13"/>
      <c r="O384" s="13"/>
      <c r="P384" s="16"/>
      <c r="Q384" s="14"/>
      <c r="R384" s="16"/>
      <c r="S384" s="13"/>
      <c r="T384" s="14"/>
      <c r="U384" s="15"/>
      <c r="V384" s="15"/>
      <c r="W384" s="16"/>
      <c r="X384" s="14"/>
      <c r="Y384" s="16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6"/>
    </row>
    <row r="385" spans="1:36" x14ac:dyDescent="0.2">
      <c r="A385" s="14"/>
      <c r="B385" s="14"/>
      <c r="C385" s="14"/>
      <c r="D385" s="72"/>
      <c r="E385" s="73"/>
      <c r="F385" s="16"/>
      <c r="G385" s="74"/>
      <c r="H385" s="16"/>
      <c r="I385" s="61"/>
      <c r="J385" s="16"/>
      <c r="K385" s="13"/>
      <c r="L385" s="13"/>
      <c r="M385" s="13"/>
      <c r="N385" s="13"/>
      <c r="O385" s="13"/>
      <c r="P385" s="16"/>
      <c r="Q385" s="14"/>
      <c r="R385" s="16"/>
      <c r="S385" s="13"/>
      <c r="T385" s="14"/>
      <c r="U385" s="15"/>
      <c r="V385" s="15"/>
      <c r="W385" s="16"/>
      <c r="X385" s="14"/>
      <c r="Y385" s="16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6"/>
    </row>
    <row r="386" spans="1:36" x14ac:dyDescent="0.2">
      <c r="A386" s="14"/>
      <c r="B386" s="14"/>
      <c r="C386" s="14"/>
      <c r="D386" s="72"/>
      <c r="E386" s="73"/>
      <c r="F386" s="16"/>
      <c r="G386" s="74"/>
      <c r="H386" s="16"/>
      <c r="I386" s="61"/>
      <c r="J386" s="16"/>
      <c r="K386" s="13"/>
      <c r="L386" s="13"/>
      <c r="M386" s="13"/>
      <c r="N386" s="13"/>
      <c r="O386" s="13"/>
      <c r="P386" s="16"/>
      <c r="Q386" s="14"/>
      <c r="R386" s="16"/>
      <c r="S386" s="13"/>
      <c r="T386" s="14"/>
      <c r="U386" s="15"/>
      <c r="V386" s="15"/>
      <c r="W386" s="16"/>
      <c r="X386" s="14"/>
      <c r="Y386" s="16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6"/>
    </row>
    <row r="387" spans="1:36" x14ac:dyDescent="0.2">
      <c r="A387" s="14"/>
      <c r="B387" s="14"/>
      <c r="C387" s="14"/>
      <c r="D387" s="72"/>
      <c r="E387" s="73"/>
      <c r="F387" s="16"/>
      <c r="G387" s="74"/>
      <c r="H387" s="16"/>
      <c r="I387" s="61"/>
      <c r="J387" s="16"/>
      <c r="K387" s="13"/>
      <c r="L387" s="13"/>
      <c r="M387" s="13"/>
      <c r="N387" s="13"/>
      <c r="O387" s="13"/>
      <c r="P387" s="16"/>
      <c r="Q387" s="14"/>
      <c r="R387" s="16"/>
      <c r="S387" s="13"/>
      <c r="T387" s="14"/>
      <c r="U387" s="15"/>
      <c r="V387" s="15"/>
      <c r="W387" s="16"/>
      <c r="X387" s="14"/>
      <c r="Y387" s="16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6"/>
    </row>
    <row r="388" spans="1:36" x14ac:dyDescent="0.2">
      <c r="A388" s="14"/>
      <c r="B388" s="14"/>
      <c r="C388" s="14"/>
      <c r="D388" s="72"/>
      <c r="E388" s="73"/>
      <c r="F388" s="16"/>
      <c r="G388" s="74"/>
      <c r="H388" s="16"/>
      <c r="I388" s="61"/>
      <c r="J388" s="16"/>
      <c r="K388" s="13"/>
      <c r="L388" s="13"/>
      <c r="M388" s="13"/>
      <c r="N388" s="13"/>
      <c r="O388" s="13"/>
      <c r="P388" s="16"/>
      <c r="Q388" s="14"/>
      <c r="R388" s="16"/>
      <c r="S388" s="13"/>
      <c r="T388" s="14"/>
      <c r="U388" s="15"/>
      <c r="V388" s="15"/>
      <c r="W388" s="16"/>
      <c r="X388" s="14"/>
      <c r="Y388" s="16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6"/>
    </row>
    <row r="389" spans="1:36" x14ac:dyDescent="0.2">
      <c r="A389" s="14"/>
      <c r="B389" s="14"/>
      <c r="C389" s="14"/>
      <c r="D389" s="72"/>
      <c r="E389" s="73"/>
      <c r="F389" s="16"/>
      <c r="G389" s="74"/>
      <c r="H389" s="16"/>
      <c r="I389" s="61"/>
      <c r="J389" s="16"/>
      <c r="K389" s="13"/>
      <c r="L389" s="13"/>
      <c r="M389" s="13"/>
      <c r="N389" s="13"/>
      <c r="O389" s="13"/>
      <c r="P389" s="16"/>
      <c r="Q389" s="14"/>
      <c r="R389" s="16"/>
      <c r="S389" s="13"/>
      <c r="T389" s="14"/>
      <c r="U389" s="15"/>
      <c r="V389" s="15"/>
      <c r="W389" s="16"/>
      <c r="X389" s="14"/>
      <c r="Y389" s="16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6"/>
    </row>
    <row r="390" spans="1:36" x14ac:dyDescent="0.2">
      <c r="A390" s="14"/>
      <c r="B390" s="14"/>
      <c r="C390" s="14"/>
      <c r="D390" s="72"/>
      <c r="E390" s="73"/>
      <c r="F390" s="16"/>
      <c r="G390" s="74"/>
      <c r="H390" s="16"/>
      <c r="I390" s="61"/>
      <c r="J390" s="16"/>
      <c r="K390" s="13"/>
      <c r="L390" s="13"/>
      <c r="M390" s="13"/>
      <c r="N390" s="13"/>
      <c r="O390" s="13"/>
      <c r="P390" s="16"/>
      <c r="Q390" s="14"/>
      <c r="R390" s="16"/>
      <c r="S390" s="13"/>
      <c r="T390" s="14"/>
      <c r="U390" s="15"/>
      <c r="V390" s="15"/>
      <c r="W390" s="16"/>
      <c r="X390" s="14"/>
      <c r="Y390" s="16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6"/>
    </row>
    <row r="391" spans="1:36" x14ac:dyDescent="0.2">
      <c r="A391" s="14"/>
      <c r="B391" s="14"/>
      <c r="C391" s="14"/>
      <c r="D391" s="72"/>
      <c r="E391" s="73"/>
      <c r="F391" s="16"/>
      <c r="G391" s="74"/>
      <c r="H391" s="16"/>
      <c r="I391" s="61"/>
      <c r="J391" s="16"/>
      <c r="K391" s="13"/>
      <c r="L391" s="13"/>
      <c r="M391" s="13"/>
      <c r="N391" s="13"/>
      <c r="O391" s="13"/>
      <c r="P391" s="16"/>
      <c r="Q391" s="14"/>
      <c r="R391" s="16"/>
      <c r="S391" s="13"/>
      <c r="T391" s="14"/>
      <c r="U391" s="15"/>
      <c r="V391" s="15"/>
      <c r="W391" s="16"/>
      <c r="X391" s="14"/>
      <c r="Y391" s="16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6"/>
    </row>
    <row r="392" spans="1:36" x14ac:dyDescent="0.2">
      <c r="A392" s="14"/>
      <c r="B392" s="14"/>
      <c r="C392" s="14"/>
      <c r="D392" s="72"/>
      <c r="E392" s="73"/>
      <c r="F392" s="16"/>
      <c r="G392" s="74"/>
      <c r="H392" s="16"/>
      <c r="I392" s="61"/>
      <c r="J392" s="16"/>
      <c r="K392" s="13"/>
      <c r="L392" s="13"/>
      <c r="M392" s="13"/>
      <c r="N392" s="13"/>
      <c r="O392" s="13"/>
      <c r="P392" s="16"/>
      <c r="Q392" s="14"/>
      <c r="R392" s="16"/>
      <c r="S392" s="13"/>
      <c r="T392" s="14"/>
      <c r="U392" s="15"/>
      <c r="V392" s="15"/>
      <c r="W392" s="16"/>
      <c r="X392" s="14"/>
      <c r="Y392" s="16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6"/>
    </row>
    <row r="393" spans="1:36" x14ac:dyDescent="0.2">
      <c r="A393" s="14"/>
      <c r="B393" s="14"/>
      <c r="C393" s="14"/>
      <c r="D393" s="72"/>
      <c r="E393" s="73"/>
      <c r="F393" s="16"/>
      <c r="G393" s="74"/>
      <c r="H393" s="16"/>
      <c r="I393" s="61"/>
      <c r="J393" s="16"/>
      <c r="K393" s="13"/>
      <c r="L393" s="13"/>
      <c r="M393" s="13"/>
      <c r="N393" s="13"/>
      <c r="O393" s="13"/>
      <c r="P393" s="16"/>
      <c r="Q393" s="14"/>
      <c r="R393" s="16"/>
      <c r="S393" s="13"/>
      <c r="T393" s="14"/>
      <c r="U393" s="15"/>
      <c r="V393" s="15"/>
      <c r="W393" s="16"/>
      <c r="X393" s="14"/>
      <c r="Y393" s="16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6"/>
    </row>
    <row r="394" spans="1:36" x14ac:dyDescent="0.2">
      <c r="A394" s="14"/>
      <c r="B394" s="14"/>
      <c r="C394" s="14"/>
      <c r="D394" s="72"/>
      <c r="E394" s="73"/>
      <c r="F394" s="16"/>
      <c r="G394" s="74"/>
      <c r="H394" s="16"/>
      <c r="I394" s="61"/>
      <c r="J394" s="16"/>
      <c r="K394" s="13"/>
      <c r="L394" s="13"/>
      <c r="M394" s="13"/>
      <c r="N394" s="13"/>
      <c r="O394" s="13"/>
      <c r="P394" s="16"/>
      <c r="Q394" s="14"/>
      <c r="R394" s="16"/>
      <c r="S394" s="13"/>
      <c r="T394" s="14"/>
      <c r="U394" s="15"/>
      <c r="V394" s="15"/>
      <c r="W394" s="16"/>
      <c r="X394" s="14"/>
      <c r="Y394" s="16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6"/>
    </row>
    <row r="395" spans="1:36" x14ac:dyDescent="0.2">
      <c r="A395" s="14"/>
      <c r="B395" s="14"/>
      <c r="C395" s="14"/>
      <c r="D395" s="72"/>
      <c r="E395" s="73"/>
      <c r="F395" s="16"/>
      <c r="G395" s="74"/>
      <c r="H395" s="16"/>
      <c r="I395" s="61"/>
      <c r="J395" s="16"/>
      <c r="K395" s="13"/>
      <c r="L395" s="13"/>
      <c r="M395" s="13"/>
      <c r="N395" s="13"/>
      <c r="O395" s="13"/>
      <c r="P395" s="16"/>
      <c r="Q395" s="14"/>
      <c r="R395" s="16"/>
      <c r="S395" s="13"/>
      <c r="T395" s="14"/>
      <c r="U395" s="15"/>
      <c r="V395" s="15"/>
      <c r="W395" s="16"/>
      <c r="X395" s="14"/>
      <c r="Y395" s="16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6"/>
    </row>
    <row r="396" spans="1:36" x14ac:dyDescent="0.2">
      <c r="A396" s="14"/>
      <c r="B396" s="14"/>
      <c r="C396" s="14"/>
      <c r="D396" s="72"/>
      <c r="E396" s="73"/>
      <c r="F396" s="16"/>
      <c r="G396" s="74"/>
      <c r="H396" s="16"/>
      <c r="I396" s="61"/>
      <c r="J396" s="16"/>
      <c r="K396" s="13"/>
      <c r="L396" s="13"/>
      <c r="M396" s="13"/>
      <c r="N396" s="13"/>
      <c r="O396" s="13"/>
      <c r="P396" s="16"/>
      <c r="Q396" s="14"/>
      <c r="R396" s="16"/>
      <c r="S396" s="13"/>
      <c r="T396" s="14"/>
      <c r="U396" s="15"/>
      <c r="V396" s="15"/>
      <c r="W396" s="16"/>
      <c r="X396" s="14"/>
      <c r="Y396" s="16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6"/>
    </row>
    <row r="397" spans="1:36" x14ac:dyDescent="0.2">
      <c r="A397" s="14"/>
      <c r="B397" s="14"/>
      <c r="C397" s="14"/>
      <c r="D397" s="72"/>
      <c r="E397" s="73"/>
      <c r="F397" s="16"/>
      <c r="G397" s="74"/>
      <c r="H397" s="16"/>
      <c r="I397" s="61"/>
      <c r="J397" s="16"/>
      <c r="K397" s="13"/>
      <c r="L397" s="13"/>
      <c r="M397" s="13"/>
      <c r="N397" s="13"/>
      <c r="O397" s="13"/>
      <c r="P397" s="16"/>
      <c r="Q397" s="14"/>
      <c r="R397" s="16"/>
      <c r="S397" s="13"/>
      <c r="T397" s="14"/>
      <c r="U397" s="15"/>
      <c r="V397" s="15"/>
      <c r="W397" s="16"/>
      <c r="X397" s="14"/>
      <c r="Y397" s="16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6"/>
    </row>
    <row r="398" spans="1:36" x14ac:dyDescent="0.2">
      <c r="A398" s="14"/>
      <c r="B398" s="14"/>
      <c r="C398" s="14"/>
      <c r="D398" s="72"/>
      <c r="E398" s="73"/>
      <c r="F398" s="16"/>
      <c r="G398" s="74"/>
      <c r="H398" s="16"/>
      <c r="I398" s="61"/>
      <c r="J398" s="16"/>
      <c r="K398" s="13"/>
      <c r="L398" s="13"/>
      <c r="M398" s="13"/>
      <c r="N398" s="13"/>
      <c r="O398" s="13"/>
      <c r="P398" s="16"/>
      <c r="Q398" s="14"/>
      <c r="R398" s="16"/>
      <c r="S398" s="13"/>
      <c r="T398" s="14"/>
      <c r="U398" s="15"/>
      <c r="V398" s="15"/>
      <c r="W398" s="16"/>
      <c r="X398" s="14"/>
      <c r="Y398" s="16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6"/>
    </row>
    <row r="399" spans="1:36" x14ac:dyDescent="0.2">
      <c r="A399" s="14"/>
      <c r="B399" s="14"/>
      <c r="C399" s="14"/>
      <c r="D399" s="72"/>
      <c r="E399" s="73"/>
      <c r="F399" s="16"/>
      <c r="G399" s="74"/>
      <c r="H399" s="16"/>
      <c r="I399" s="61"/>
      <c r="J399" s="16"/>
      <c r="K399" s="13"/>
      <c r="L399" s="13"/>
      <c r="M399" s="13"/>
      <c r="N399" s="13"/>
      <c r="O399" s="13"/>
      <c r="P399" s="16"/>
      <c r="Q399" s="14"/>
      <c r="R399" s="16"/>
      <c r="S399" s="13"/>
      <c r="T399" s="14"/>
      <c r="U399" s="15"/>
      <c r="V399" s="15"/>
      <c r="W399" s="16"/>
      <c r="X399" s="14"/>
      <c r="Y399" s="16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6"/>
    </row>
    <row r="400" spans="1:36" x14ac:dyDescent="0.2">
      <c r="A400" s="14"/>
      <c r="B400" s="14"/>
      <c r="C400" s="14"/>
      <c r="D400" s="72"/>
      <c r="E400" s="73"/>
      <c r="F400" s="16"/>
      <c r="G400" s="74"/>
      <c r="H400" s="16"/>
      <c r="I400" s="61"/>
      <c r="J400" s="16"/>
      <c r="K400" s="13"/>
      <c r="L400" s="13"/>
      <c r="M400" s="13"/>
      <c r="N400" s="13"/>
      <c r="O400" s="13"/>
      <c r="P400" s="16"/>
      <c r="Q400" s="14"/>
      <c r="R400" s="16"/>
      <c r="S400" s="13"/>
      <c r="T400" s="14"/>
      <c r="U400" s="15"/>
      <c r="V400" s="15"/>
      <c r="W400" s="16"/>
      <c r="X400" s="14"/>
      <c r="Y400" s="16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6"/>
    </row>
    <row r="401" spans="1:36" x14ac:dyDescent="0.2">
      <c r="A401" s="14"/>
      <c r="B401" s="14"/>
      <c r="C401" s="14"/>
      <c r="D401" s="72"/>
      <c r="E401" s="73"/>
      <c r="F401" s="16"/>
      <c r="G401" s="74"/>
      <c r="H401" s="16"/>
      <c r="I401" s="61"/>
      <c r="J401" s="16"/>
      <c r="K401" s="13"/>
      <c r="L401" s="13"/>
      <c r="M401" s="13"/>
      <c r="N401" s="13"/>
      <c r="O401" s="13"/>
      <c r="P401" s="16"/>
      <c r="Q401" s="14"/>
      <c r="R401" s="16"/>
      <c r="S401" s="13"/>
      <c r="T401" s="14"/>
      <c r="U401" s="15"/>
      <c r="V401" s="15"/>
      <c r="W401" s="16"/>
      <c r="X401" s="14"/>
      <c r="Y401" s="16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6"/>
    </row>
    <row r="402" spans="1:36" x14ac:dyDescent="0.2">
      <c r="A402" s="14"/>
      <c r="B402" s="14"/>
      <c r="C402" s="14"/>
      <c r="D402" s="72"/>
      <c r="E402" s="73"/>
      <c r="F402" s="16"/>
      <c r="G402" s="74"/>
      <c r="H402" s="16"/>
      <c r="I402" s="61"/>
      <c r="J402" s="16"/>
      <c r="K402" s="13"/>
      <c r="L402" s="13"/>
      <c r="M402" s="13"/>
      <c r="N402" s="13"/>
      <c r="O402" s="13"/>
      <c r="P402" s="16"/>
      <c r="Q402" s="14"/>
      <c r="R402" s="16"/>
      <c r="S402" s="13"/>
      <c r="T402" s="14"/>
      <c r="U402" s="15"/>
      <c r="V402" s="15"/>
      <c r="W402" s="16"/>
      <c r="X402" s="14"/>
      <c r="Y402" s="16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6"/>
    </row>
    <row r="403" spans="1:36" x14ac:dyDescent="0.2">
      <c r="A403" s="14"/>
      <c r="B403" s="14"/>
      <c r="C403" s="14"/>
      <c r="D403" s="72"/>
      <c r="E403" s="73"/>
      <c r="F403" s="16"/>
      <c r="G403" s="74"/>
      <c r="H403" s="16"/>
      <c r="I403" s="61"/>
      <c r="J403" s="16"/>
      <c r="K403" s="13"/>
      <c r="L403" s="13"/>
      <c r="M403" s="13"/>
      <c r="N403" s="13"/>
      <c r="O403" s="13"/>
      <c r="P403" s="16"/>
      <c r="Q403" s="14"/>
      <c r="R403" s="16"/>
      <c r="S403" s="13"/>
      <c r="T403" s="14"/>
      <c r="U403" s="15"/>
      <c r="V403" s="15"/>
      <c r="W403" s="16"/>
      <c r="X403" s="14"/>
      <c r="Y403" s="16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6"/>
    </row>
    <row r="404" spans="1:36" x14ac:dyDescent="0.2">
      <c r="A404" s="14"/>
      <c r="B404" s="14"/>
      <c r="C404" s="14"/>
      <c r="D404" s="72"/>
      <c r="E404" s="73"/>
      <c r="F404" s="16"/>
      <c r="G404" s="74"/>
      <c r="H404" s="16"/>
      <c r="I404" s="61"/>
      <c r="J404" s="16"/>
      <c r="K404" s="13"/>
      <c r="L404" s="13"/>
      <c r="M404" s="13"/>
      <c r="N404" s="13"/>
      <c r="O404" s="13"/>
      <c r="P404" s="16"/>
      <c r="Q404" s="14"/>
      <c r="R404" s="16"/>
      <c r="S404" s="13"/>
      <c r="T404" s="14"/>
      <c r="U404" s="15"/>
      <c r="V404" s="15"/>
      <c r="W404" s="16"/>
      <c r="X404" s="14"/>
      <c r="Y404" s="16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6"/>
    </row>
    <row r="405" spans="1:36" x14ac:dyDescent="0.2">
      <c r="A405" s="14"/>
      <c r="B405" s="14"/>
      <c r="C405" s="14"/>
      <c r="D405" s="72"/>
      <c r="E405" s="73"/>
      <c r="F405" s="16"/>
      <c r="G405" s="74"/>
      <c r="H405" s="16"/>
      <c r="I405" s="61"/>
      <c r="J405" s="16"/>
      <c r="K405" s="13"/>
      <c r="L405" s="13"/>
      <c r="M405" s="13"/>
      <c r="N405" s="13"/>
      <c r="O405" s="13"/>
      <c r="P405" s="16"/>
      <c r="Q405" s="14"/>
      <c r="R405" s="16"/>
      <c r="S405" s="13"/>
      <c r="T405" s="14"/>
      <c r="U405" s="15"/>
      <c r="V405" s="15"/>
      <c r="W405" s="16"/>
      <c r="X405" s="14"/>
      <c r="Y405" s="16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6"/>
    </row>
    <row r="406" spans="1:36" x14ac:dyDescent="0.2">
      <c r="A406" s="14"/>
      <c r="B406" s="14"/>
      <c r="C406" s="14"/>
      <c r="D406" s="72"/>
      <c r="E406" s="73"/>
      <c r="F406" s="16"/>
      <c r="G406" s="74"/>
      <c r="H406" s="16"/>
      <c r="I406" s="61"/>
      <c r="J406" s="16"/>
      <c r="K406" s="13"/>
      <c r="L406" s="13"/>
      <c r="M406" s="13"/>
      <c r="N406" s="13"/>
      <c r="O406" s="13"/>
      <c r="P406" s="16"/>
      <c r="Q406" s="14"/>
      <c r="R406" s="16"/>
      <c r="S406" s="13"/>
      <c r="T406" s="14"/>
      <c r="U406" s="15"/>
      <c r="V406" s="15"/>
      <c r="W406" s="16"/>
      <c r="X406" s="14"/>
      <c r="Y406" s="16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6"/>
    </row>
    <row r="407" spans="1:36" x14ac:dyDescent="0.2">
      <c r="A407" s="14"/>
      <c r="B407" s="14"/>
      <c r="C407" s="14"/>
      <c r="D407" s="72"/>
      <c r="E407" s="73"/>
      <c r="F407" s="16"/>
      <c r="G407" s="74"/>
      <c r="H407" s="16"/>
      <c r="I407" s="61"/>
      <c r="J407" s="16"/>
      <c r="K407" s="13"/>
      <c r="L407" s="13"/>
      <c r="M407" s="13"/>
      <c r="N407" s="13"/>
      <c r="O407" s="13"/>
      <c r="P407" s="16"/>
      <c r="Q407" s="14"/>
      <c r="R407" s="16"/>
      <c r="S407" s="13"/>
      <c r="T407" s="14"/>
      <c r="U407" s="15"/>
      <c r="V407" s="15"/>
      <c r="W407" s="16"/>
      <c r="X407" s="14"/>
      <c r="Y407" s="16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6"/>
    </row>
    <row r="408" spans="1:36" x14ac:dyDescent="0.2">
      <c r="A408" s="14"/>
      <c r="B408" s="14"/>
      <c r="C408" s="14"/>
      <c r="D408" s="72"/>
      <c r="E408" s="73"/>
      <c r="F408" s="16"/>
      <c r="G408" s="74"/>
      <c r="H408" s="16"/>
      <c r="I408" s="61"/>
      <c r="J408" s="16"/>
      <c r="K408" s="13"/>
      <c r="L408" s="13"/>
      <c r="M408" s="13"/>
      <c r="N408" s="13"/>
      <c r="O408" s="13"/>
      <c r="P408" s="16"/>
      <c r="Q408" s="14"/>
      <c r="R408" s="16"/>
      <c r="S408" s="13"/>
      <c r="T408" s="14"/>
      <c r="U408" s="15"/>
      <c r="V408" s="15"/>
      <c r="W408" s="16"/>
      <c r="X408" s="14"/>
      <c r="Y408" s="16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6"/>
    </row>
    <row r="409" spans="1:36" x14ac:dyDescent="0.2">
      <c r="A409" s="14"/>
      <c r="B409" s="14"/>
      <c r="C409" s="14"/>
      <c r="D409" s="72"/>
      <c r="E409" s="73"/>
      <c r="F409" s="16"/>
      <c r="G409" s="74"/>
      <c r="H409" s="16"/>
      <c r="I409" s="61"/>
      <c r="J409" s="16"/>
      <c r="K409" s="13"/>
      <c r="L409" s="13"/>
      <c r="M409" s="13"/>
      <c r="N409" s="13"/>
      <c r="O409" s="13"/>
      <c r="P409" s="16"/>
      <c r="Q409" s="14"/>
      <c r="R409" s="16"/>
      <c r="S409" s="13"/>
      <c r="T409" s="14"/>
      <c r="U409" s="15"/>
      <c r="V409" s="15"/>
      <c r="W409" s="16"/>
      <c r="X409" s="14"/>
      <c r="Y409" s="16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0"/>
  <sheetViews>
    <sheetView workbookViewId="0">
      <selection activeCell="E150" sqref="E150"/>
    </sheetView>
  </sheetViews>
  <sheetFormatPr defaultRowHeight="12.75" x14ac:dyDescent="0.2"/>
  <cols>
    <col min="1" max="1" width="20.28515625" customWidth="1"/>
    <col min="2" max="2" width="15.28515625" customWidth="1"/>
    <col min="3" max="3" width="13.5703125" customWidth="1"/>
    <col min="4" max="4" width="11.140625" customWidth="1"/>
    <col min="5" max="5" width="15.7109375" customWidth="1"/>
  </cols>
  <sheetData>
    <row r="1" spans="1:6" ht="25.5" x14ac:dyDescent="0.2">
      <c r="A1" s="1" t="s">
        <v>830</v>
      </c>
      <c r="B1" s="1" t="s">
        <v>323</v>
      </c>
      <c r="C1" s="1" t="s">
        <v>324</v>
      </c>
      <c r="D1" s="178">
        <v>38108</v>
      </c>
      <c r="E1" s="1" t="s">
        <v>325</v>
      </c>
      <c r="F1" s="1"/>
    </row>
    <row r="2" spans="1:6" x14ac:dyDescent="0.2">
      <c r="A2" t="s">
        <v>326</v>
      </c>
      <c r="B2">
        <v>2835</v>
      </c>
      <c r="C2">
        <v>7</v>
      </c>
      <c r="D2">
        <v>252</v>
      </c>
      <c r="E2">
        <v>333</v>
      </c>
    </row>
    <row r="3" spans="1:6" x14ac:dyDescent="0.2">
      <c r="A3" t="s">
        <v>326</v>
      </c>
      <c r="B3">
        <v>2835</v>
      </c>
      <c r="C3">
        <v>8</v>
      </c>
      <c r="D3">
        <v>53</v>
      </c>
      <c r="E3">
        <v>70</v>
      </c>
    </row>
    <row r="4" spans="1:6" x14ac:dyDescent="0.2">
      <c r="A4" t="s">
        <v>326</v>
      </c>
      <c r="B4">
        <v>2835</v>
      </c>
      <c r="C4">
        <v>9</v>
      </c>
      <c r="D4">
        <v>50</v>
      </c>
      <c r="E4">
        <v>66</v>
      </c>
    </row>
    <row r="5" spans="1:6" x14ac:dyDescent="0.2">
      <c r="A5" t="s">
        <v>326</v>
      </c>
      <c r="B5">
        <v>2835</v>
      </c>
      <c r="C5">
        <v>10</v>
      </c>
      <c r="D5">
        <v>57</v>
      </c>
      <c r="E5">
        <v>75</v>
      </c>
    </row>
    <row r="6" spans="1:6" x14ac:dyDescent="0.2">
      <c r="A6" t="s">
        <v>326</v>
      </c>
      <c r="B6">
        <v>2835</v>
      </c>
      <c r="C6">
        <v>11</v>
      </c>
      <c r="D6">
        <v>60</v>
      </c>
      <c r="E6">
        <v>80</v>
      </c>
    </row>
    <row r="7" spans="1:6" x14ac:dyDescent="0.2">
      <c r="A7" t="s">
        <v>327</v>
      </c>
      <c r="B7">
        <v>2836</v>
      </c>
      <c r="C7">
        <v>9</v>
      </c>
      <c r="D7">
        <v>31</v>
      </c>
      <c r="E7">
        <v>41</v>
      </c>
    </row>
    <row r="8" spans="1:6" x14ac:dyDescent="0.2">
      <c r="A8" t="s">
        <v>327</v>
      </c>
      <c r="B8">
        <v>2836</v>
      </c>
      <c r="C8">
        <v>10</v>
      </c>
      <c r="D8">
        <v>105</v>
      </c>
      <c r="E8">
        <v>139</v>
      </c>
    </row>
    <row r="9" spans="1:6" x14ac:dyDescent="0.2">
      <c r="A9" t="s">
        <v>327</v>
      </c>
      <c r="B9">
        <v>2836</v>
      </c>
      <c r="C9">
        <v>12</v>
      </c>
      <c r="D9">
        <v>789</v>
      </c>
      <c r="E9" s="2">
        <v>1040</v>
      </c>
    </row>
    <row r="10" spans="1:6" x14ac:dyDescent="0.2">
      <c r="A10" t="s">
        <v>327</v>
      </c>
      <c r="B10">
        <v>2836</v>
      </c>
      <c r="C10" t="s">
        <v>739</v>
      </c>
      <c r="D10">
        <v>2</v>
      </c>
      <c r="E10">
        <v>3</v>
      </c>
    </row>
    <row r="11" spans="1:6" x14ac:dyDescent="0.2">
      <c r="A11" t="s">
        <v>328</v>
      </c>
      <c r="B11">
        <v>2878</v>
      </c>
      <c r="C11">
        <v>1</v>
      </c>
      <c r="D11">
        <v>157</v>
      </c>
      <c r="E11">
        <v>208</v>
      </c>
    </row>
    <row r="12" spans="1:6" x14ac:dyDescent="0.2">
      <c r="A12" t="s">
        <v>328</v>
      </c>
      <c r="B12">
        <v>2878</v>
      </c>
      <c r="C12">
        <v>2</v>
      </c>
      <c r="D12">
        <v>173</v>
      </c>
      <c r="E12">
        <v>229</v>
      </c>
    </row>
    <row r="13" spans="1:6" x14ac:dyDescent="0.2">
      <c r="A13" t="s">
        <v>328</v>
      </c>
      <c r="B13">
        <v>2878</v>
      </c>
      <c r="C13">
        <v>3</v>
      </c>
      <c r="D13">
        <v>161</v>
      </c>
      <c r="E13">
        <v>213</v>
      </c>
    </row>
    <row r="14" spans="1:6" x14ac:dyDescent="0.2">
      <c r="A14" t="s">
        <v>328</v>
      </c>
      <c r="B14">
        <v>2878</v>
      </c>
      <c r="C14">
        <v>4</v>
      </c>
      <c r="D14">
        <v>249</v>
      </c>
      <c r="E14">
        <v>330</v>
      </c>
    </row>
    <row r="15" spans="1:6" x14ac:dyDescent="0.2">
      <c r="A15" t="s">
        <v>329</v>
      </c>
      <c r="B15">
        <v>2828</v>
      </c>
      <c r="C15">
        <v>1</v>
      </c>
      <c r="D15">
        <v>779</v>
      </c>
      <c r="E15" s="2">
        <v>1030</v>
      </c>
    </row>
    <row r="16" spans="1:6" x14ac:dyDescent="0.2">
      <c r="A16" t="s">
        <v>329</v>
      </c>
      <c r="B16">
        <v>2828</v>
      </c>
      <c r="C16">
        <v>2</v>
      </c>
      <c r="D16">
        <v>819</v>
      </c>
      <c r="E16" s="2">
        <v>1083</v>
      </c>
    </row>
    <row r="17" spans="1:5" x14ac:dyDescent="0.2">
      <c r="A17" t="s">
        <v>329</v>
      </c>
      <c r="B17">
        <v>2828</v>
      </c>
      <c r="C17">
        <v>3</v>
      </c>
      <c r="D17">
        <v>816</v>
      </c>
      <c r="E17" s="2">
        <v>1079</v>
      </c>
    </row>
    <row r="18" spans="1:5" x14ac:dyDescent="0.2">
      <c r="A18" t="s">
        <v>330</v>
      </c>
      <c r="B18">
        <v>2840</v>
      </c>
      <c r="C18">
        <v>1</v>
      </c>
      <c r="D18">
        <v>162</v>
      </c>
      <c r="E18">
        <v>214</v>
      </c>
    </row>
    <row r="19" spans="1:5" x14ac:dyDescent="0.2">
      <c r="A19" t="s">
        <v>330</v>
      </c>
      <c r="B19">
        <v>2840</v>
      </c>
      <c r="C19">
        <v>2</v>
      </c>
      <c r="D19">
        <v>153</v>
      </c>
      <c r="E19">
        <v>203</v>
      </c>
    </row>
    <row r="20" spans="1:5" x14ac:dyDescent="0.2">
      <c r="A20" t="s">
        <v>330</v>
      </c>
      <c r="B20">
        <v>2840</v>
      </c>
      <c r="C20">
        <v>3</v>
      </c>
      <c r="D20">
        <v>160</v>
      </c>
      <c r="E20">
        <v>212</v>
      </c>
    </row>
    <row r="21" spans="1:5" x14ac:dyDescent="0.2">
      <c r="A21" t="s">
        <v>330</v>
      </c>
      <c r="B21">
        <v>2840</v>
      </c>
      <c r="C21">
        <v>4</v>
      </c>
      <c r="D21">
        <v>846</v>
      </c>
      <c r="E21" s="2">
        <v>1119</v>
      </c>
    </row>
    <row r="22" spans="1:5" x14ac:dyDescent="0.2">
      <c r="A22" t="s">
        <v>330</v>
      </c>
      <c r="B22">
        <v>2840</v>
      </c>
      <c r="C22">
        <v>5</v>
      </c>
      <c r="D22">
        <v>553</v>
      </c>
      <c r="E22">
        <v>731</v>
      </c>
    </row>
    <row r="23" spans="1:5" x14ac:dyDescent="0.2">
      <c r="A23" t="s">
        <v>330</v>
      </c>
      <c r="B23">
        <v>2840</v>
      </c>
      <c r="C23">
        <v>6</v>
      </c>
      <c r="D23">
        <v>556</v>
      </c>
      <c r="E23">
        <v>736</v>
      </c>
    </row>
    <row r="24" spans="1:5" x14ac:dyDescent="0.2">
      <c r="A24" t="s">
        <v>331</v>
      </c>
      <c r="B24">
        <v>2831</v>
      </c>
      <c r="C24">
        <v>1</v>
      </c>
      <c r="D24">
        <v>5</v>
      </c>
      <c r="E24">
        <v>7</v>
      </c>
    </row>
    <row r="25" spans="1:5" x14ac:dyDescent="0.2">
      <c r="A25" t="s">
        <v>332</v>
      </c>
      <c r="B25">
        <v>2837</v>
      </c>
      <c r="C25">
        <v>1</v>
      </c>
      <c r="D25">
        <v>162</v>
      </c>
      <c r="E25">
        <v>214</v>
      </c>
    </row>
    <row r="26" spans="1:5" x14ac:dyDescent="0.2">
      <c r="A26" t="s">
        <v>332</v>
      </c>
      <c r="B26">
        <v>2837</v>
      </c>
      <c r="C26">
        <v>2</v>
      </c>
      <c r="D26">
        <v>174</v>
      </c>
      <c r="E26">
        <v>230</v>
      </c>
    </row>
    <row r="27" spans="1:5" x14ac:dyDescent="0.2">
      <c r="A27" t="s">
        <v>332</v>
      </c>
      <c r="B27">
        <v>2837</v>
      </c>
      <c r="C27">
        <v>3</v>
      </c>
      <c r="D27">
        <v>190</v>
      </c>
      <c r="E27">
        <v>251</v>
      </c>
    </row>
    <row r="28" spans="1:5" x14ac:dyDescent="0.2">
      <c r="A28" t="s">
        <v>332</v>
      </c>
      <c r="B28">
        <v>2837</v>
      </c>
      <c r="C28">
        <v>4</v>
      </c>
      <c r="D28">
        <v>280</v>
      </c>
      <c r="E28">
        <v>371</v>
      </c>
    </row>
    <row r="29" spans="1:5" x14ac:dyDescent="0.2">
      <c r="A29" t="s">
        <v>332</v>
      </c>
      <c r="B29">
        <v>2837</v>
      </c>
      <c r="C29">
        <v>5</v>
      </c>
      <c r="D29">
        <v>736</v>
      </c>
      <c r="E29">
        <v>974</v>
      </c>
    </row>
    <row r="30" spans="1:5" x14ac:dyDescent="0.2">
      <c r="A30" t="s">
        <v>332</v>
      </c>
      <c r="B30">
        <v>2837</v>
      </c>
      <c r="C30">
        <v>6</v>
      </c>
      <c r="D30">
        <v>1</v>
      </c>
      <c r="E30">
        <v>1</v>
      </c>
    </row>
    <row r="31" spans="1:5" x14ac:dyDescent="0.2">
      <c r="A31" t="s">
        <v>333</v>
      </c>
      <c r="B31">
        <v>2857</v>
      </c>
      <c r="C31">
        <v>13</v>
      </c>
      <c r="D31">
        <v>49</v>
      </c>
      <c r="E31">
        <v>65</v>
      </c>
    </row>
    <row r="32" spans="1:5" x14ac:dyDescent="0.2">
      <c r="A32" t="s">
        <v>333</v>
      </c>
      <c r="B32">
        <v>2857</v>
      </c>
      <c r="C32" t="s">
        <v>1659</v>
      </c>
      <c r="D32">
        <v>1</v>
      </c>
      <c r="E32">
        <v>1</v>
      </c>
    </row>
    <row r="33" spans="1:5" x14ac:dyDescent="0.2">
      <c r="A33" t="s">
        <v>333</v>
      </c>
      <c r="B33">
        <v>2857</v>
      </c>
      <c r="C33" t="s">
        <v>1662</v>
      </c>
      <c r="D33">
        <v>1</v>
      </c>
      <c r="E33">
        <v>1</v>
      </c>
    </row>
    <row r="34" spans="1:5" x14ac:dyDescent="0.2">
      <c r="A34" t="s">
        <v>334</v>
      </c>
      <c r="B34">
        <v>2847</v>
      </c>
      <c r="C34" t="s">
        <v>1585</v>
      </c>
      <c r="D34">
        <v>17</v>
      </c>
      <c r="E34">
        <v>23</v>
      </c>
    </row>
    <row r="35" spans="1:5" x14ac:dyDescent="0.2">
      <c r="A35" t="s">
        <v>334</v>
      </c>
      <c r="B35">
        <v>2847</v>
      </c>
      <c r="C35" t="s">
        <v>1589</v>
      </c>
      <c r="D35">
        <v>19</v>
      </c>
      <c r="E35">
        <v>25</v>
      </c>
    </row>
    <row r="36" spans="1:5" x14ac:dyDescent="0.2">
      <c r="A36" t="s">
        <v>363</v>
      </c>
      <c r="B36">
        <v>8102</v>
      </c>
      <c r="C36">
        <v>1</v>
      </c>
      <c r="D36">
        <v>2074</v>
      </c>
      <c r="E36" s="2">
        <v>2744</v>
      </c>
    </row>
    <row r="37" spans="1:5" x14ac:dyDescent="0.2">
      <c r="A37" t="s">
        <v>363</v>
      </c>
      <c r="B37">
        <v>8102</v>
      </c>
      <c r="C37">
        <v>2</v>
      </c>
      <c r="D37">
        <v>2253</v>
      </c>
      <c r="E37" s="2">
        <v>2981</v>
      </c>
    </row>
    <row r="38" spans="1:5" x14ac:dyDescent="0.2">
      <c r="A38" t="s">
        <v>335</v>
      </c>
      <c r="B38">
        <v>2917</v>
      </c>
      <c r="C38">
        <v>9</v>
      </c>
      <c r="D38">
        <v>83</v>
      </c>
      <c r="E38">
        <v>110</v>
      </c>
    </row>
    <row r="39" spans="1:5" x14ac:dyDescent="0.2">
      <c r="A39" t="s">
        <v>336</v>
      </c>
      <c r="B39">
        <v>2850</v>
      </c>
      <c r="C39">
        <v>1</v>
      </c>
      <c r="D39">
        <v>797</v>
      </c>
      <c r="E39" s="2">
        <v>1054</v>
      </c>
    </row>
    <row r="40" spans="1:5" x14ac:dyDescent="0.2">
      <c r="A40" t="s">
        <v>336</v>
      </c>
      <c r="B40">
        <v>2850</v>
      </c>
      <c r="C40">
        <v>2</v>
      </c>
      <c r="D40">
        <v>928</v>
      </c>
      <c r="E40" s="2">
        <v>1228</v>
      </c>
    </row>
    <row r="41" spans="1:5" x14ac:dyDescent="0.2">
      <c r="A41" t="s">
        <v>336</v>
      </c>
      <c r="B41">
        <v>2850</v>
      </c>
      <c r="C41">
        <v>3</v>
      </c>
      <c r="D41">
        <v>812</v>
      </c>
      <c r="E41" s="2">
        <v>1074</v>
      </c>
    </row>
    <row r="42" spans="1:5" x14ac:dyDescent="0.2">
      <c r="A42" t="s">
        <v>336</v>
      </c>
      <c r="B42">
        <v>2850</v>
      </c>
      <c r="C42">
        <v>4</v>
      </c>
      <c r="D42">
        <v>836</v>
      </c>
      <c r="E42" s="2">
        <v>1106</v>
      </c>
    </row>
    <row r="43" spans="1:5" x14ac:dyDescent="0.2">
      <c r="A43" t="s">
        <v>337</v>
      </c>
      <c r="B43">
        <v>6031</v>
      </c>
      <c r="C43">
        <v>2</v>
      </c>
      <c r="D43">
        <v>1290</v>
      </c>
      <c r="E43" s="2">
        <v>1706</v>
      </c>
    </row>
    <row r="44" spans="1:5" x14ac:dyDescent="0.2">
      <c r="A44" t="s">
        <v>338</v>
      </c>
      <c r="B44">
        <v>2876</v>
      </c>
      <c r="C44">
        <v>1</v>
      </c>
      <c r="D44">
        <v>356</v>
      </c>
      <c r="E44">
        <v>471</v>
      </c>
    </row>
    <row r="45" spans="1:5" x14ac:dyDescent="0.2">
      <c r="A45" t="s">
        <v>338</v>
      </c>
      <c r="B45">
        <v>2876</v>
      </c>
      <c r="C45">
        <v>2</v>
      </c>
      <c r="D45">
        <v>356</v>
      </c>
      <c r="E45">
        <v>471</v>
      </c>
    </row>
    <row r="46" spans="1:5" x14ac:dyDescent="0.2">
      <c r="A46" t="s">
        <v>338</v>
      </c>
      <c r="B46">
        <v>2876</v>
      </c>
      <c r="C46">
        <v>3</v>
      </c>
      <c r="D46">
        <v>361</v>
      </c>
      <c r="E46">
        <v>478</v>
      </c>
    </row>
    <row r="47" spans="1:5" x14ac:dyDescent="0.2">
      <c r="A47" t="s">
        <v>338</v>
      </c>
      <c r="B47">
        <v>2876</v>
      </c>
      <c r="C47">
        <v>4</v>
      </c>
      <c r="D47">
        <v>352</v>
      </c>
      <c r="E47">
        <v>465</v>
      </c>
    </row>
    <row r="48" spans="1:5" x14ac:dyDescent="0.2">
      <c r="A48" t="s">
        <v>338</v>
      </c>
      <c r="B48">
        <v>2876</v>
      </c>
      <c r="C48">
        <v>5</v>
      </c>
      <c r="D48">
        <v>344</v>
      </c>
      <c r="E48">
        <v>455</v>
      </c>
    </row>
    <row r="49" spans="1:5" x14ac:dyDescent="0.2">
      <c r="A49" t="s">
        <v>339</v>
      </c>
      <c r="B49">
        <v>2838</v>
      </c>
      <c r="C49">
        <v>18</v>
      </c>
      <c r="D49">
        <v>147</v>
      </c>
      <c r="E49">
        <v>195</v>
      </c>
    </row>
    <row r="50" spans="1:5" x14ac:dyDescent="0.2">
      <c r="A50" t="s">
        <v>340</v>
      </c>
      <c r="B50">
        <v>2860</v>
      </c>
      <c r="C50" t="s">
        <v>1659</v>
      </c>
      <c r="D50">
        <v>2</v>
      </c>
      <c r="E50">
        <v>2</v>
      </c>
    </row>
    <row r="51" spans="1:5" x14ac:dyDescent="0.2">
      <c r="A51" t="s">
        <v>340</v>
      </c>
      <c r="B51">
        <v>2860</v>
      </c>
      <c r="C51" t="s">
        <v>1662</v>
      </c>
      <c r="D51">
        <v>2</v>
      </c>
      <c r="E51">
        <v>2</v>
      </c>
    </row>
    <row r="52" spans="1:5" x14ac:dyDescent="0.2">
      <c r="A52" t="s">
        <v>341</v>
      </c>
      <c r="B52">
        <v>2832</v>
      </c>
      <c r="C52" s="179">
        <v>37012</v>
      </c>
      <c r="D52">
        <v>26</v>
      </c>
      <c r="E52">
        <v>35</v>
      </c>
    </row>
    <row r="53" spans="1:5" x14ac:dyDescent="0.2">
      <c r="A53" t="s">
        <v>341</v>
      </c>
      <c r="B53">
        <v>2832</v>
      </c>
      <c r="C53" s="179">
        <v>37013</v>
      </c>
      <c r="D53">
        <v>26</v>
      </c>
      <c r="E53">
        <v>35</v>
      </c>
    </row>
    <row r="54" spans="1:5" x14ac:dyDescent="0.2">
      <c r="A54" t="s">
        <v>341</v>
      </c>
      <c r="B54">
        <v>2832</v>
      </c>
      <c r="C54">
        <v>6</v>
      </c>
      <c r="D54">
        <v>301</v>
      </c>
      <c r="E54">
        <v>398</v>
      </c>
    </row>
    <row r="55" spans="1:5" x14ac:dyDescent="0.2">
      <c r="A55" t="s">
        <v>341</v>
      </c>
      <c r="B55">
        <v>2832</v>
      </c>
      <c r="C55">
        <v>7</v>
      </c>
      <c r="D55">
        <v>789</v>
      </c>
      <c r="E55" s="2">
        <v>1044</v>
      </c>
    </row>
    <row r="56" spans="1:5" x14ac:dyDescent="0.2">
      <c r="A56" t="s">
        <v>341</v>
      </c>
      <c r="B56">
        <v>2832</v>
      </c>
      <c r="C56">
        <v>8</v>
      </c>
      <c r="D56">
        <v>767</v>
      </c>
      <c r="E56" s="2">
        <v>1015</v>
      </c>
    </row>
    <row r="57" spans="1:5" x14ac:dyDescent="0.2">
      <c r="A57" t="s">
        <v>341</v>
      </c>
      <c r="B57">
        <v>2832</v>
      </c>
      <c r="C57" t="s">
        <v>716</v>
      </c>
      <c r="D57">
        <v>1</v>
      </c>
      <c r="E57">
        <v>1</v>
      </c>
    </row>
    <row r="58" spans="1:5" x14ac:dyDescent="0.2">
      <c r="A58" t="s">
        <v>364</v>
      </c>
      <c r="B58">
        <v>2872</v>
      </c>
      <c r="C58">
        <v>1</v>
      </c>
      <c r="D58">
        <v>234</v>
      </c>
      <c r="E58">
        <v>309</v>
      </c>
    </row>
    <row r="59" spans="1:5" x14ac:dyDescent="0.2">
      <c r="A59" t="s">
        <v>364</v>
      </c>
      <c r="B59">
        <v>2872</v>
      </c>
      <c r="C59">
        <v>2</v>
      </c>
      <c r="D59">
        <v>239</v>
      </c>
      <c r="E59">
        <v>316</v>
      </c>
    </row>
    <row r="60" spans="1:5" x14ac:dyDescent="0.2">
      <c r="A60" t="s">
        <v>364</v>
      </c>
      <c r="B60">
        <v>2872</v>
      </c>
      <c r="C60">
        <v>3</v>
      </c>
      <c r="D60">
        <v>262</v>
      </c>
      <c r="E60">
        <v>347</v>
      </c>
    </row>
    <row r="61" spans="1:5" x14ac:dyDescent="0.2">
      <c r="A61" t="s">
        <v>364</v>
      </c>
      <c r="B61">
        <v>2872</v>
      </c>
      <c r="C61">
        <v>4</v>
      </c>
      <c r="D61">
        <v>264</v>
      </c>
      <c r="E61">
        <v>349</v>
      </c>
    </row>
    <row r="62" spans="1:5" x14ac:dyDescent="0.2">
      <c r="A62" t="s">
        <v>364</v>
      </c>
      <c r="B62">
        <v>2872</v>
      </c>
      <c r="C62">
        <v>5</v>
      </c>
      <c r="D62">
        <v>835</v>
      </c>
      <c r="E62" s="2">
        <v>1105</v>
      </c>
    </row>
    <row r="63" spans="1:5" x14ac:dyDescent="0.2">
      <c r="A63" t="s">
        <v>342</v>
      </c>
      <c r="B63">
        <v>2861</v>
      </c>
      <c r="C63">
        <v>1</v>
      </c>
      <c r="D63">
        <v>160</v>
      </c>
      <c r="E63">
        <v>212</v>
      </c>
    </row>
    <row r="64" spans="1:5" x14ac:dyDescent="0.2">
      <c r="A64" t="s">
        <v>342</v>
      </c>
      <c r="B64">
        <v>2861</v>
      </c>
      <c r="C64">
        <v>2</v>
      </c>
      <c r="D64">
        <v>121</v>
      </c>
      <c r="E64">
        <v>160</v>
      </c>
    </row>
    <row r="65" spans="1:5" x14ac:dyDescent="0.2">
      <c r="A65" t="s">
        <v>342</v>
      </c>
      <c r="B65">
        <v>2861</v>
      </c>
      <c r="C65" t="s">
        <v>1659</v>
      </c>
      <c r="D65">
        <v>2</v>
      </c>
      <c r="E65">
        <v>2</v>
      </c>
    </row>
    <row r="66" spans="1:5" x14ac:dyDescent="0.2">
      <c r="A66" t="s">
        <v>343</v>
      </c>
      <c r="B66">
        <v>2848</v>
      </c>
      <c r="C66" t="s">
        <v>344</v>
      </c>
      <c r="D66">
        <v>18</v>
      </c>
      <c r="E66">
        <v>24</v>
      </c>
    </row>
    <row r="67" spans="1:5" x14ac:dyDescent="0.2">
      <c r="A67" t="s">
        <v>343</v>
      </c>
      <c r="B67">
        <v>2848</v>
      </c>
      <c r="C67" t="s">
        <v>345</v>
      </c>
      <c r="D67">
        <v>28</v>
      </c>
      <c r="E67">
        <v>37</v>
      </c>
    </row>
    <row r="68" spans="1:5" x14ac:dyDescent="0.2">
      <c r="A68" t="s">
        <v>343</v>
      </c>
      <c r="B68">
        <v>2848</v>
      </c>
      <c r="C68" t="s">
        <v>346</v>
      </c>
      <c r="D68">
        <v>48</v>
      </c>
      <c r="E68">
        <v>64</v>
      </c>
    </row>
    <row r="69" spans="1:5" x14ac:dyDescent="0.2">
      <c r="A69" t="s">
        <v>343</v>
      </c>
      <c r="B69">
        <v>2848</v>
      </c>
      <c r="C69" t="s">
        <v>347</v>
      </c>
      <c r="D69">
        <v>51</v>
      </c>
      <c r="E69">
        <v>68</v>
      </c>
    </row>
    <row r="70" spans="1:5" x14ac:dyDescent="0.2">
      <c r="A70" t="s">
        <v>343</v>
      </c>
      <c r="B70">
        <v>2848</v>
      </c>
      <c r="C70" t="s">
        <v>348</v>
      </c>
      <c r="D70">
        <v>47</v>
      </c>
      <c r="E70">
        <v>62</v>
      </c>
    </row>
    <row r="71" spans="1:5" x14ac:dyDescent="0.2">
      <c r="A71" t="s">
        <v>343</v>
      </c>
      <c r="B71">
        <v>2848</v>
      </c>
      <c r="C71" t="s">
        <v>349</v>
      </c>
      <c r="D71">
        <v>52</v>
      </c>
      <c r="E71">
        <v>69</v>
      </c>
    </row>
    <row r="72" spans="1:5" x14ac:dyDescent="0.2">
      <c r="A72" t="s">
        <v>343</v>
      </c>
      <c r="B72">
        <v>2848</v>
      </c>
      <c r="C72" t="s">
        <v>350</v>
      </c>
      <c r="D72">
        <v>1</v>
      </c>
      <c r="E72">
        <v>1</v>
      </c>
    </row>
    <row r="73" spans="1:5" x14ac:dyDescent="0.2">
      <c r="A73" t="s">
        <v>351</v>
      </c>
      <c r="B73">
        <v>2843</v>
      </c>
      <c r="C73">
        <v>9</v>
      </c>
      <c r="D73">
        <v>107</v>
      </c>
      <c r="E73">
        <v>141</v>
      </c>
    </row>
    <row r="74" spans="1:5" x14ac:dyDescent="0.2">
      <c r="A74" t="s">
        <v>352</v>
      </c>
      <c r="B74">
        <v>2864</v>
      </c>
      <c r="C74">
        <v>1</v>
      </c>
      <c r="D74">
        <v>0</v>
      </c>
      <c r="E74">
        <v>0</v>
      </c>
    </row>
    <row r="75" spans="1:5" x14ac:dyDescent="0.2">
      <c r="A75" t="s">
        <v>352</v>
      </c>
      <c r="B75">
        <v>2864</v>
      </c>
      <c r="C75">
        <v>2</v>
      </c>
      <c r="D75">
        <v>0</v>
      </c>
      <c r="E75">
        <v>0</v>
      </c>
    </row>
    <row r="76" spans="1:5" x14ac:dyDescent="0.2">
      <c r="A76" t="s">
        <v>352</v>
      </c>
      <c r="B76">
        <v>2864</v>
      </c>
      <c r="C76">
        <v>3</v>
      </c>
      <c r="D76">
        <v>0</v>
      </c>
      <c r="E76">
        <v>0</v>
      </c>
    </row>
    <row r="77" spans="1:5" x14ac:dyDescent="0.2">
      <c r="A77" t="s">
        <v>352</v>
      </c>
      <c r="B77">
        <v>2864</v>
      </c>
      <c r="C77">
        <v>4</v>
      </c>
      <c r="D77">
        <v>0</v>
      </c>
      <c r="E77">
        <v>0</v>
      </c>
    </row>
    <row r="78" spans="1:5" x14ac:dyDescent="0.2">
      <c r="A78" t="s">
        <v>352</v>
      </c>
      <c r="B78">
        <v>2864</v>
      </c>
      <c r="C78">
        <v>5</v>
      </c>
      <c r="D78">
        <v>11</v>
      </c>
      <c r="E78">
        <v>14</v>
      </c>
    </row>
    <row r="79" spans="1:5" x14ac:dyDescent="0.2">
      <c r="A79" t="s">
        <v>353</v>
      </c>
      <c r="B79">
        <v>2864</v>
      </c>
      <c r="C79">
        <v>6</v>
      </c>
      <c r="D79">
        <v>10</v>
      </c>
      <c r="E79">
        <v>13</v>
      </c>
    </row>
    <row r="80" spans="1:5" x14ac:dyDescent="0.2">
      <c r="A80" t="s">
        <v>352</v>
      </c>
      <c r="B80">
        <v>2864</v>
      </c>
      <c r="C80">
        <v>7</v>
      </c>
      <c r="D80">
        <v>255</v>
      </c>
      <c r="E80">
        <v>337</v>
      </c>
    </row>
    <row r="81" spans="1:5" x14ac:dyDescent="0.2">
      <c r="A81" t="s">
        <v>352</v>
      </c>
      <c r="B81">
        <v>2864</v>
      </c>
      <c r="C81">
        <v>8</v>
      </c>
      <c r="D81">
        <v>207</v>
      </c>
      <c r="E81">
        <v>274</v>
      </c>
    </row>
    <row r="82" spans="1:5" x14ac:dyDescent="0.2">
      <c r="A82" t="s">
        <v>354</v>
      </c>
      <c r="B82">
        <v>7286</v>
      </c>
      <c r="C82">
        <v>1</v>
      </c>
      <c r="D82">
        <v>110</v>
      </c>
      <c r="E82">
        <v>146</v>
      </c>
    </row>
    <row r="83" spans="1:5" x14ac:dyDescent="0.2">
      <c r="A83" t="s">
        <v>354</v>
      </c>
      <c r="B83">
        <v>7286</v>
      </c>
      <c r="C83">
        <v>2</v>
      </c>
      <c r="D83">
        <v>104</v>
      </c>
      <c r="E83">
        <v>138</v>
      </c>
    </row>
    <row r="84" spans="1:5" x14ac:dyDescent="0.2">
      <c r="A84" t="s">
        <v>354</v>
      </c>
      <c r="B84">
        <v>7286</v>
      </c>
      <c r="C84">
        <v>3</v>
      </c>
      <c r="D84">
        <v>109</v>
      </c>
      <c r="E84">
        <v>144</v>
      </c>
    </row>
    <row r="85" spans="1:5" x14ac:dyDescent="0.2">
      <c r="A85" t="s">
        <v>354</v>
      </c>
      <c r="B85">
        <v>7286</v>
      </c>
      <c r="C85">
        <v>4</v>
      </c>
      <c r="D85">
        <v>110</v>
      </c>
      <c r="E85">
        <v>146</v>
      </c>
    </row>
    <row r="86" spans="1:5" x14ac:dyDescent="0.2">
      <c r="A86" t="s">
        <v>355</v>
      </c>
      <c r="B86">
        <v>2866</v>
      </c>
      <c r="C86">
        <v>1</v>
      </c>
      <c r="D86">
        <v>304</v>
      </c>
      <c r="E86">
        <v>402</v>
      </c>
    </row>
    <row r="87" spans="1:5" x14ac:dyDescent="0.2">
      <c r="A87" t="s">
        <v>355</v>
      </c>
      <c r="B87">
        <v>2866</v>
      </c>
      <c r="C87">
        <v>2</v>
      </c>
      <c r="D87">
        <v>316</v>
      </c>
      <c r="E87">
        <v>418</v>
      </c>
    </row>
    <row r="88" spans="1:5" x14ac:dyDescent="0.2">
      <c r="A88" t="s">
        <v>355</v>
      </c>
      <c r="B88">
        <v>2866</v>
      </c>
      <c r="C88">
        <v>3</v>
      </c>
      <c r="D88">
        <v>302</v>
      </c>
      <c r="E88">
        <v>400</v>
      </c>
    </row>
    <row r="89" spans="1:5" x14ac:dyDescent="0.2">
      <c r="A89" t="s">
        <v>356</v>
      </c>
      <c r="B89">
        <v>2866</v>
      </c>
      <c r="C89">
        <v>4</v>
      </c>
      <c r="D89">
        <v>314</v>
      </c>
      <c r="E89">
        <v>415</v>
      </c>
    </row>
    <row r="90" spans="1:5" x14ac:dyDescent="0.2">
      <c r="A90" t="s">
        <v>356</v>
      </c>
      <c r="B90">
        <v>2866</v>
      </c>
      <c r="C90">
        <v>5</v>
      </c>
      <c r="D90">
        <v>477</v>
      </c>
      <c r="E90">
        <v>631</v>
      </c>
    </row>
    <row r="91" spans="1:5" x14ac:dyDescent="0.2">
      <c r="A91" t="s">
        <v>355</v>
      </c>
      <c r="B91">
        <v>2866</v>
      </c>
      <c r="C91">
        <v>6</v>
      </c>
      <c r="D91">
        <v>923</v>
      </c>
      <c r="E91" s="2">
        <v>1221</v>
      </c>
    </row>
    <row r="92" spans="1:5" x14ac:dyDescent="0.2">
      <c r="A92" t="s">
        <v>355</v>
      </c>
      <c r="B92">
        <v>2866</v>
      </c>
      <c r="C92">
        <v>7</v>
      </c>
      <c r="D92">
        <v>952</v>
      </c>
      <c r="E92" s="2">
        <v>1259</v>
      </c>
    </row>
    <row r="93" spans="1:5" x14ac:dyDescent="0.2">
      <c r="A93" t="s">
        <v>357</v>
      </c>
      <c r="B93">
        <v>6019</v>
      </c>
      <c r="C93">
        <v>1</v>
      </c>
      <c r="D93">
        <v>2206</v>
      </c>
      <c r="E93" s="2">
        <v>2918</v>
      </c>
    </row>
    <row r="94" spans="1:5" x14ac:dyDescent="0.2">
      <c r="A94" t="s">
        <v>358</v>
      </c>
      <c r="B94">
        <v>2830</v>
      </c>
      <c r="C94">
        <v>1</v>
      </c>
      <c r="D94">
        <v>126</v>
      </c>
      <c r="E94">
        <v>167</v>
      </c>
    </row>
    <row r="95" spans="1:5" x14ac:dyDescent="0.2">
      <c r="A95" t="s">
        <v>358</v>
      </c>
      <c r="B95">
        <v>2830</v>
      </c>
      <c r="C95">
        <v>2</v>
      </c>
      <c r="D95">
        <v>150</v>
      </c>
      <c r="E95">
        <v>198</v>
      </c>
    </row>
    <row r="96" spans="1:5" x14ac:dyDescent="0.2">
      <c r="A96" t="s">
        <v>358</v>
      </c>
      <c r="B96">
        <v>2830</v>
      </c>
      <c r="C96">
        <v>3</v>
      </c>
      <c r="D96">
        <v>212</v>
      </c>
      <c r="E96">
        <v>281</v>
      </c>
    </row>
    <row r="97" spans="1:5" x14ac:dyDescent="0.2">
      <c r="A97" t="s">
        <v>358</v>
      </c>
      <c r="B97">
        <v>2830</v>
      </c>
      <c r="C97">
        <v>4</v>
      </c>
      <c r="D97">
        <v>262</v>
      </c>
      <c r="E97">
        <v>347</v>
      </c>
    </row>
    <row r="98" spans="1:5" x14ac:dyDescent="0.2">
      <c r="A98" t="s">
        <v>358</v>
      </c>
      <c r="B98">
        <v>2830</v>
      </c>
      <c r="C98">
        <v>5</v>
      </c>
      <c r="D98">
        <v>364</v>
      </c>
      <c r="E98">
        <v>481</v>
      </c>
    </row>
    <row r="99" spans="1:5" x14ac:dyDescent="0.2">
      <c r="A99" t="s">
        <v>358</v>
      </c>
      <c r="B99">
        <v>2830</v>
      </c>
      <c r="C99">
        <v>6</v>
      </c>
      <c r="D99">
        <v>643</v>
      </c>
      <c r="E99">
        <v>850</v>
      </c>
    </row>
    <row r="100" spans="1:5" x14ac:dyDescent="0.2">
      <c r="A100" t="s">
        <v>358</v>
      </c>
      <c r="B100">
        <v>2830</v>
      </c>
      <c r="C100" t="s">
        <v>773</v>
      </c>
      <c r="D100">
        <v>2</v>
      </c>
      <c r="E100">
        <v>3</v>
      </c>
    </row>
    <row r="101" spans="1:5" x14ac:dyDescent="0.2">
      <c r="A101" t="s">
        <v>358</v>
      </c>
      <c r="B101">
        <v>2830</v>
      </c>
      <c r="C101" t="s">
        <v>716</v>
      </c>
      <c r="D101">
        <v>2</v>
      </c>
      <c r="E101">
        <v>3</v>
      </c>
    </row>
    <row r="102" spans="1:5" x14ac:dyDescent="0.2">
      <c r="A102" t="s">
        <v>358</v>
      </c>
      <c r="B102">
        <v>2830</v>
      </c>
      <c r="C102" t="s">
        <v>719</v>
      </c>
      <c r="D102">
        <v>3</v>
      </c>
      <c r="E102">
        <v>4</v>
      </c>
    </row>
    <row r="103" spans="1:5" x14ac:dyDescent="0.2">
      <c r="A103" t="s">
        <v>358</v>
      </c>
      <c r="B103">
        <v>2830</v>
      </c>
      <c r="C103" t="s">
        <v>722</v>
      </c>
      <c r="D103">
        <v>2</v>
      </c>
      <c r="E103">
        <v>2</v>
      </c>
    </row>
    <row r="104" spans="1:5" x14ac:dyDescent="0.2">
      <c r="A104" t="s">
        <v>359</v>
      </c>
      <c r="B104">
        <v>2869</v>
      </c>
      <c r="C104" t="s">
        <v>360</v>
      </c>
      <c r="D104">
        <v>0</v>
      </c>
      <c r="E104">
        <v>0</v>
      </c>
    </row>
    <row r="105" spans="1:5" x14ac:dyDescent="0.2">
      <c r="A105" t="s">
        <v>359</v>
      </c>
      <c r="B105">
        <v>2869</v>
      </c>
      <c r="C105" t="s">
        <v>361</v>
      </c>
      <c r="D105">
        <v>0</v>
      </c>
      <c r="E105">
        <v>0</v>
      </c>
    </row>
    <row r="106" spans="1:5" x14ac:dyDescent="0.2">
      <c r="A106" t="s">
        <v>362</v>
      </c>
      <c r="B106">
        <v>7158</v>
      </c>
      <c r="C106">
        <f t="shared" ref="C106:C111" si="0">--GT2</f>
        <v>0</v>
      </c>
      <c r="D106">
        <v>23</v>
      </c>
      <c r="E106">
        <v>30</v>
      </c>
    </row>
    <row r="107" spans="1:5" x14ac:dyDescent="0.2">
      <c r="A107" t="s">
        <v>362</v>
      </c>
      <c r="B107">
        <v>7158</v>
      </c>
      <c r="C107">
        <f t="shared" si="0"/>
        <v>0</v>
      </c>
      <c r="D107">
        <v>23</v>
      </c>
      <c r="E107">
        <v>30</v>
      </c>
    </row>
    <row r="108" spans="1:5" x14ac:dyDescent="0.2">
      <c r="A108" t="s">
        <v>362</v>
      </c>
      <c r="B108">
        <v>7158</v>
      </c>
      <c r="C108">
        <f t="shared" si="0"/>
        <v>0</v>
      </c>
      <c r="D108">
        <v>29</v>
      </c>
      <c r="E108">
        <v>39</v>
      </c>
    </row>
    <row r="109" spans="1:5" x14ac:dyDescent="0.2">
      <c r="A109" t="s">
        <v>362</v>
      </c>
      <c r="B109">
        <v>7158</v>
      </c>
      <c r="C109">
        <f t="shared" si="0"/>
        <v>0</v>
      </c>
      <c r="D109">
        <v>28</v>
      </c>
      <c r="E109">
        <v>37</v>
      </c>
    </row>
    <row r="110" spans="1:5" x14ac:dyDescent="0.2">
      <c r="A110" t="s">
        <v>362</v>
      </c>
      <c r="B110">
        <v>7158</v>
      </c>
      <c r="C110">
        <f t="shared" si="0"/>
        <v>0</v>
      </c>
      <c r="D110">
        <v>30</v>
      </c>
      <c r="E110">
        <v>40</v>
      </c>
    </row>
    <row r="111" spans="1:5" x14ac:dyDescent="0.2">
      <c r="A111" t="s">
        <v>362</v>
      </c>
      <c r="B111">
        <v>7158</v>
      </c>
      <c r="C111">
        <f t="shared" si="0"/>
        <v>0</v>
      </c>
      <c r="D111">
        <v>29</v>
      </c>
      <c r="E111">
        <v>39</v>
      </c>
    </row>
    <row r="112" spans="1:5" s="168" customFormat="1" ht="13.5" thickBot="1" x14ac:dyDescent="0.25">
      <c r="D112" s="168">
        <f>SUM(D2:D111)</f>
        <v>32628</v>
      </c>
    </row>
    <row r="113" spans="1:5" x14ac:dyDescent="0.2">
      <c r="A113" s="3" t="s">
        <v>293</v>
      </c>
    </row>
    <row r="114" spans="1:5" x14ac:dyDescent="0.2">
      <c r="A114" s="3" t="s">
        <v>1361</v>
      </c>
      <c r="B114" s="3" t="s">
        <v>323</v>
      </c>
      <c r="C114" s="3" t="s">
        <v>1362</v>
      </c>
      <c r="D114" s="3" t="s">
        <v>521</v>
      </c>
      <c r="E114" s="3"/>
    </row>
    <row r="115" spans="1:5" x14ac:dyDescent="0.2">
      <c r="A115" t="s">
        <v>1363</v>
      </c>
      <c r="B115">
        <v>1409010006</v>
      </c>
      <c r="C115" t="s">
        <v>1364</v>
      </c>
      <c r="D115">
        <v>66</v>
      </c>
    </row>
    <row r="116" spans="1:5" x14ac:dyDescent="0.2">
      <c r="A116" t="s">
        <v>1365</v>
      </c>
      <c r="B116">
        <v>1409010006</v>
      </c>
      <c r="C116" t="s">
        <v>1366</v>
      </c>
      <c r="D116">
        <v>66</v>
      </c>
    </row>
    <row r="117" spans="1:5" x14ac:dyDescent="0.2">
      <c r="A117" t="s">
        <v>1365</v>
      </c>
      <c r="B117">
        <v>1409010006</v>
      </c>
      <c r="C117" t="s">
        <v>1367</v>
      </c>
      <c r="D117">
        <v>66</v>
      </c>
    </row>
    <row r="118" spans="1:5" x14ac:dyDescent="0.2">
      <c r="A118" t="s">
        <v>1365</v>
      </c>
      <c r="B118">
        <v>1409010006</v>
      </c>
      <c r="C118" t="s">
        <v>1368</v>
      </c>
      <c r="D118">
        <v>66</v>
      </c>
    </row>
    <row r="119" spans="1:5" x14ac:dyDescent="0.2">
      <c r="A119" t="s">
        <v>1369</v>
      </c>
      <c r="B119">
        <v>1576000301</v>
      </c>
      <c r="C119" t="s">
        <v>1370</v>
      </c>
      <c r="D119">
        <v>18</v>
      </c>
    </row>
    <row r="120" spans="1:5" x14ac:dyDescent="0.2">
      <c r="A120" t="s">
        <v>1371</v>
      </c>
      <c r="B120">
        <v>448020007</v>
      </c>
      <c r="C120" t="s">
        <v>1372</v>
      </c>
      <c r="D120">
        <v>39</v>
      </c>
    </row>
    <row r="121" spans="1:5" x14ac:dyDescent="0.2">
      <c r="A121" t="s">
        <v>1373</v>
      </c>
      <c r="B121">
        <v>448020007</v>
      </c>
      <c r="C121" t="s">
        <v>1374</v>
      </c>
      <c r="D121">
        <v>102</v>
      </c>
    </row>
    <row r="122" spans="1:5" x14ac:dyDescent="0.2">
      <c r="A122" t="s">
        <v>1375</v>
      </c>
      <c r="B122">
        <v>857041124</v>
      </c>
      <c r="C122" t="s">
        <v>1376</v>
      </c>
      <c r="D122">
        <v>133</v>
      </c>
    </row>
    <row r="123" spans="1:5" x14ac:dyDescent="0.2">
      <c r="A123" t="s">
        <v>1377</v>
      </c>
      <c r="B123">
        <v>857041124</v>
      </c>
      <c r="C123" t="s">
        <v>1378</v>
      </c>
      <c r="D123">
        <v>1</v>
      </c>
    </row>
    <row r="124" spans="1:5" x14ac:dyDescent="0.2">
      <c r="A124" t="s">
        <v>1379</v>
      </c>
      <c r="B124">
        <v>1409040212</v>
      </c>
      <c r="C124" t="s">
        <v>1380</v>
      </c>
      <c r="D124">
        <v>267</v>
      </c>
    </row>
    <row r="125" spans="1:5" x14ac:dyDescent="0.2">
      <c r="A125" t="s">
        <v>1381</v>
      </c>
      <c r="B125">
        <v>1677010193</v>
      </c>
      <c r="C125" t="s">
        <v>1382</v>
      </c>
      <c r="D125">
        <v>101</v>
      </c>
    </row>
    <row r="126" spans="1:5" x14ac:dyDescent="0.2">
      <c r="A126" t="s">
        <v>1381</v>
      </c>
      <c r="B126">
        <v>1677010193</v>
      </c>
      <c r="C126" t="s">
        <v>1383</v>
      </c>
      <c r="D126">
        <v>108</v>
      </c>
    </row>
    <row r="127" spans="1:5" x14ac:dyDescent="0.2">
      <c r="A127" t="s">
        <v>1384</v>
      </c>
      <c r="B127">
        <v>1431070035</v>
      </c>
      <c r="C127" t="s">
        <v>1385</v>
      </c>
      <c r="D127">
        <v>209</v>
      </c>
    </row>
    <row r="128" spans="1:5" x14ac:dyDescent="0.2">
      <c r="A128" t="s">
        <v>1386</v>
      </c>
      <c r="B128">
        <v>1318001613</v>
      </c>
      <c r="C128" t="s">
        <v>1387</v>
      </c>
      <c r="D128">
        <v>139</v>
      </c>
    </row>
    <row r="129" spans="1:4" x14ac:dyDescent="0.2">
      <c r="A129" t="s">
        <v>1386</v>
      </c>
      <c r="B129">
        <v>1318001613</v>
      </c>
      <c r="C129" t="s">
        <v>1383</v>
      </c>
      <c r="D129">
        <v>150</v>
      </c>
    </row>
    <row r="130" spans="1:4" x14ac:dyDescent="0.2">
      <c r="A130" t="s">
        <v>1386</v>
      </c>
      <c r="B130">
        <v>1318001613</v>
      </c>
      <c r="C130" t="s">
        <v>1388</v>
      </c>
      <c r="D130">
        <v>159</v>
      </c>
    </row>
    <row r="131" spans="1:4" x14ac:dyDescent="0.2">
      <c r="A131" t="s">
        <v>1386</v>
      </c>
      <c r="B131">
        <v>1318001613</v>
      </c>
      <c r="C131" t="s">
        <v>1376</v>
      </c>
      <c r="D131">
        <v>158</v>
      </c>
    </row>
    <row r="132" spans="1:4" x14ac:dyDescent="0.2">
      <c r="A132" t="s">
        <v>1386</v>
      </c>
      <c r="B132">
        <v>1318001613</v>
      </c>
      <c r="C132" t="s">
        <v>1389</v>
      </c>
      <c r="D132">
        <v>155</v>
      </c>
    </row>
    <row r="133" spans="1:4" x14ac:dyDescent="0.2">
      <c r="A133" t="s">
        <v>1386</v>
      </c>
      <c r="B133">
        <v>1318001613</v>
      </c>
      <c r="C133" t="s">
        <v>1390</v>
      </c>
      <c r="D133">
        <v>14</v>
      </c>
    </row>
    <row r="134" spans="1:4" x14ac:dyDescent="0.2">
      <c r="A134" t="s">
        <v>1391</v>
      </c>
      <c r="B134">
        <v>671010028</v>
      </c>
      <c r="C134" t="s">
        <v>1392</v>
      </c>
      <c r="D134">
        <v>185</v>
      </c>
    </row>
    <row r="135" spans="1:4" x14ac:dyDescent="0.2">
      <c r="A135" t="s">
        <v>1391</v>
      </c>
      <c r="B135">
        <v>671010028</v>
      </c>
      <c r="C135" t="s">
        <v>1393</v>
      </c>
      <c r="D135">
        <v>208</v>
      </c>
    </row>
    <row r="136" spans="1:4" x14ac:dyDescent="0.2">
      <c r="A136" t="s">
        <v>1391</v>
      </c>
      <c r="B136">
        <v>671010028</v>
      </c>
      <c r="C136" t="s">
        <v>1394</v>
      </c>
      <c r="D136">
        <v>251</v>
      </c>
    </row>
    <row r="137" spans="1:4" x14ac:dyDescent="0.2">
      <c r="A137" t="s">
        <v>1395</v>
      </c>
      <c r="B137">
        <v>773010004</v>
      </c>
      <c r="C137" t="s">
        <v>1396</v>
      </c>
      <c r="D137">
        <v>20</v>
      </c>
    </row>
    <row r="138" spans="1:4" x14ac:dyDescent="0.2">
      <c r="A138" t="s">
        <v>1397</v>
      </c>
      <c r="B138">
        <v>773010004</v>
      </c>
      <c r="C138" t="s">
        <v>1398</v>
      </c>
      <c r="D138">
        <v>15</v>
      </c>
    </row>
    <row r="139" spans="1:4" x14ac:dyDescent="0.2">
      <c r="A139" t="s">
        <v>1399</v>
      </c>
      <c r="B139">
        <v>1431390903</v>
      </c>
      <c r="C139" t="s">
        <v>1400</v>
      </c>
      <c r="D139">
        <v>72</v>
      </c>
    </row>
    <row r="140" spans="1:4" x14ac:dyDescent="0.2">
      <c r="A140" t="s">
        <v>1399</v>
      </c>
      <c r="B140">
        <v>1431390903</v>
      </c>
      <c r="C140" t="s">
        <v>1401</v>
      </c>
      <c r="D140">
        <v>296</v>
      </c>
    </row>
    <row r="141" spans="1:4" x14ac:dyDescent="0.2">
      <c r="A141" t="s">
        <v>1402</v>
      </c>
      <c r="B141">
        <v>247080229</v>
      </c>
      <c r="C141" t="s">
        <v>1403</v>
      </c>
      <c r="D141">
        <v>159</v>
      </c>
    </row>
    <row r="142" spans="1:4" x14ac:dyDescent="0.2">
      <c r="A142" t="s">
        <v>1404</v>
      </c>
      <c r="B142">
        <v>744000009</v>
      </c>
      <c r="C142" t="s">
        <v>1405</v>
      </c>
      <c r="D142">
        <v>107</v>
      </c>
    </row>
    <row r="143" spans="1:4" x14ac:dyDescent="0.2">
      <c r="A143" t="s">
        <v>1406</v>
      </c>
      <c r="B143">
        <v>744000009</v>
      </c>
      <c r="C143" t="s">
        <v>1407</v>
      </c>
      <c r="D143">
        <v>107</v>
      </c>
    </row>
    <row r="144" spans="1:4" x14ac:dyDescent="0.2">
      <c r="A144" t="s">
        <v>1406</v>
      </c>
      <c r="B144">
        <v>744000009</v>
      </c>
      <c r="C144" t="s">
        <v>1408</v>
      </c>
      <c r="D144">
        <v>107</v>
      </c>
    </row>
    <row r="145" spans="1:5" x14ac:dyDescent="0.2">
      <c r="A145" t="s">
        <v>1409</v>
      </c>
      <c r="B145">
        <v>448010246</v>
      </c>
      <c r="C145" t="s">
        <v>1410</v>
      </c>
      <c r="D145">
        <v>47</v>
      </c>
    </row>
    <row r="146" spans="1:5" x14ac:dyDescent="0.2">
      <c r="A146" t="s">
        <v>1409</v>
      </c>
      <c r="B146">
        <v>448010246</v>
      </c>
      <c r="C146" t="s">
        <v>1411</v>
      </c>
      <c r="D146">
        <v>34</v>
      </c>
    </row>
    <row r="147" spans="1:5" x14ac:dyDescent="0.2">
      <c r="A147" t="s">
        <v>1409</v>
      </c>
      <c r="B147">
        <v>448010246</v>
      </c>
      <c r="C147" t="s">
        <v>1412</v>
      </c>
      <c r="D147">
        <v>18</v>
      </c>
    </row>
    <row r="148" spans="1:5" x14ac:dyDescent="0.2">
      <c r="A148" t="s">
        <v>1413</v>
      </c>
      <c r="B148">
        <v>278000463</v>
      </c>
      <c r="C148" t="s">
        <v>1387</v>
      </c>
      <c r="D148">
        <v>113</v>
      </c>
    </row>
    <row r="149" spans="1:5" x14ac:dyDescent="0.2">
      <c r="A149" t="s">
        <v>1413</v>
      </c>
      <c r="B149">
        <v>278000463</v>
      </c>
      <c r="C149" t="s">
        <v>1414</v>
      </c>
      <c r="D149">
        <v>142</v>
      </c>
    </row>
    <row r="150" spans="1:5" x14ac:dyDescent="0.2">
      <c r="D150">
        <f>SUM(D115:D149)</f>
        <v>3898</v>
      </c>
      <c r="E150">
        <f>D150+D112</f>
        <v>36526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AL</vt:lpstr>
      <vt:lpstr>DE</vt:lpstr>
      <vt:lpstr>IL</vt:lpstr>
      <vt:lpstr>MD</vt:lpstr>
      <vt:lpstr>MA</vt:lpstr>
      <vt:lpstr>NJ</vt:lpstr>
      <vt:lpstr>NY</vt:lpstr>
      <vt:lpstr>NC</vt:lpstr>
      <vt:lpstr>OH</vt:lpstr>
      <vt:lpstr>PA</vt:lpstr>
      <vt:lpstr>RI</vt:lpstr>
      <vt:lpstr>SC</vt:lpstr>
      <vt:lpstr>VA</vt:lpstr>
      <vt:lpstr>NY!Print_Area</vt:lpstr>
      <vt:lpstr>Print_Area</vt:lpstr>
      <vt:lpstr>NY!Print_Titles</vt:lpstr>
    </vt:vector>
  </TitlesOfParts>
  <Company>EEA,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Hayes</dc:creator>
  <cp:lastModifiedBy>Jan Havlíček</cp:lastModifiedBy>
  <dcterms:created xsi:type="dcterms:W3CDTF">2001-05-29T21:23:21Z</dcterms:created>
  <dcterms:modified xsi:type="dcterms:W3CDTF">2023-09-11T09:36:39Z</dcterms:modified>
</cp:coreProperties>
</file>