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84099851-0F50-40FB-B55D-474F0B302015}" xr6:coauthVersionLast="47" xr6:coauthVersionMax="47" xr10:uidLastSave="{00000000-0000-0000-0000-000000000000}"/>
  <bookViews>
    <workbookView xWindow="-120" yWindow="-120" windowWidth="38640" windowHeight="15720"/>
  </bookViews>
  <sheets>
    <sheet name="as of 1-2" sheetId="4" r:id="rId1"/>
    <sheet name="Sheet1" sheetId="1" r:id="rId2"/>
    <sheet name="Sheet2" sheetId="2" r:id="rId3"/>
    <sheet name="Sheet3" sheetId="3" r:id="rId4"/>
  </sheets>
  <externalReferences>
    <externalReference r:id="rId5"/>
  </externalReferenc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J4" i="4" l="1"/>
  <c r="D5" i="4"/>
  <c r="J5" i="4"/>
  <c r="J6" i="4"/>
  <c r="F7" i="4"/>
  <c r="H7" i="4"/>
  <c r="I7" i="4"/>
  <c r="J7" i="4"/>
  <c r="L7" i="4"/>
  <c r="H8" i="4"/>
  <c r="I8" i="4"/>
  <c r="J8" i="4"/>
  <c r="I9" i="4"/>
  <c r="J9" i="4"/>
  <c r="J10" i="4"/>
  <c r="J11" i="4"/>
  <c r="F12" i="4"/>
  <c r="I12" i="4"/>
  <c r="J12" i="4"/>
  <c r="L12" i="4"/>
  <c r="J13" i="4"/>
  <c r="H14" i="4"/>
  <c r="J14" i="4"/>
  <c r="I15" i="4"/>
  <c r="J15" i="4"/>
  <c r="H16" i="4"/>
  <c r="J16" i="4"/>
  <c r="J17" i="4"/>
  <c r="F18" i="4"/>
  <c r="H18" i="4"/>
  <c r="I18" i="4"/>
  <c r="J18" i="4"/>
  <c r="L18" i="4"/>
  <c r="H19" i="4"/>
  <c r="J19" i="4"/>
  <c r="H20" i="4"/>
  <c r="I20" i="4"/>
  <c r="J20" i="4"/>
  <c r="J21" i="4"/>
  <c r="H22" i="4"/>
  <c r="I22" i="4"/>
  <c r="J22" i="4"/>
  <c r="I23" i="4"/>
  <c r="J23" i="4"/>
  <c r="J24" i="4"/>
  <c r="H25" i="4"/>
  <c r="I25" i="4"/>
  <c r="J25" i="4"/>
  <c r="J26" i="4"/>
  <c r="H27" i="4"/>
  <c r="J27" i="4"/>
  <c r="I28" i="4"/>
  <c r="J28" i="4"/>
  <c r="J29" i="4"/>
  <c r="J30" i="4"/>
  <c r="J31" i="4"/>
  <c r="D32" i="4"/>
  <c r="G32" i="4"/>
  <c r="H32" i="4"/>
  <c r="I32" i="4"/>
  <c r="J32" i="4"/>
  <c r="E4" i="1"/>
  <c r="C7" i="1"/>
  <c r="E9" i="1"/>
  <c r="E15" i="1"/>
  <c r="C28" i="1"/>
</calcChain>
</file>

<file path=xl/comments1.xml><?xml version="1.0" encoding="utf-8"?>
<comments xmlns="http://schemas.openxmlformats.org/spreadsheetml/2006/main">
  <authors>
    <author>amirobal</author>
  </authors>
  <commentList>
    <comment ref="H5" authorId="0" shapeId="0">
      <text>
        <r>
          <rPr>
            <b/>
            <sz val="8"/>
            <color indexed="81"/>
            <rFont val="Tahoma"/>
          </rPr>
          <t>amirobal:</t>
        </r>
        <r>
          <rPr>
            <sz val="8"/>
            <color indexed="81"/>
            <rFont val="Tahoma"/>
          </rPr>
          <t xml:space="preserve">
-25,000,000 Co 460 F 
Cash on account
</t>
        </r>
      </text>
    </comment>
    <comment ref="I5" authorId="0" shapeId="0">
      <text>
        <r>
          <rPr>
            <b/>
            <sz val="8"/>
            <color indexed="81"/>
            <rFont val="Tahoma"/>
          </rPr>
          <t>amirobal:</t>
        </r>
        <r>
          <rPr>
            <sz val="8"/>
            <color indexed="81"/>
            <rFont val="Tahoma"/>
          </rPr>
          <t xml:space="preserve">
-2,776,050 Draft Invoice 112885 (Co 364 F)
</t>
        </r>
      </text>
    </comment>
    <comment ref="H7" authorId="0" shapeId="0">
      <text>
        <r>
          <rPr>
            <b/>
            <sz val="8"/>
            <color indexed="81"/>
            <rFont val="Tahoma"/>
          </rPr>
          <t>amirobal:</t>
        </r>
        <r>
          <rPr>
            <sz val="8"/>
            <color indexed="81"/>
            <rFont val="Tahoma"/>
          </rPr>
          <t xml:space="preserve">
Power Receivables
</t>
        </r>
      </text>
    </comment>
    <comment ref="I7" authorId="0" shapeId="0">
      <text>
        <r>
          <rPr>
            <b/>
            <sz val="8"/>
            <color indexed="81"/>
            <rFont val="Tahoma"/>
          </rPr>
          <t>amirobal:</t>
        </r>
        <r>
          <rPr>
            <sz val="8"/>
            <color indexed="81"/>
            <rFont val="Tahoma"/>
          </rPr>
          <t xml:space="preserve">
Power Invoices
</t>
        </r>
      </text>
    </comment>
    <comment ref="H8" authorId="0" shapeId="0">
      <text>
        <r>
          <rPr>
            <b/>
            <sz val="8"/>
            <color indexed="81"/>
            <rFont val="Tahoma"/>
          </rPr>
          <t>amirobal:</t>
        </r>
        <r>
          <rPr>
            <sz val="8"/>
            <color indexed="81"/>
            <rFont val="Tahoma"/>
          </rPr>
          <t xml:space="preserve">
82,750 Draft invoice 112324 (Co 460)
13,175 Draft Invoice 1121567 (co 364)
204,633.5 Draft Invoice
1121963 (co 364)
</t>
        </r>
      </text>
    </comment>
    <comment ref="I8" authorId="0" shapeId="0">
      <text>
        <r>
          <rPr>
            <b/>
            <sz val="8"/>
            <color indexed="81"/>
            <rFont val="Tahoma"/>
          </rPr>
          <t>amirobal:</t>
        </r>
        <r>
          <rPr>
            <sz val="8"/>
            <color indexed="81"/>
            <rFont val="Tahoma"/>
          </rPr>
          <t xml:space="preserve">
-1,436,137.45 CO 364
-11,500 Draft Invoice 112351 (co 460)
-72,200 Draft Invoice 112323 (co 460)
-1,025,051.30 Draft Invoice 1121967 (co 364)
-2,223,800 Draft Invoice
112805 (co 364 F)
-14,711,426.25 Draft Invoice 112916 (co 364 F)
</t>
        </r>
      </text>
    </comment>
    <comment ref="I9" authorId="0" shapeId="0">
      <text>
        <r>
          <rPr>
            <b/>
            <sz val="8"/>
            <color indexed="81"/>
            <rFont val="Tahoma"/>
          </rPr>
          <t>amirobal:</t>
        </r>
        <r>
          <rPr>
            <sz val="8"/>
            <color indexed="81"/>
            <rFont val="Tahoma"/>
          </rPr>
          <t xml:space="preserve">
Physical invoices
-27,082.55
-94,656.58
</t>
        </r>
      </text>
    </comment>
    <comment ref="I12" authorId="0" shapeId="0">
      <text>
        <r>
          <rPr>
            <b/>
            <sz val="8"/>
            <color indexed="81"/>
            <rFont val="Tahoma"/>
          </rPr>
          <t>amirobal:</t>
        </r>
        <r>
          <rPr>
            <sz val="8"/>
            <color indexed="81"/>
            <rFont val="Tahoma"/>
          </rPr>
          <t xml:space="preserve">
Power Invoices
-11,820
-3,000
</t>
        </r>
      </text>
    </comment>
    <comment ref="H13" authorId="0" shapeId="0">
      <text>
        <r>
          <rPr>
            <b/>
            <sz val="8"/>
            <color indexed="81"/>
            <rFont val="Tahoma"/>
          </rPr>
          <t>amirobal:</t>
        </r>
        <r>
          <rPr>
            <sz val="8"/>
            <color indexed="81"/>
            <rFont val="Tahoma"/>
          </rPr>
          <t xml:space="preserve">
Physical Gas invoice
</t>
        </r>
      </text>
    </comment>
    <comment ref="I13" authorId="0" shapeId="0">
      <text>
        <r>
          <rPr>
            <b/>
            <sz val="8"/>
            <color indexed="81"/>
            <rFont val="Tahoma"/>
          </rPr>
          <t>amirobal:</t>
        </r>
        <r>
          <rPr>
            <sz val="8"/>
            <color indexed="81"/>
            <rFont val="Tahoma"/>
          </rPr>
          <t xml:space="preserve">
Physical gas invoice
</t>
        </r>
      </text>
    </comment>
    <comment ref="H14" authorId="0" shapeId="0">
      <text>
        <r>
          <rPr>
            <b/>
            <sz val="8"/>
            <color indexed="81"/>
            <rFont val="Tahoma"/>
          </rPr>
          <t>amirobal:</t>
        </r>
        <r>
          <rPr>
            <sz val="8"/>
            <color indexed="81"/>
            <rFont val="Tahoma"/>
          </rPr>
          <t xml:space="preserve">
1,311,164 Draft Invoice 1121946 (co 364 F)
44,880 Gas Physical 
Co 364</t>
        </r>
      </text>
    </comment>
    <comment ref="H15" authorId="0" shapeId="0">
      <text>
        <r>
          <rPr>
            <b/>
            <sz val="8"/>
            <color indexed="81"/>
            <rFont val="Tahoma"/>
          </rPr>
          <t>amirobal:</t>
        </r>
        <r>
          <rPr>
            <sz val="8"/>
            <color indexed="81"/>
            <rFont val="Tahoma"/>
          </rPr>
          <t xml:space="preserve">
Gas physical nvoice
</t>
        </r>
      </text>
    </comment>
    <comment ref="I15" authorId="0" shapeId="0">
      <text>
        <r>
          <rPr>
            <b/>
            <sz val="8"/>
            <color indexed="81"/>
            <rFont val="Tahoma"/>
          </rPr>
          <t>amirobal:</t>
        </r>
        <r>
          <rPr>
            <sz val="8"/>
            <color indexed="81"/>
            <rFont val="Tahoma"/>
          </rPr>
          <t xml:space="preserve">
-80,300 Draft Invoice 1122064 (co 364 F)
-816.85 Draft Invoice 1122066 (co 364 F)
2,840,068.16 Gas Physical
co 364
</t>
        </r>
      </text>
    </comment>
    <comment ref="H16" authorId="0" shapeId="0">
      <text>
        <r>
          <rPr>
            <b/>
            <sz val="8"/>
            <color indexed="81"/>
            <rFont val="Tahoma"/>
          </rPr>
          <t>amirobal:</t>
        </r>
        <r>
          <rPr>
            <sz val="8"/>
            <color indexed="81"/>
            <rFont val="Tahoma"/>
          </rPr>
          <t xml:space="preserve">
260,267.55 Co 364 F
35,650 Draft Inovice 20169106 (co 364 F)
6,102,464.05 ( Co 364 G)</t>
        </r>
      </text>
    </comment>
    <comment ref="I16" authorId="0" shapeId="0">
      <text>
        <r>
          <rPr>
            <b/>
            <sz val="8"/>
            <color indexed="81"/>
            <rFont val="Tahoma"/>
          </rPr>
          <t>amirobal:</t>
        </r>
        <r>
          <rPr>
            <sz val="8"/>
            <color indexed="81"/>
            <rFont val="Tahoma"/>
          </rPr>
          <t xml:space="preserve">
-668,153.75 Draft Invoice 1121015 (co 364 F)
</t>
        </r>
      </text>
    </comment>
    <comment ref="H18" authorId="0" shapeId="0">
      <text>
        <r>
          <rPr>
            <b/>
            <sz val="8"/>
            <color indexed="81"/>
            <rFont val="Tahoma"/>
          </rPr>
          <t>amirobal:</t>
        </r>
        <r>
          <rPr>
            <sz val="8"/>
            <color indexed="81"/>
            <rFont val="Tahoma"/>
          </rPr>
          <t xml:space="preserve">
Power Invoice
</t>
        </r>
      </text>
    </comment>
    <comment ref="I18" authorId="0" shapeId="0">
      <text>
        <r>
          <rPr>
            <b/>
            <sz val="8"/>
            <color indexed="81"/>
            <rFont val="Tahoma"/>
          </rPr>
          <t>amirobal:</t>
        </r>
        <r>
          <rPr>
            <sz val="8"/>
            <color indexed="81"/>
            <rFont val="Tahoma"/>
          </rPr>
          <t xml:space="preserve">
Power Invoice 
</t>
        </r>
      </text>
    </comment>
    <comment ref="H19" authorId="0" shapeId="0">
      <text>
        <r>
          <rPr>
            <b/>
            <sz val="8"/>
            <color indexed="81"/>
            <rFont val="Tahoma"/>
          </rPr>
          <t>amirobal:</t>
        </r>
        <r>
          <rPr>
            <sz val="8"/>
            <color indexed="81"/>
            <rFont val="Tahoma"/>
          </rPr>
          <t xml:space="preserve">
7,002,125.09 CO 364
3,943,975.09 Draft Invoice  20169127 ( co 364 F)
1,051,657.98  (Co 364 G)
</t>
        </r>
      </text>
    </comment>
    <comment ref="I19" authorId="0" shapeId="0">
      <text>
        <r>
          <rPr>
            <b/>
            <sz val="8"/>
            <color indexed="81"/>
            <rFont val="Tahoma"/>
          </rPr>
          <t>amirobal:</t>
        </r>
        <r>
          <rPr>
            <sz val="8"/>
            <color indexed="81"/>
            <rFont val="Tahoma"/>
          </rPr>
          <t xml:space="preserve">
Gas Physical invoice
</t>
        </r>
      </text>
    </comment>
    <comment ref="H20" authorId="0" shapeId="0">
      <text>
        <r>
          <rPr>
            <b/>
            <sz val="8"/>
            <color indexed="81"/>
            <rFont val="Tahoma"/>
          </rPr>
          <t>amirobal:</t>
        </r>
        <r>
          <rPr>
            <sz val="8"/>
            <color indexed="81"/>
            <rFont val="Tahoma"/>
          </rPr>
          <t xml:space="preserve">
15,600 Draft Invoice  20169137 (co 364 F)
697,500 Draft Invoice 20168778 (co 364 F)
6,861,645.01 (Co 364 G)</t>
        </r>
      </text>
    </comment>
    <comment ref="I20" authorId="0" shapeId="0">
      <text>
        <r>
          <rPr>
            <b/>
            <sz val="8"/>
            <color indexed="81"/>
            <rFont val="Tahoma"/>
          </rPr>
          <t>amirobal:</t>
        </r>
        <r>
          <rPr>
            <sz val="8"/>
            <color indexed="81"/>
            <rFont val="Tahoma"/>
          </rPr>
          <t xml:space="preserve">
Physical Gas
-88013
-2,807,014.83
</t>
        </r>
      </text>
    </comment>
    <comment ref="H22" authorId="0" shapeId="0">
      <text>
        <r>
          <rPr>
            <b/>
            <sz val="8"/>
            <color indexed="81"/>
            <rFont val="Tahoma"/>
          </rPr>
          <t>amirobal:</t>
        </r>
        <r>
          <rPr>
            <sz val="8"/>
            <color indexed="81"/>
            <rFont val="Tahoma"/>
          </rPr>
          <t xml:space="preserve">
Power Invoices</t>
        </r>
      </text>
    </comment>
    <comment ref="I22" authorId="0" shapeId="0">
      <text>
        <r>
          <rPr>
            <b/>
            <sz val="8"/>
            <color indexed="81"/>
            <rFont val="Tahoma"/>
          </rPr>
          <t>amirobal:</t>
        </r>
        <r>
          <rPr>
            <sz val="8"/>
            <color indexed="81"/>
            <rFont val="Tahoma"/>
          </rPr>
          <t xml:space="preserve">
Power Invoices
</t>
        </r>
      </text>
    </comment>
    <comment ref="I23" authorId="0" shapeId="0">
      <text>
        <r>
          <rPr>
            <b/>
            <sz val="8"/>
            <color indexed="81"/>
            <rFont val="Tahoma"/>
          </rPr>
          <t>amirobal:</t>
        </r>
        <r>
          <rPr>
            <sz val="8"/>
            <color indexed="81"/>
            <rFont val="Tahoma"/>
          </rPr>
          <t xml:space="preserve">
-17,110.50 Co 364 F
-1,339,297.05 Draft Invoice 1122015 (co 364 F)</t>
        </r>
      </text>
    </comment>
    <comment ref="H24" authorId="0" shapeId="0">
      <text>
        <r>
          <rPr>
            <b/>
            <sz val="8"/>
            <color indexed="81"/>
            <rFont val="Tahoma"/>
          </rPr>
          <t>amirobal:</t>
        </r>
        <r>
          <rPr>
            <sz val="8"/>
            <color indexed="81"/>
            <rFont val="Tahoma"/>
          </rPr>
          <t xml:space="preserve">
1,200,492 Draft Invoice 1122012 (co 364 F)
</t>
        </r>
      </text>
    </comment>
    <comment ref="H25" authorId="0" shapeId="0">
      <text>
        <r>
          <rPr>
            <b/>
            <sz val="8"/>
            <color indexed="81"/>
            <rFont val="Tahoma"/>
          </rPr>
          <t>amirobal:</t>
        </r>
        <r>
          <rPr>
            <sz val="8"/>
            <color indexed="81"/>
            <rFont val="Tahoma"/>
          </rPr>
          <t xml:space="preserve">
136,225 Draft Invoice 1122047 (co 460 F)
84,630 Draft Invoice 1121732 (co 364 F)
11,390 Draft Invoice
1121051 (Co 364 F)
202,409.67 Draft Invoice
1121856 (Co 364 F)
9,000 Draft Invoice
2018784 (co 364 F)
1,563,389 (co 364 G)</t>
        </r>
      </text>
    </comment>
    <comment ref="I25" authorId="0" shapeId="0">
      <text>
        <r>
          <rPr>
            <b/>
            <sz val="8"/>
            <color indexed="81"/>
            <rFont val="Tahoma"/>
          </rPr>
          <t>amirobal:</t>
        </r>
        <r>
          <rPr>
            <sz val="8"/>
            <color indexed="81"/>
            <rFont val="Tahoma"/>
          </rPr>
          <t xml:space="preserve">
-154,380 Draft Invoice 20169142( Co 364 F)
-97,057.07 (co 364 G)</t>
        </r>
      </text>
    </comment>
    <comment ref="H26" authorId="0" shapeId="0">
      <text>
        <r>
          <rPr>
            <b/>
            <sz val="8"/>
            <color indexed="81"/>
            <rFont val="Tahoma"/>
          </rPr>
          <t>amirobal:</t>
        </r>
        <r>
          <rPr>
            <sz val="8"/>
            <color indexed="81"/>
            <rFont val="Tahoma"/>
          </rPr>
          <t xml:space="preserve">
-10,000,000 Co 460  F Cash on account
</t>
        </r>
      </text>
    </comment>
    <comment ref="I26" authorId="0" shapeId="0">
      <text>
        <r>
          <rPr>
            <b/>
            <sz val="8"/>
            <color indexed="81"/>
            <rFont val="Tahoma"/>
          </rPr>
          <t>amirobal:</t>
        </r>
        <r>
          <rPr>
            <sz val="8"/>
            <color indexed="81"/>
            <rFont val="Tahoma"/>
          </rPr>
          <t xml:space="preserve">
-1,215,800 Draft Invoice
1121057 (co 364 F)
</t>
        </r>
      </text>
    </comment>
    <comment ref="H27" authorId="0" shapeId="0">
      <text>
        <r>
          <rPr>
            <b/>
            <sz val="8"/>
            <color indexed="81"/>
            <rFont val="Tahoma"/>
          </rPr>
          <t>amirobal:</t>
        </r>
        <r>
          <rPr>
            <sz val="8"/>
            <color indexed="81"/>
            <rFont val="Tahoma"/>
          </rPr>
          <t xml:space="preserve">
274,396 Co 364 F
752,276.40 Co 364 G
645.32 Co 364 G</t>
        </r>
      </text>
    </comment>
    <comment ref="I28" authorId="0" shapeId="0">
      <text>
        <r>
          <rPr>
            <b/>
            <sz val="8"/>
            <color indexed="81"/>
            <rFont val="Tahoma"/>
          </rPr>
          <t>amirobal:</t>
        </r>
        <r>
          <rPr>
            <sz val="8"/>
            <color indexed="81"/>
            <rFont val="Tahoma"/>
          </rPr>
          <t xml:space="preserve">
-1,754,916.24 Draft Invoice 1121976 (co 364 F)
-2731.66 (Co 364 G)
</t>
        </r>
      </text>
    </comment>
    <comment ref="H31" authorId="0" shapeId="0">
      <text>
        <r>
          <rPr>
            <b/>
            <sz val="8"/>
            <color indexed="81"/>
            <rFont val="Tahoma"/>
          </rPr>
          <t>amirobal:</t>
        </r>
        <r>
          <rPr>
            <sz val="8"/>
            <color indexed="81"/>
            <rFont val="Tahoma"/>
          </rPr>
          <t xml:space="preserve">
75,918 Co 364 F
</t>
        </r>
      </text>
    </comment>
  </commentList>
</comments>
</file>

<file path=xl/sharedStrings.xml><?xml version="1.0" encoding="utf-8"?>
<sst xmlns="http://schemas.openxmlformats.org/spreadsheetml/2006/main" count="169" uniqueCount="69">
  <si>
    <t>Pre-bankruptcy Payouts</t>
  </si>
  <si>
    <t>Cash In</t>
  </si>
  <si>
    <t>Counterparty</t>
  </si>
  <si>
    <t>Commodity MTM</t>
  </si>
  <si>
    <t>The Energy Authority</t>
  </si>
  <si>
    <t>Related Commodities</t>
  </si>
  <si>
    <t>Power</t>
  </si>
  <si>
    <t>% of Total Cash In</t>
  </si>
  <si>
    <t>Net Gain / (Loss)</t>
  </si>
  <si>
    <t>Financial (Non-power)</t>
  </si>
  <si>
    <t>Power (assignment # 461072)</t>
  </si>
  <si>
    <t>Public Service Company of Colorado</t>
  </si>
  <si>
    <t>Pemex</t>
  </si>
  <si>
    <t>Gas &amp; Financial</t>
  </si>
  <si>
    <t>Bear Stern</t>
  </si>
  <si>
    <t>T. Boone</t>
  </si>
  <si>
    <t>Commodity Receivable / (Payable)</t>
  </si>
  <si>
    <t>Physical Gas</t>
  </si>
  <si>
    <t>Coal</t>
  </si>
  <si>
    <t>Emissions</t>
  </si>
  <si>
    <t>Comments</t>
  </si>
  <si>
    <t>Per Contract: $45 MM = Physical Power, ($3) MM = All Financial Commodities</t>
  </si>
  <si>
    <t>Gas</t>
  </si>
  <si>
    <t>Power (Physical Only)</t>
  </si>
  <si>
    <t>Financial (including weather) - no power</t>
  </si>
  <si>
    <t>Socal - J.P. Morgan</t>
  </si>
  <si>
    <t>BP Capital Energy Equity Fund, L.P.</t>
  </si>
  <si>
    <t>BP Capital Energy Equity International Holdings I, Ltd.</t>
  </si>
  <si>
    <t>In Legal Pre-Petition Packet?</t>
  </si>
  <si>
    <t>Yes</t>
  </si>
  <si>
    <t>Natural Gas Only</t>
  </si>
  <si>
    <t>Constellation Power Source, Inc.</t>
  </si>
  <si>
    <t>International Paper Company</t>
  </si>
  <si>
    <t>Michigan Consolidated Gas Company</t>
  </si>
  <si>
    <t>Firm Gas Storage Contract</t>
  </si>
  <si>
    <t>NUI Energy Brokers, Inc.</t>
  </si>
  <si>
    <t>No Power</t>
  </si>
  <si>
    <t>Yes, but amount not confirmed</t>
  </si>
  <si>
    <t>Southern California Edison Company, PG&amp; E Energy Trading-Power, L.P.</t>
  </si>
  <si>
    <t>No</t>
  </si>
  <si>
    <t>UGI Utilities, Inc.</t>
  </si>
  <si>
    <t>Sprague Energy Corp.</t>
  </si>
  <si>
    <t>Gas Only</t>
  </si>
  <si>
    <t>Thermo Cogeneration Partnership LP</t>
  </si>
  <si>
    <t>Wells Fargo Bank N.A.</t>
  </si>
  <si>
    <t>Timber Only</t>
  </si>
  <si>
    <t>Date of Liquidation</t>
  </si>
  <si>
    <t>Financial Gas Only</t>
  </si>
  <si>
    <t>?</t>
  </si>
  <si>
    <t>Sequent Energy Management, L.P., successor to AGL Energy Services, Inc. as agent for Virginia Natural Gas, Inc.</t>
  </si>
  <si>
    <t>May be same as BP Capital Energy below</t>
  </si>
  <si>
    <t>Deal #'s: YJ4705.1, YJ4707.1, YJ7870.1, YM0130.2</t>
  </si>
  <si>
    <t>Energy Authority, The</t>
  </si>
  <si>
    <t>Deal #'s: YC7501.1, YC7504.1, YD9169.1, Y66767</t>
  </si>
  <si>
    <t>Deal #Y39941.1</t>
  </si>
  <si>
    <t>Deal #'s:QY7884.2, 689564</t>
  </si>
  <si>
    <t>Deal #VQ6899.1</t>
  </si>
  <si>
    <t>Deal #VV1232.1</t>
  </si>
  <si>
    <t>Deal#'s: VQ6899.1, VV1231.1</t>
  </si>
  <si>
    <t xml:space="preserve">Southern California Edison Company, PG&amp; E Energy Trading-Power, L.P.  </t>
  </si>
  <si>
    <t>Accounts Receivable</t>
  </si>
  <si>
    <t>Accounts Payable</t>
  </si>
  <si>
    <t>Gas Financial</t>
  </si>
  <si>
    <r>
      <t xml:space="preserve">Southern California Edison Company, PG&amp; E Energy Trading-Power, L.P.  </t>
    </r>
    <r>
      <rPr>
        <b/>
        <sz val="10"/>
        <rFont val="Arial"/>
        <family val="2"/>
      </rPr>
      <t>CAD$</t>
    </r>
  </si>
  <si>
    <t>Includes NUI Energy Brokers, Inc, NUI Corporation, NUI Utilities, Inc., Elizabethtown Gas Company, NUI Corporation - City Gas Company</t>
  </si>
  <si>
    <t>Commodity</t>
  </si>
  <si>
    <t xml:space="preserve"> Receivable / (Payable)</t>
  </si>
  <si>
    <t>Balance is both VNG $6,861,645.01 and Sequent ($2,895,027.83).  VNG Balance is reduced for Demand/FS Service that VNG paid directly to the pipe since ENA did not pay the pipe.</t>
  </si>
  <si>
    <t>Cash on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</si>
</sst>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43" formatCode="_(* #,##0.00_);_(* \(#,##0.00\);_(* &quot;-&quot;??_);_(@_)"/>
  </numFmts>
  <fonts count="11" x14ac:knownFonts="1">
    <font>
      <sz val="10"/>
      <name val="Arial"/>
    </font>
    <font>
      <sz val="10"/>
      <name val="Arial"/>
    </font>
    <font>
      <b/>
      <i/>
      <sz val="10"/>
      <name val="Arial"/>
      <family val="2"/>
    </font>
    <font>
      <i/>
      <sz val="10"/>
      <name val="Arial"/>
      <family val="2"/>
    </font>
    <font>
      <sz val="8"/>
      <name val="Arial"/>
      <family val="2"/>
    </font>
    <font>
      <sz val="8"/>
      <color indexed="81"/>
      <name val="Tahoma"/>
    </font>
    <font>
      <b/>
      <sz val="8"/>
      <color indexed="81"/>
      <name val="Tahoma"/>
    </font>
    <font>
      <sz val="10"/>
      <color indexed="10"/>
      <name val="Arial"/>
      <family val="2"/>
    </font>
    <font>
      <sz val="10"/>
      <name val="Arial"/>
      <family val="2"/>
    </font>
    <font>
      <b/>
      <sz val="10"/>
      <name val="Arial"/>
      <family val="2"/>
    </font>
    <font>
      <sz val="11"/>
      <name val="Arial"/>
      <family val="2"/>
    </font>
  </fonts>
  <fills count="2">
    <fill>
      <patternFill patternType="none"/>
    </fill>
    <fill>
      <patternFill patternType="gray125"/>
    </fill>
  </fills>
  <borders count="3">
    <border>
      <left/>
      <right/>
      <top/>
      <bottom/>
      <diagonal/>
    </border>
    <border>
      <left/>
      <right/>
      <top style="thin">
        <color indexed="64"/>
      </top>
      <bottom style="double">
        <color indexed="64"/>
      </bottom>
      <diagonal/>
    </border>
    <border>
      <left/>
      <right/>
      <top/>
      <bottom style="medium">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26">
    <xf numFmtId="0" fontId="0" fillId="0" borderId="0" xfId="0"/>
    <xf numFmtId="0" fontId="2" fillId="0" borderId="0" xfId="0" applyFont="1"/>
    <xf numFmtId="0" fontId="3" fillId="0" borderId="0" xfId="0" applyFont="1"/>
    <xf numFmtId="44" fontId="0" fillId="0" borderId="0" xfId="2" applyFont="1"/>
    <xf numFmtId="0" fontId="4" fillId="0" borderId="0" xfId="0" applyFont="1"/>
    <xf numFmtId="44" fontId="0" fillId="0" borderId="1" xfId="2" applyFont="1" applyBorder="1"/>
    <xf numFmtId="0" fontId="0" fillId="0" borderId="0" xfId="0" applyAlignment="1">
      <alignment wrapText="1"/>
    </xf>
    <xf numFmtId="0" fontId="3" fillId="0" borderId="2" xfId="0" applyFont="1" applyBorder="1"/>
    <xf numFmtId="44" fontId="3" fillId="0" borderId="2" xfId="2" applyFont="1" applyBorder="1"/>
    <xf numFmtId="0" fontId="4" fillId="0" borderId="0" xfId="0" applyFont="1" applyAlignment="1">
      <alignment wrapText="1"/>
    </xf>
    <xf numFmtId="44" fontId="1" fillId="0" borderId="0" xfId="2"/>
    <xf numFmtId="44" fontId="1" fillId="0" borderId="1" xfId="2" applyBorder="1"/>
    <xf numFmtId="14" fontId="0" fillId="0" borderId="0" xfId="0" applyNumberFormat="1"/>
    <xf numFmtId="14" fontId="0" fillId="0" borderId="0" xfId="0" applyNumberFormat="1" applyAlignment="1">
      <alignment wrapText="1"/>
    </xf>
    <xf numFmtId="44" fontId="0" fillId="0" borderId="0" xfId="0" applyNumberFormat="1"/>
    <xf numFmtId="43" fontId="1" fillId="0" borderId="0" xfId="1"/>
    <xf numFmtId="43" fontId="3" fillId="0" borderId="2" xfId="1" applyFont="1" applyBorder="1"/>
    <xf numFmtId="43" fontId="7" fillId="0" borderId="0" xfId="1" applyFont="1"/>
    <xf numFmtId="43" fontId="1" fillId="0" borderId="0" xfId="1" applyFont="1"/>
    <xf numFmtId="43" fontId="8" fillId="0" borderId="0" xfId="1" applyFont="1"/>
    <xf numFmtId="44" fontId="1" fillId="0" borderId="0" xfId="2" applyFont="1"/>
    <xf numFmtId="39" fontId="8" fillId="0" borderId="0" xfId="2" applyNumberFormat="1" applyFont="1" applyFill="1"/>
    <xf numFmtId="0" fontId="8" fillId="0" borderId="0" xfId="0" applyFont="1" applyFill="1" applyAlignment="1">
      <alignment wrapText="1"/>
    </xf>
    <xf numFmtId="40" fontId="10" fillId="0" borderId="0" xfId="0" applyNumberFormat="1" applyFont="1" applyFill="1" applyAlignment="1">
      <alignment wrapText="1"/>
    </xf>
    <xf numFmtId="44" fontId="3" fillId="0" borderId="0" xfId="2" applyFont="1" applyAlignment="1">
      <alignment horizontal="center"/>
    </xf>
    <xf numFmtId="44" fontId="3" fillId="0" borderId="0" xfId="2" applyFont="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eaucoin/Local%20Settings/Temporary%20Internet%20Files/OLKB/pl%20by%20des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mp;l by desk"/>
      <sheetName val="Energy Auth"/>
      <sheetName val="PS Colorado"/>
      <sheetName val="Constellation"/>
    </sheetNames>
    <sheetDataSet>
      <sheetData sheetId="0" refreshError="1"/>
      <sheetData sheetId="1">
        <row r="3">
          <cell r="AC3">
            <v>623243.62</v>
          </cell>
        </row>
      </sheetData>
      <sheetData sheetId="2">
        <row r="10">
          <cell r="AC10">
            <v>9366029.5500000007</v>
          </cell>
        </row>
      </sheetData>
      <sheetData sheetId="3">
        <row r="32">
          <cell r="AC32">
            <v>44437042.88000001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109"/>
  <sheetViews>
    <sheetView tabSelected="1" topLeftCell="A2" zoomScale="85" workbookViewId="0">
      <pane xSplit="4" ySplit="2" topLeftCell="E4" activePane="bottomRight" state="frozen"/>
      <selection activeCell="A2" sqref="A2"/>
      <selection pane="topRight" activeCell="E2" sqref="E2"/>
      <selection pane="bottomLeft" activeCell="A4" sqref="A4"/>
      <selection pane="bottomRight" activeCell="D4" sqref="D4"/>
    </sheetView>
  </sheetViews>
  <sheetFormatPr defaultRowHeight="12.75" x14ac:dyDescent="0.2"/>
  <cols>
    <col min="1" max="1" width="26.5703125" bestFit="1" customWidth="1"/>
    <col min="2" max="2" width="50.28515625" customWidth="1"/>
    <col min="3" max="3" width="17.140625" bestFit="1" customWidth="1"/>
    <col min="4" max="4" width="16" style="10" bestFit="1" customWidth="1"/>
    <col min="5" max="5" width="35.5703125" style="10" bestFit="1" customWidth="1"/>
    <col min="6" max="6" width="15.28515625" style="10" bestFit="1" customWidth="1"/>
    <col min="7" max="7" width="15.28515625" style="10" customWidth="1"/>
    <col min="8" max="8" width="21.140625" style="15" bestFit="1" customWidth="1"/>
    <col min="9" max="9" width="17.85546875" style="15" customWidth="1"/>
    <col min="10" max="10" width="22.85546875" style="10" customWidth="1"/>
    <col min="11" max="11" width="17.28515625" hidden="1" customWidth="1"/>
    <col min="12" max="12" width="15.85546875" bestFit="1" customWidth="1"/>
    <col min="13" max="13" width="35" customWidth="1"/>
  </cols>
  <sheetData>
    <row r="1" spans="1:13" x14ac:dyDescent="0.2">
      <c r="B1" s="1" t="s">
        <v>0</v>
      </c>
      <c r="C1" s="1"/>
    </row>
    <row r="2" spans="1:13" x14ac:dyDescent="0.2">
      <c r="H2" s="25" t="s">
        <v>65</v>
      </c>
      <c r="I2" s="25"/>
      <c r="J2" s="24" t="s">
        <v>65</v>
      </c>
    </row>
    <row r="3" spans="1:13" s="2" customFormat="1" ht="13.5" thickBot="1" x14ac:dyDescent="0.25">
      <c r="A3" s="7" t="s">
        <v>28</v>
      </c>
      <c r="B3" s="7" t="s">
        <v>2</v>
      </c>
      <c r="C3" s="7" t="s">
        <v>46</v>
      </c>
      <c r="D3" s="8" t="s">
        <v>1</v>
      </c>
      <c r="E3" s="8" t="s">
        <v>5</v>
      </c>
      <c r="F3" s="8" t="s">
        <v>3</v>
      </c>
      <c r="G3" s="8" t="s">
        <v>68</v>
      </c>
      <c r="H3" s="16" t="s">
        <v>60</v>
      </c>
      <c r="I3" s="16" t="s">
        <v>61</v>
      </c>
      <c r="J3" s="8" t="s">
        <v>66</v>
      </c>
      <c r="K3" s="7" t="s">
        <v>7</v>
      </c>
      <c r="L3" s="7" t="s">
        <v>8</v>
      </c>
      <c r="M3" s="7" t="s">
        <v>20</v>
      </c>
    </row>
    <row r="4" spans="1:13" x14ac:dyDescent="0.2">
      <c r="A4" t="s">
        <v>39</v>
      </c>
      <c r="B4" t="s">
        <v>14</v>
      </c>
      <c r="C4" t="s">
        <v>48</v>
      </c>
      <c r="D4" s="10">
        <v>541000</v>
      </c>
      <c r="H4" s="15">
        <v>0</v>
      </c>
      <c r="I4" s="15">
        <v>0</v>
      </c>
      <c r="J4" s="10">
        <f>+H4+I4</f>
        <v>0</v>
      </c>
      <c r="M4" s="4" t="s">
        <v>50</v>
      </c>
    </row>
    <row r="5" spans="1:13" x14ac:dyDescent="0.2">
      <c r="A5" t="s">
        <v>29</v>
      </c>
      <c r="B5" t="s">
        <v>26</v>
      </c>
      <c r="C5" s="12">
        <v>37225</v>
      </c>
      <c r="D5" s="10">
        <f>21521740+4040916</f>
        <v>25562656</v>
      </c>
      <c r="E5" s="10" t="s">
        <v>9</v>
      </c>
      <c r="G5" s="10">
        <v>25000000</v>
      </c>
      <c r="H5" s="15">
        <v>0</v>
      </c>
      <c r="I5" s="15">
        <v>-2776050</v>
      </c>
      <c r="J5" s="15">
        <f>+H5+I5</f>
        <v>-2776050</v>
      </c>
      <c r="M5" s="4"/>
    </row>
    <row r="6" spans="1:13" x14ac:dyDescent="0.2">
      <c r="A6" t="s">
        <v>29</v>
      </c>
      <c r="B6" t="s">
        <v>27</v>
      </c>
      <c r="C6" s="12">
        <v>37225</v>
      </c>
      <c r="D6" s="10">
        <v>541000</v>
      </c>
      <c r="E6" s="10" t="s">
        <v>30</v>
      </c>
      <c r="H6" s="15">
        <v>0</v>
      </c>
      <c r="I6" s="15">
        <v>0</v>
      </c>
      <c r="J6" s="15">
        <f t="shared" ref="J6:J31" si="0">+H6+I6</f>
        <v>0</v>
      </c>
      <c r="M6" s="4" t="s">
        <v>51</v>
      </c>
    </row>
    <row r="7" spans="1:13" ht="21.75" customHeight="1" x14ac:dyDescent="0.2">
      <c r="A7" t="s">
        <v>29</v>
      </c>
      <c r="B7" t="s">
        <v>31</v>
      </c>
      <c r="C7" s="12">
        <v>37225</v>
      </c>
      <c r="D7" s="10">
        <v>45000000</v>
      </c>
      <c r="E7" s="10" t="s">
        <v>23</v>
      </c>
      <c r="F7" s="10">
        <f>[1]Constellation!$AC$32</f>
        <v>44437042.88000001</v>
      </c>
      <c r="H7" s="15">
        <f>301600+2014.05+60000+1144094.43+107984298.75</f>
        <v>109492007.23</v>
      </c>
      <c r="I7" s="15">
        <f>-1542600-101821392.5</f>
        <v>-103363992.5</v>
      </c>
      <c r="J7" s="15">
        <f t="shared" si="0"/>
        <v>6128014.7300000042</v>
      </c>
      <c r="L7" s="14">
        <f>D7-SUM(F7:J7)</f>
        <v>-11693072.340000018</v>
      </c>
      <c r="M7" s="9" t="s">
        <v>21</v>
      </c>
    </row>
    <row r="8" spans="1:13" ht="25.5" customHeight="1" x14ac:dyDescent="0.2">
      <c r="B8" t="s">
        <v>31</v>
      </c>
      <c r="D8" s="10">
        <v>-3000000</v>
      </c>
      <c r="E8" s="10" t="s">
        <v>24</v>
      </c>
      <c r="H8" s="15">
        <f>82750+13175+204633.5</f>
        <v>300558.5</v>
      </c>
      <c r="I8" s="15">
        <f>-1436137.45-11500-72200-1025051.3-2223800-14711426</f>
        <v>-19480114.75</v>
      </c>
      <c r="J8" s="15">
        <f t="shared" si="0"/>
        <v>-19179556.25</v>
      </c>
      <c r="M8" s="4"/>
    </row>
    <row r="9" spans="1:13" x14ac:dyDescent="0.2">
      <c r="B9" t="s">
        <v>31</v>
      </c>
      <c r="E9" s="10" t="s">
        <v>17</v>
      </c>
      <c r="H9" s="15">
        <v>0</v>
      </c>
      <c r="I9" s="21">
        <f>-27082.55-94656.58</f>
        <v>-121739.13</v>
      </c>
      <c r="J9" s="15">
        <f t="shared" si="0"/>
        <v>-121739.13</v>
      </c>
      <c r="M9" s="4"/>
    </row>
    <row r="10" spans="1:13" x14ac:dyDescent="0.2">
      <c r="B10" t="s">
        <v>31</v>
      </c>
      <c r="E10" s="10" t="s">
        <v>18</v>
      </c>
      <c r="H10" s="15">
        <v>0</v>
      </c>
      <c r="J10" s="15">
        <f t="shared" si="0"/>
        <v>0</v>
      </c>
      <c r="M10" s="4"/>
    </row>
    <row r="11" spans="1:13" x14ac:dyDescent="0.2">
      <c r="B11" t="s">
        <v>31</v>
      </c>
      <c r="E11" s="10" t="s">
        <v>19</v>
      </c>
      <c r="H11" s="15">
        <v>0</v>
      </c>
      <c r="J11" s="15">
        <f t="shared" si="0"/>
        <v>0</v>
      </c>
      <c r="M11" s="4"/>
    </row>
    <row r="12" spans="1:13" x14ac:dyDescent="0.2">
      <c r="A12" t="s">
        <v>29</v>
      </c>
      <c r="B12" t="s">
        <v>52</v>
      </c>
      <c r="C12" s="12">
        <v>37225</v>
      </c>
      <c r="D12" s="10">
        <v>724333.25</v>
      </c>
      <c r="E12" s="10" t="s">
        <v>6</v>
      </c>
      <c r="F12" s="10">
        <f>'[1]Energy Auth'!$AC$3</f>
        <v>623243.62</v>
      </c>
      <c r="H12" s="15">
        <v>0</v>
      </c>
      <c r="I12" s="15">
        <f>-11820-3000</f>
        <v>-14820</v>
      </c>
      <c r="J12" s="15">
        <f t="shared" si="0"/>
        <v>-14820</v>
      </c>
      <c r="L12" s="14">
        <f>D12-SUM(F12:J12)</f>
        <v>130729.63</v>
      </c>
      <c r="M12" s="4"/>
    </row>
    <row r="13" spans="1:13" x14ac:dyDescent="0.2">
      <c r="B13" t="s">
        <v>52</v>
      </c>
      <c r="E13" s="10" t="s">
        <v>22</v>
      </c>
      <c r="H13" s="15">
        <v>23797.62</v>
      </c>
      <c r="I13" s="15">
        <v>-39930</v>
      </c>
      <c r="J13" s="15">
        <f t="shared" si="0"/>
        <v>-16132.380000000001</v>
      </c>
      <c r="M13" s="4"/>
    </row>
    <row r="14" spans="1:13" x14ac:dyDescent="0.2">
      <c r="A14" t="s">
        <v>29</v>
      </c>
      <c r="B14" t="s">
        <v>32</v>
      </c>
      <c r="C14" s="12">
        <v>37225</v>
      </c>
      <c r="D14" s="10">
        <v>12163283</v>
      </c>
      <c r="E14" s="10" t="s">
        <v>13</v>
      </c>
      <c r="H14" s="15">
        <f>1311164+44880</f>
        <v>1356044</v>
      </c>
      <c r="I14" s="15">
        <v>0</v>
      </c>
      <c r="J14" s="15">
        <f t="shared" si="0"/>
        <v>1356044</v>
      </c>
      <c r="M14" s="4"/>
    </row>
    <row r="15" spans="1:13" ht="26.25" customHeight="1" x14ac:dyDescent="0.2">
      <c r="A15" t="s">
        <v>29</v>
      </c>
      <c r="B15" t="s">
        <v>33</v>
      </c>
      <c r="C15" s="12">
        <v>37223</v>
      </c>
      <c r="D15" s="10">
        <v>0</v>
      </c>
      <c r="E15" s="10" t="s">
        <v>34</v>
      </c>
      <c r="H15" s="15">
        <v>4262800.76</v>
      </c>
      <c r="I15" s="15">
        <f>-80300-816.85-2840068.16</f>
        <v>-2921185.0100000002</v>
      </c>
      <c r="J15" s="15">
        <f t="shared" si="0"/>
        <v>1341615.7499999995</v>
      </c>
      <c r="M15" s="4"/>
    </row>
    <row r="16" spans="1:13" ht="51" x14ac:dyDescent="0.2">
      <c r="A16" t="s">
        <v>29</v>
      </c>
      <c r="B16" t="s">
        <v>35</v>
      </c>
      <c r="C16" s="12">
        <v>37225</v>
      </c>
      <c r="D16" s="10">
        <v>42900000</v>
      </c>
      <c r="E16" s="10" t="s">
        <v>36</v>
      </c>
      <c r="H16" s="15">
        <f>260367.55+35650+6102464.05</f>
        <v>6398481.5999999996</v>
      </c>
      <c r="I16" s="15">
        <v>-668153.75</v>
      </c>
      <c r="J16" s="15">
        <f t="shared" si="0"/>
        <v>5730327.8499999996</v>
      </c>
      <c r="M16" s="22" t="s">
        <v>64</v>
      </c>
    </row>
    <row r="17" spans="1:13" x14ac:dyDescent="0.2">
      <c r="A17" t="s">
        <v>39</v>
      </c>
      <c r="B17" t="s">
        <v>12</v>
      </c>
      <c r="D17" s="10">
        <v>4122000</v>
      </c>
      <c r="H17" s="15">
        <v>0</v>
      </c>
      <c r="I17" s="15">
        <v>0</v>
      </c>
      <c r="J17" s="15">
        <f t="shared" si="0"/>
        <v>0</v>
      </c>
      <c r="M17" s="4"/>
    </row>
    <row r="18" spans="1:13" ht="26.25" customHeight="1" x14ac:dyDescent="0.2">
      <c r="A18" t="s">
        <v>29</v>
      </c>
      <c r="B18" t="s">
        <v>11</v>
      </c>
      <c r="C18" s="12">
        <v>37225</v>
      </c>
      <c r="D18" s="10">
        <v>6000000</v>
      </c>
      <c r="E18" s="10" t="s">
        <v>6</v>
      </c>
      <c r="F18" s="10">
        <f>'[1]PS Colorado'!$AC$10</f>
        <v>9366029.5500000007</v>
      </c>
      <c r="H18" s="15">
        <f>28048267.5</f>
        <v>28048267.5</v>
      </c>
      <c r="I18" s="15">
        <f>-897.71-30293039.5</f>
        <v>-30293937.210000001</v>
      </c>
      <c r="J18" s="15">
        <f t="shared" si="0"/>
        <v>-2245669.7100000009</v>
      </c>
      <c r="L18" s="14">
        <f>D18-SUM(F18:J18)</f>
        <v>1125309.8700000048</v>
      </c>
      <c r="M18" s="4"/>
    </row>
    <row r="19" spans="1:13" x14ac:dyDescent="0.2">
      <c r="B19" t="s">
        <v>11</v>
      </c>
      <c r="E19" s="10" t="s">
        <v>22</v>
      </c>
      <c r="H19" s="18">
        <f>7002125.09+3943975.09+1051657.98</f>
        <v>11997758.16</v>
      </c>
      <c r="I19" s="15">
        <v>-74704.13</v>
      </c>
      <c r="J19" s="15">
        <f t="shared" si="0"/>
        <v>11923054.029999999</v>
      </c>
      <c r="M19" s="4"/>
    </row>
    <row r="20" spans="1:13" ht="71.25" x14ac:dyDescent="0.2">
      <c r="A20" t="s">
        <v>29</v>
      </c>
      <c r="B20" s="6" t="s">
        <v>49</v>
      </c>
      <c r="C20" s="12">
        <v>37226</v>
      </c>
      <c r="D20" s="10">
        <v>0</v>
      </c>
      <c r="E20" s="10" t="s">
        <v>22</v>
      </c>
      <c r="H20" s="15">
        <f>15600+697500+6861645.01</f>
        <v>7574745.0099999998</v>
      </c>
      <c r="I20" s="15">
        <f>-88013-2807014.83</f>
        <v>-2895027.83</v>
      </c>
      <c r="J20" s="15">
        <f t="shared" si="0"/>
        <v>4679717.18</v>
      </c>
      <c r="M20" s="23" t="s">
        <v>67</v>
      </c>
    </row>
    <row r="21" spans="1:13" x14ac:dyDescent="0.2">
      <c r="A21" t="s">
        <v>39</v>
      </c>
      <c r="B21" t="s">
        <v>25</v>
      </c>
      <c r="C21" t="s">
        <v>48</v>
      </c>
      <c r="D21" s="10">
        <v>1200000</v>
      </c>
      <c r="H21" s="15">
        <v>0</v>
      </c>
      <c r="I21" s="15">
        <v>0</v>
      </c>
      <c r="J21" s="15">
        <f t="shared" si="0"/>
        <v>0</v>
      </c>
      <c r="M21" s="4"/>
    </row>
    <row r="22" spans="1:13" ht="25.5" x14ac:dyDescent="0.2">
      <c r="A22" t="s">
        <v>37</v>
      </c>
      <c r="B22" s="6" t="s">
        <v>38</v>
      </c>
      <c r="C22" s="13">
        <v>37225</v>
      </c>
      <c r="D22" s="10">
        <v>5000000</v>
      </c>
      <c r="E22" s="10" t="s">
        <v>10</v>
      </c>
      <c r="H22" s="15">
        <f>2688477.94+200815.97+3160.5+124795789.18+1200000</f>
        <v>128888243.59</v>
      </c>
      <c r="I22" s="15">
        <f>-85000-198412.46-142697259.6-48000</f>
        <v>-143028672.06</v>
      </c>
      <c r="J22" s="15">
        <f t="shared" si="0"/>
        <v>-14140428.469999999</v>
      </c>
      <c r="M22" s="4"/>
    </row>
    <row r="23" spans="1:13" ht="25.5" x14ac:dyDescent="0.2">
      <c r="B23" s="6" t="s">
        <v>59</v>
      </c>
      <c r="C23" s="13"/>
      <c r="E23" s="20" t="s">
        <v>62</v>
      </c>
      <c r="H23" s="17">
        <v>0</v>
      </c>
      <c r="I23" s="15">
        <f>-17110.5-1339297.05</f>
        <v>-1356407.55</v>
      </c>
      <c r="J23" s="15">
        <f t="shared" si="0"/>
        <v>-1356407.55</v>
      </c>
      <c r="M23" s="4"/>
    </row>
    <row r="24" spans="1:13" ht="25.5" x14ac:dyDescent="0.2">
      <c r="B24" s="6" t="s">
        <v>63</v>
      </c>
      <c r="C24" s="13"/>
      <c r="E24" s="20" t="s">
        <v>62</v>
      </c>
      <c r="H24" s="19">
        <v>1200492</v>
      </c>
      <c r="J24" s="15">
        <f t="shared" si="0"/>
        <v>1200492</v>
      </c>
      <c r="M24" s="4"/>
    </row>
    <row r="25" spans="1:13" x14ac:dyDescent="0.2">
      <c r="A25" t="s">
        <v>29</v>
      </c>
      <c r="B25" t="s">
        <v>41</v>
      </c>
      <c r="C25" s="12">
        <v>37225</v>
      </c>
      <c r="D25" s="10">
        <v>14000000</v>
      </c>
      <c r="E25" s="10" t="s">
        <v>42</v>
      </c>
      <c r="H25" s="18">
        <f>136225+84630+11390+202409.67+9000+1563389</f>
        <v>2007043.67</v>
      </c>
      <c r="I25" s="15">
        <f>-154380-97057.07</f>
        <v>-251437.07</v>
      </c>
      <c r="J25" s="15">
        <f t="shared" si="0"/>
        <v>1755606.5999999999</v>
      </c>
      <c r="M25" s="4" t="s">
        <v>53</v>
      </c>
    </row>
    <row r="26" spans="1:13" x14ac:dyDescent="0.2">
      <c r="A26" t="s">
        <v>29</v>
      </c>
      <c r="B26" t="s">
        <v>15</v>
      </c>
      <c r="C26" s="12">
        <v>37225</v>
      </c>
      <c r="D26" s="10">
        <v>7073860</v>
      </c>
      <c r="E26" s="10" t="s">
        <v>9</v>
      </c>
      <c r="G26" s="10">
        <v>10000000</v>
      </c>
      <c r="H26" s="15">
        <v>0</v>
      </c>
      <c r="I26" s="15">
        <v>-1215800</v>
      </c>
      <c r="J26" s="15">
        <f t="shared" si="0"/>
        <v>-1215800</v>
      </c>
      <c r="M26" s="4"/>
    </row>
    <row r="27" spans="1:13" x14ac:dyDescent="0.2">
      <c r="A27" t="s">
        <v>29</v>
      </c>
      <c r="B27" t="s">
        <v>43</v>
      </c>
      <c r="C27" s="12">
        <v>37224</v>
      </c>
      <c r="D27" s="10">
        <v>274396</v>
      </c>
      <c r="E27" s="10" t="s">
        <v>42</v>
      </c>
      <c r="H27" s="18">
        <f>274396+752276.4+645.32</f>
        <v>1027317.72</v>
      </c>
      <c r="I27" s="15">
        <v>0</v>
      </c>
      <c r="J27" s="15">
        <f t="shared" si="0"/>
        <v>1027317.72</v>
      </c>
      <c r="M27" s="4" t="s">
        <v>54</v>
      </c>
    </row>
    <row r="28" spans="1:13" x14ac:dyDescent="0.2">
      <c r="A28" t="s">
        <v>29</v>
      </c>
      <c r="B28" t="s">
        <v>40</v>
      </c>
      <c r="C28" s="12">
        <v>37226</v>
      </c>
      <c r="D28" s="10">
        <v>1460000</v>
      </c>
      <c r="E28" s="10" t="s">
        <v>22</v>
      </c>
      <c r="H28" s="15">
        <v>0</v>
      </c>
      <c r="I28" s="15">
        <f>-1754916.24-2731.66</f>
        <v>-1757647.9</v>
      </c>
      <c r="J28" s="15">
        <f t="shared" si="0"/>
        <v>-1757647.9</v>
      </c>
      <c r="M28" s="4" t="s">
        <v>55</v>
      </c>
    </row>
    <row r="29" spans="1:13" x14ac:dyDescent="0.2">
      <c r="A29" t="s">
        <v>29</v>
      </c>
      <c r="B29" t="s">
        <v>44</v>
      </c>
      <c r="C29" s="12">
        <v>37224</v>
      </c>
      <c r="D29" s="10">
        <v>43638</v>
      </c>
      <c r="E29" s="10" t="s">
        <v>42</v>
      </c>
      <c r="H29" s="15">
        <v>0</v>
      </c>
      <c r="I29" s="15">
        <v>0</v>
      </c>
      <c r="J29" s="15">
        <f t="shared" si="0"/>
        <v>0</v>
      </c>
      <c r="M29" s="4" t="s">
        <v>56</v>
      </c>
    </row>
    <row r="30" spans="1:13" x14ac:dyDescent="0.2">
      <c r="A30" t="s">
        <v>29</v>
      </c>
      <c r="B30" t="s">
        <v>44</v>
      </c>
      <c r="C30" s="12">
        <v>37224</v>
      </c>
      <c r="D30" s="10">
        <v>32280</v>
      </c>
      <c r="E30" s="10" t="s">
        <v>45</v>
      </c>
      <c r="H30" s="15">
        <v>0</v>
      </c>
      <c r="I30" s="15">
        <v>0</v>
      </c>
      <c r="J30" s="15">
        <f t="shared" si="0"/>
        <v>0</v>
      </c>
      <c r="M30" s="4" t="s">
        <v>57</v>
      </c>
    </row>
    <row r="31" spans="1:13" x14ac:dyDescent="0.2">
      <c r="A31" t="s">
        <v>29</v>
      </c>
      <c r="B31" t="s">
        <v>44</v>
      </c>
      <c r="C31" s="12">
        <v>37228</v>
      </c>
      <c r="D31" s="10">
        <v>75918</v>
      </c>
      <c r="E31" s="10" t="s">
        <v>47</v>
      </c>
      <c r="H31" s="15">
        <v>75918</v>
      </c>
      <c r="I31" s="15">
        <v>0</v>
      </c>
      <c r="J31" s="15">
        <f t="shared" si="0"/>
        <v>75918</v>
      </c>
      <c r="M31" s="4" t="s">
        <v>58</v>
      </c>
    </row>
    <row r="32" spans="1:13" ht="13.5" thickBot="1" x14ac:dyDescent="0.25">
      <c r="D32" s="11">
        <f>SUM(D4:D31)</f>
        <v>163714364.25</v>
      </c>
      <c r="G32" s="11">
        <f>SUM(G4:G31)</f>
        <v>35000000</v>
      </c>
      <c r="H32" s="11">
        <f>SUM(H4:H31)</f>
        <v>302653475.36000007</v>
      </c>
      <c r="I32" s="11">
        <f>SUM(I4:I31)</f>
        <v>-310259618.88999999</v>
      </c>
      <c r="J32" s="11">
        <f>SUM(J4:J31)</f>
        <v>-7606143.5299999993</v>
      </c>
      <c r="M32" s="4"/>
    </row>
    <row r="33" spans="13:13" ht="13.5" thickTop="1" x14ac:dyDescent="0.2">
      <c r="M33" s="4"/>
    </row>
    <row r="34" spans="13:13" x14ac:dyDescent="0.2">
      <c r="M34" s="4"/>
    </row>
    <row r="35" spans="13:13" x14ac:dyDescent="0.2">
      <c r="M35" s="4"/>
    </row>
    <row r="36" spans="13:13" x14ac:dyDescent="0.2">
      <c r="M36" s="4"/>
    </row>
    <row r="37" spans="13:13" x14ac:dyDescent="0.2">
      <c r="M37" s="4"/>
    </row>
    <row r="38" spans="13:13" x14ac:dyDescent="0.2">
      <c r="M38" s="4"/>
    </row>
    <row r="39" spans="13:13" x14ac:dyDescent="0.2">
      <c r="M39" s="4"/>
    </row>
    <row r="40" spans="13:13" x14ac:dyDescent="0.2">
      <c r="M40" s="4"/>
    </row>
    <row r="41" spans="13:13" x14ac:dyDescent="0.2">
      <c r="M41" s="4"/>
    </row>
    <row r="42" spans="13:13" x14ac:dyDescent="0.2">
      <c r="M42" s="4"/>
    </row>
    <row r="43" spans="13:13" x14ac:dyDescent="0.2">
      <c r="M43" s="4"/>
    </row>
    <row r="44" spans="13:13" x14ac:dyDescent="0.2">
      <c r="M44" s="4"/>
    </row>
    <row r="45" spans="13:13" x14ac:dyDescent="0.2">
      <c r="M45" s="4"/>
    </row>
    <row r="46" spans="13:13" x14ac:dyDescent="0.2">
      <c r="M46" s="4"/>
    </row>
    <row r="47" spans="13:13" x14ac:dyDescent="0.2">
      <c r="M47" s="4"/>
    </row>
    <row r="48" spans="13:13" x14ac:dyDescent="0.2">
      <c r="M48" s="4"/>
    </row>
    <row r="49" spans="13:13" x14ac:dyDescent="0.2">
      <c r="M49" s="4"/>
    </row>
    <row r="50" spans="13:13" x14ac:dyDescent="0.2">
      <c r="M50" s="4"/>
    </row>
    <row r="51" spans="13:13" x14ac:dyDescent="0.2">
      <c r="M51" s="4"/>
    </row>
    <row r="52" spans="13:13" x14ac:dyDescent="0.2">
      <c r="M52" s="4"/>
    </row>
    <row r="53" spans="13:13" x14ac:dyDescent="0.2">
      <c r="M53" s="4"/>
    </row>
    <row r="54" spans="13:13" x14ac:dyDescent="0.2">
      <c r="M54" s="4"/>
    </row>
    <row r="55" spans="13:13" x14ac:dyDescent="0.2">
      <c r="M55" s="4"/>
    </row>
    <row r="56" spans="13:13" x14ac:dyDescent="0.2">
      <c r="M56" s="4"/>
    </row>
    <row r="57" spans="13:13" x14ac:dyDescent="0.2">
      <c r="M57" s="4"/>
    </row>
    <row r="58" spans="13:13" x14ac:dyDescent="0.2">
      <c r="M58" s="4"/>
    </row>
    <row r="59" spans="13:13" x14ac:dyDescent="0.2">
      <c r="M59" s="4"/>
    </row>
    <row r="60" spans="13:13" x14ac:dyDescent="0.2">
      <c r="M60" s="4"/>
    </row>
    <row r="61" spans="13:13" x14ac:dyDescent="0.2">
      <c r="M61" s="4"/>
    </row>
    <row r="62" spans="13:13" x14ac:dyDescent="0.2">
      <c r="M62" s="4"/>
    </row>
    <row r="63" spans="13:13" x14ac:dyDescent="0.2">
      <c r="M63" s="4"/>
    </row>
    <row r="64" spans="13:13" x14ac:dyDescent="0.2">
      <c r="M64" s="4"/>
    </row>
    <row r="65" spans="13:13" x14ac:dyDescent="0.2">
      <c r="M65" s="4"/>
    </row>
    <row r="66" spans="13:13" x14ac:dyDescent="0.2">
      <c r="M66" s="4"/>
    </row>
    <row r="67" spans="13:13" x14ac:dyDescent="0.2">
      <c r="M67" s="4"/>
    </row>
    <row r="68" spans="13:13" x14ac:dyDescent="0.2">
      <c r="M68" s="4"/>
    </row>
    <row r="69" spans="13:13" x14ac:dyDescent="0.2">
      <c r="M69" s="4"/>
    </row>
    <row r="70" spans="13:13" x14ac:dyDescent="0.2">
      <c r="M70" s="4"/>
    </row>
    <row r="71" spans="13:13" x14ac:dyDescent="0.2">
      <c r="M71" s="4"/>
    </row>
    <row r="72" spans="13:13" x14ac:dyDescent="0.2">
      <c r="M72" s="4"/>
    </row>
    <row r="73" spans="13:13" x14ac:dyDescent="0.2">
      <c r="M73" s="4"/>
    </row>
    <row r="74" spans="13:13" x14ac:dyDescent="0.2">
      <c r="M74" s="4"/>
    </row>
    <row r="75" spans="13:13" x14ac:dyDescent="0.2">
      <c r="M75" s="4"/>
    </row>
    <row r="76" spans="13:13" x14ac:dyDescent="0.2">
      <c r="M76" s="4"/>
    </row>
    <row r="77" spans="13:13" x14ac:dyDescent="0.2">
      <c r="M77" s="4"/>
    </row>
    <row r="78" spans="13:13" x14ac:dyDescent="0.2">
      <c r="M78" s="4"/>
    </row>
    <row r="79" spans="13:13" x14ac:dyDescent="0.2">
      <c r="M79" s="4"/>
    </row>
    <row r="80" spans="13:13" x14ac:dyDescent="0.2">
      <c r="M80" s="4"/>
    </row>
    <row r="81" spans="13:13" x14ac:dyDescent="0.2">
      <c r="M81" s="4"/>
    </row>
    <row r="82" spans="13:13" x14ac:dyDescent="0.2">
      <c r="M82" s="4"/>
    </row>
    <row r="83" spans="13:13" x14ac:dyDescent="0.2">
      <c r="M83" s="4"/>
    </row>
    <row r="84" spans="13:13" x14ac:dyDescent="0.2">
      <c r="M84" s="4"/>
    </row>
    <row r="85" spans="13:13" x14ac:dyDescent="0.2">
      <c r="M85" s="4"/>
    </row>
    <row r="86" spans="13:13" x14ac:dyDescent="0.2">
      <c r="M86" s="4"/>
    </row>
    <row r="87" spans="13:13" x14ac:dyDescent="0.2">
      <c r="M87" s="4"/>
    </row>
    <row r="88" spans="13:13" x14ac:dyDescent="0.2">
      <c r="M88" s="4"/>
    </row>
    <row r="89" spans="13:13" x14ac:dyDescent="0.2">
      <c r="M89" s="4"/>
    </row>
    <row r="90" spans="13:13" x14ac:dyDescent="0.2">
      <c r="M90" s="4"/>
    </row>
    <row r="91" spans="13:13" x14ac:dyDescent="0.2">
      <c r="M91" s="4"/>
    </row>
    <row r="92" spans="13:13" x14ac:dyDescent="0.2">
      <c r="M92" s="4"/>
    </row>
    <row r="93" spans="13:13" x14ac:dyDescent="0.2">
      <c r="M93" s="4"/>
    </row>
    <row r="94" spans="13:13" x14ac:dyDescent="0.2">
      <c r="M94" s="4"/>
    </row>
    <row r="95" spans="13:13" x14ac:dyDescent="0.2">
      <c r="M95" s="4"/>
    </row>
    <row r="96" spans="13:13" x14ac:dyDescent="0.2">
      <c r="M96" s="4"/>
    </row>
    <row r="97" spans="13:13" x14ac:dyDescent="0.2">
      <c r="M97" s="4"/>
    </row>
    <row r="98" spans="13:13" x14ac:dyDescent="0.2">
      <c r="M98" s="4"/>
    </row>
    <row r="99" spans="13:13" x14ac:dyDescent="0.2">
      <c r="M99" s="4"/>
    </row>
    <row r="100" spans="13:13" x14ac:dyDescent="0.2">
      <c r="M100" s="4"/>
    </row>
    <row r="101" spans="13:13" x14ac:dyDescent="0.2">
      <c r="M101" s="4"/>
    </row>
    <row r="102" spans="13:13" x14ac:dyDescent="0.2">
      <c r="M102" s="4"/>
    </row>
    <row r="103" spans="13:13" x14ac:dyDescent="0.2">
      <c r="M103" s="4"/>
    </row>
    <row r="104" spans="13:13" x14ac:dyDescent="0.2">
      <c r="M104" s="4"/>
    </row>
    <row r="105" spans="13:13" x14ac:dyDescent="0.2">
      <c r="M105" s="4"/>
    </row>
    <row r="106" spans="13:13" x14ac:dyDescent="0.2">
      <c r="M106" s="4"/>
    </row>
    <row r="107" spans="13:13" x14ac:dyDescent="0.2">
      <c r="M107" s="4"/>
    </row>
    <row r="108" spans="13:13" x14ac:dyDescent="0.2">
      <c r="M108" s="4"/>
    </row>
    <row r="109" spans="13:13" x14ac:dyDescent="0.2">
      <c r="M109" s="4"/>
    </row>
  </sheetData>
  <mergeCells count="1">
    <mergeCell ref="H2:I2"/>
  </mergeCells>
  <phoneticPr fontId="0" type="noConversion"/>
  <pageMargins left="0.75" right="0.75" top="1" bottom="1" header="0.5" footer="0.5"/>
  <pageSetup scale="43"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5"/>
  <sheetViews>
    <sheetView workbookViewId="0">
      <selection activeCell="C27" sqref="C4:C27"/>
    </sheetView>
  </sheetViews>
  <sheetFormatPr defaultRowHeight="12.75" x14ac:dyDescent="0.2"/>
  <cols>
    <col min="1" max="1" width="26.5703125" bestFit="1" customWidth="1"/>
    <col min="2" max="2" width="47" bestFit="1" customWidth="1"/>
    <col min="3" max="3" width="16" style="3" bestFit="1" customWidth="1"/>
    <col min="4" max="4" width="35.5703125" style="3" bestFit="1" customWidth="1"/>
    <col min="5" max="5" width="15.28515625" style="3" bestFit="1" customWidth="1"/>
    <col min="6" max="6" width="30.85546875" style="3" bestFit="1" customWidth="1"/>
    <col min="7" max="7" width="17.28515625" hidden="1" customWidth="1"/>
    <col min="8" max="8" width="15.85546875" bestFit="1" customWidth="1"/>
    <col min="9" max="9" width="28.28515625" customWidth="1"/>
  </cols>
  <sheetData>
    <row r="1" spans="1:9" x14ac:dyDescent="0.2">
      <c r="B1" s="1" t="s">
        <v>0</v>
      </c>
    </row>
    <row r="3" spans="1:9" s="2" customFormat="1" ht="13.5" thickBot="1" x14ac:dyDescent="0.25">
      <c r="A3" s="7" t="s">
        <v>28</v>
      </c>
      <c r="B3" s="7" t="s">
        <v>2</v>
      </c>
      <c r="C3" s="8" t="s">
        <v>1</v>
      </c>
      <c r="D3" s="8" t="s">
        <v>5</v>
      </c>
      <c r="E3" s="8" t="s">
        <v>3</v>
      </c>
      <c r="F3" s="8" t="s">
        <v>16</v>
      </c>
      <c r="G3" s="7" t="s">
        <v>7</v>
      </c>
      <c r="H3" s="7" t="s">
        <v>8</v>
      </c>
      <c r="I3" s="7" t="s">
        <v>20</v>
      </c>
    </row>
    <row r="4" spans="1:9" x14ac:dyDescent="0.2">
      <c r="A4" t="s">
        <v>29</v>
      </c>
      <c r="B4" t="s">
        <v>4</v>
      </c>
      <c r="C4" s="3">
        <v>724333.25</v>
      </c>
      <c r="D4" s="3" t="s">
        <v>6</v>
      </c>
      <c r="E4" s="3">
        <f>'[1]Energy Auth'!$AC$3</f>
        <v>623243.62</v>
      </c>
      <c r="F4" s="3">
        <v>111664</v>
      </c>
      <c r="I4" s="4"/>
    </row>
    <row r="5" spans="1:9" x14ac:dyDescent="0.2">
      <c r="D5" s="3" t="s">
        <v>22</v>
      </c>
      <c r="I5" s="4"/>
    </row>
    <row r="6" spans="1:9" x14ac:dyDescent="0.2">
      <c r="A6" t="s">
        <v>29</v>
      </c>
      <c r="B6" t="s">
        <v>27</v>
      </c>
      <c r="C6" s="3">
        <v>541000</v>
      </c>
      <c r="D6" s="3" t="s">
        <v>30</v>
      </c>
      <c r="I6" s="4"/>
    </row>
    <row r="7" spans="1:9" x14ac:dyDescent="0.2">
      <c r="A7" t="s">
        <v>29</v>
      </c>
      <c r="B7" t="s">
        <v>26</v>
      </c>
      <c r="C7" s="3">
        <f>21521740+4040916</f>
        <v>25562656</v>
      </c>
      <c r="D7" s="3" t="s">
        <v>9</v>
      </c>
      <c r="I7" s="4"/>
    </row>
    <row r="8" spans="1:9" ht="25.5" customHeight="1" x14ac:dyDescent="0.2">
      <c r="A8" t="s">
        <v>37</v>
      </c>
      <c r="B8" s="6" t="s">
        <v>38</v>
      </c>
      <c r="C8" s="3">
        <v>5000000</v>
      </c>
      <c r="D8" s="3" t="s">
        <v>10</v>
      </c>
      <c r="I8" s="4"/>
    </row>
    <row r="9" spans="1:9" x14ac:dyDescent="0.2">
      <c r="A9" t="s">
        <v>39</v>
      </c>
      <c r="B9" t="s">
        <v>11</v>
      </c>
      <c r="C9" s="3">
        <v>6000000</v>
      </c>
      <c r="D9" s="3" t="s">
        <v>6</v>
      </c>
      <c r="E9" s="3">
        <f>'[1]PS Colorado'!$AC$10</f>
        <v>9366029.5500000007</v>
      </c>
      <c r="F9" s="3">
        <v>-2200000</v>
      </c>
      <c r="I9" s="4"/>
    </row>
    <row r="10" spans="1:9" x14ac:dyDescent="0.2">
      <c r="D10" s="3" t="s">
        <v>22</v>
      </c>
      <c r="I10" s="4"/>
    </row>
    <row r="11" spans="1:9" x14ac:dyDescent="0.2">
      <c r="A11" t="s">
        <v>29</v>
      </c>
      <c r="B11" t="s">
        <v>40</v>
      </c>
      <c r="C11" s="3">
        <v>1460000</v>
      </c>
      <c r="D11" s="3" t="s">
        <v>22</v>
      </c>
      <c r="I11" s="4"/>
    </row>
    <row r="12" spans="1:9" x14ac:dyDescent="0.2">
      <c r="A12" t="s">
        <v>29</v>
      </c>
      <c r="B12" t="s">
        <v>35</v>
      </c>
      <c r="C12" s="3">
        <v>42900000</v>
      </c>
      <c r="D12" s="3" t="s">
        <v>36</v>
      </c>
      <c r="I12" s="4"/>
    </row>
    <row r="13" spans="1:9" x14ac:dyDescent="0.2">
      <c r="A13" t="s">
        <v>39</v>
      </c>
      <c r="B13" t="s">
        <v>12</v>
      </c>
      <c r="C13" s="3">
        <v>4122000</v>
      </c>
      <c r="I13" s="4"/>
    </row>
    <row r="14" spans="1:9" x14ac:dyDescent="0.2">
      <c r="A14" t="s">
        <v>29</v>
      </c>
      <c r="B14" t="s">
        <v>32</v>
      </c>
      <c r="C14" s="3">
        <v>12163283</v>
      </c>
      <c r="D14" s="3" t="s">
        <v>13</v>
      </c>
      <c r="I14" s="4"/>
    </row>
    <row r="15" spans="1:9" ht="26.25" customHeight="1" x14ac:dyDescent="0.2">
      <c r="A15" t="s">
        <v>29</v>
      </c>
      <c r="B15" t="s">
        <v>31</v>
      </c>
      <c r="C15" s="3">
        <v>45000000</v>
      </c>
      <c r="D15" s="3" t="s">
        <v>23</v>
      </c>
      <c r="E15" s="3">
        <f>[1]Constellation!$AC$32</f>
        <v>44437042.88000001</v>
      </c>
      <c r="F15" s="3">
        <v>6902944.75</v>
      </c>
      <c r="I15" s="9" t="s">
        <v>21</v>
      </c>
    </row>
    <row r="16" spans="1:9" x14ac:dyDescent="0.2">
      <c r="C16" s="3">
        <v>-3000000</v>
      </c>
      <c r="D16" s="3" t="s">
        <v>24</v>
      </c>
      <c r="I16" s="4"/>
    </row>
    <row r="17" spans="1:9" x14ac:dyDescent="0.2">
      <c r="D17" s="3" t="s">
        <v>17</v>
      </c>
      <c r="I17" s="4"/>
    </row>
    <row r="18" spans="1:9" x14ac:dyDescent="0.2">
      <c r="D18" s="3" t="s">
        <v>18</v>
      </c>
      <c r="I18" s="4"/>
    </row>
    <row r="19" spans="1:9" x14ac:dyDescent="0.2">
      <c r="D19" s="3" t="s">
        <v>19</v>
      </c>
      <c r="I19" s="4"/>
    </row>
    <row r="20" spans="1:9" x14ac:dyDescent="0.2">
      <c r="A20" t="s">
        <v>39</v>
      </c>
      <c r="B20" t="s">
        <v>14</v>
      </c>
      <c r="C20" s="3">
        <v>541000</v>
      </c>
      <c r="I20" s="4"/>
    </row>
    <row r="21" spans="1:9" x14ac:dyDescent="0.2">
      <c r="A21" t="s">
        <v>39</v>
      </c>
      <c r="B21" t="s">
        <v>25</v>
      </c>
      <c r="C21" s="3">
        <v>1200000</v>
      </c>
      <c r="I21" s="4"/>
    </row>
    <row r="22" spans="1:9" x14ac:dyDescent="0.2">
      <c r="A22" t="s">
        <v>39</v>
      </c>
      <c r="B22" t="s">
        <v>15</v>
      </c>
      <c r="C22" s="3">
        <v>7063860</v>
      </c>
      <c r="I22" s="4"/>
    </row>
    <row r="23" spans="1:9" x14ac:dyDescent="0.2">
      <c r="A23" t="s">
        <v>29</v>
      </c>
      <c r="B23" t="s">
        <v>33</v>
      </c>
      <c r="C23" s="3">
        <v>0</v>
      </c>
      <c r="D23" s="3" t="s">
        <v>34</v>
      </c>
      <c r="I23" s="4"/>
    </row>
    <row r="24" spans="1:9" x14ac:dyDescent="0.2">
      <c r="A24" t="s">
        <v>29</v>
      </c>
      <c r="B24" t="s">
        <v>41</v>
      </c>
      <c r="C24" s="3">
        <v>14000000</v>
      </c>
      <c r="D24" s="3" t="s">
        <v>42</v>
      </c>
      <c r="I24" s="4"/>
    </row>
    <row r="25" spans="1:9" x14ac:dyDescent="0.2">
      <c r="A25" t="s">
        <v>29</v>
      </c>
      <c r="B25" t="s">
        <v>43</v>
      </c>
      <c r="C25" s="3">
        <v>274396</v>
      </c>
      <c r="D25" s="3" t="s">
        <v>42</v>
      </c>
      <c r="I25" s="4"/>
    </row>
    <row r="26" spans="1:9" x14ac:dyDescent="0.2">
      <c r="A26" t="s">
        <v>29</v>
      </c>
      <c r="B26" t="s">
        <v>44</v>
      </c>
      <c r="C26" s="3">
        <v>43638</v>
      </c>
      <c r="D26" s="3" t="s">
        <v>42</v>
      </c>
      <c r="I26" s="4"/>
    </row>
    <row r="27" spans="1:9" x14ac:dyDescent="0.2">
      <c r="A27" t="s">
        <v>29</v>
      </c>
      <c r="B27" t="s">
        <v>44</v>
      </c>
      <c r="C27" s="3">
        <v>32280</v>
      </c>
      <c r="D27" s="3" t="s">
        <v>45</v>
      </c>
      <c r="I27" s="4"/>
    </row>
    <row r="28" spans="1:9" ht="13.5" thickBot="1" x14ac:dyDescent="0.25">
      <c r="C28" s="5">
        <f>SUM(C4:C27)</f>
        <v>163628446.25</v>
      </c>
      <c r="I28" s="4"/>
    </row>
    <row r="29" spans="1:9" ht="13.5" thickTop="1" x14ac:dyDescent="0.2">
      <c r="I29" s="4"/>
    </row>
    <row r="30" spans="1:9" x14ac:dyDescent="0.2">
      <c r="I30" s="4"/>
    </row>
    <row r="31" spans="1:9" x14ac:dyDescent="0.2">
      <c r="I31" s="4"/>
    </row>
    <row r="32" spans="1:9" x14ac:dyDescent="0.2">
      <c r="I32" s="4"/>
    </row>
    <row r="33" spans="9:9" x14ac:dyDescent="0.2">
      <c r="I33" s="4"/>
    </row>
    <row r="34" spans="9:9" x14ac:dyDescent="0.2">
      <c r="I34" s="4"/>
    </row>
    <row r="35" spans="9:9" x14ac:dyDescent="0.2">
      <c r="I35" s="4"/>
    </row>
    <row r="36" spans="9:9" x14ac:dyDescent="0.2">
      <c r="I36" s="4"/>
    </row>
    <row r="37" spans="9:9" x14ac:dyDescent="0.2">
      <c r="I37" s="4"/>
    </row>
    <row r="38" spans="9:9" x14ac:dyDescent="0.2">
      <c r="I38" s="4"/>
    </row>
    <row r="39" spans="9:9" x14ac:dyDescent="0.2">
      <c r="I39" s="4"/>
    </row>
    <row r="40" spans="9:9" x14ac:dyDescent="0.2">
      <c r="I40" s="4"/>
    </row>
    <row r="41" spans="9:9" x14ac:dyDescent="0.2">
      <c r="I41" s="4"/>
    </row>
    <row r="42" spans="9:9" x14ac:dyDescent="0.2">
      <c r="I42" s="4"/>
    </row>
    <row r="43" spans="9:9" x14ac:dyDescent="0.2">
      <c r="I43" s="4"/>
    </row>
    <row r="44" spans="9:9" x14ac:dyDescent="0.2">
      <c r="I44" s="4"/>
    </row>
    <row r="45" spans="9:9" x14ac:dyDescent="0.2">
      <c r="I45" s="4"/>
    </row>
    <row r="46" spans="9:9" x14ac:dyDescent="0.2">
      <c r="I46" s="4"/>
    </row>
    <row r="47" spans="9:9" x14ac:dyDescent="0.2">
      <c r="I47" s="4"/>
    </row>
    <row r="48" spans="9:9" x14ac:dyDescent="0.2">
      <c r="I48" s="4"/>
    </row>
    <row r="49" spans="9:9" x14ac:dyDescent="0.2">
      <c r="I49" s="4"/>
    </row>
    <row r="50" spans="9:9" x14ac:dyDescent="0.2">
      <c r="I50" s="4"/>
    </row>
    <row r="51" spans="9:9" x14ac:dyDescent="0.2">
      <c r="I51" s="4"/>
    </row>
    <row r="52" spans="9:9" x14ac:dyDescent="0.2">
      <c r="I52" s="4"/>
    </row>
    <row r="53" spans="9:9" x14ac:dyDescent="0.2">
      <c r="I53" s="4"/>
    </row>
    <row r="54" spans="9:9" x14ac:dyDescent="0.2">
      <c r="I54" s="4"/>
    </row>
    <row r="55" spans="9:9" x14ac:dyDescent="0.2">
      <c r="I55" s="4"/>
    </row>
    <row r="56" spans="9:9" x14ac:dyDescent="0.2">
      <c r="I56" s="4"/>
    </row>
    <row r="57" spans="9:9" x14ac:dyDescent="0.2">
      <c r="I57" s="4"/>
    </row>
    <row r="58" spans="9:9" x14ac:dyDescent="0.2">
      <c r="I58" s="4"/>
    </row>
    <row r="59" spans="9:9" x14ac:dyDescent="0.2">
      <c r="I59" s="4"/>
    </row>
    <row r="60" spans="9:9" x14ac:dyDescent="0.2">
      <c r="I60" s="4"/>
    </row>
    <row r="61" spans="9:9" x14ac:dyDescent="0.2">
      <c r="I61" s="4"/>
    </row>
    <row r="62" spans="9:9" x14ac:dyDescent="0.2">
      <c r="I62" s="4"/>
    </row>
    <row r="63" spans="9:9" x14ac:dyDescent="0.2">
      <c r="I63" s="4"/>
    </row>
    <row r="64" spans="9:9" x14ac:dyDescent="0.2">
      <c r="I64" s="4"/>
    </row>
    <row r="65" spans="9:9" x14ac:dyDescent="0.2">
      <c r="I65" s="4"/>
    </row>
    <row r="66" spans="9:9" x14ac:dyDescent="0.2">
      <c r="I66" s="4"/>
    </row>
    <row r="67" spans="9:9" x14ac:dyDescent="0.2">
      <c r="I67" s="4"/>
    </row>
    <row r="68" spans="9:9" x14ac:dyDescent="0.2">
      <c r="I68" s="4"/>
    </row>
    <row r="69" spans="9:9" x14ac:dyDescent="0.2">
      <c r="I69" s="4"/>
    </row>
    <row r="70" spans="9:9" x14ac:dyDescent="0.2">
      <c r="I70" s="4"/>
    </row>
    <row r="71" spans="9:9" x14ac:dyDescent="0.2">
      <c r="I71" s="4"/>
    </row>
    <row r="72" spans="9:9" x14ac:dyDescent="0.2">
      <c r="I72" s="4"/>
    </row>
    <row r="73" spans="9:9" x14ac:dyDescent="0.2">
      <c r="I73" s="4"/>
    </row>
    <row r="74" spans="9:9" x14ac:dyDescent="0.2">
      <c r="I74" s="4"/>
    </row>
    <row r="75" spans="9:9" x14ac:dyDescent="0.2">
      <c r="I75" s="4"/>
    </row>
    <row r="76" spans="9:9" x14ac:dyDescent="0.2">
      <c r="I76" s="4"/>
    </row>
    <row r="77" spans="9:9" x14ac:dyDescent="0.2">
      <c r="I77" s="4"/>
    </row>
    <row r="78" spans="9:9" x14ac:dyDescent="0.2">
      <c r="I78" s="4"/>
    </row>
    <row r="79" spans="9:9" x14ac:dyDescent="0.2">
      <c r="I79" s="4"/>
    </row>
    <row r="80" spans="9:9" x14ac:dyDescent="0.2">
      <c r="I80" s="4"/>
    </row>
    <row r="81" spans="9:9" x14ac:dyDescent="0.2">
      <c r="I81" s="4"/>
    </row>
    <row r="82" spans="9:9" x14ac:dyDescent="0.2">
      <c r="I82" s="4"/>
    </row>
    <row r="83" spans="9:9" x14ac:dyDescent="0.2">
      <c r="I83" s="4"/>
    </row>
    <row r="84" spans="9:9" x14ac:dyDescent="0.2">
      <c r="I84" s="4"/>
    </row>
    <row r="85" spans="9:9" x14ac:dyDescent="0.2">
      <c r="I85" s="4"/>
    </row>
    <row r="86" spans="9:9" x14ac:dyDescent="0.2">
      <c r="I86" s="4"/>
    </row>
    <row r="87" spans="9:9" x14ac:dyDescent="0.2">
      <c r="I87" s="4"/>
    </row>
    <row r="88" spans="9:9" x14ac:dyDescent="0.2">
      <c r="I88" s="4"/>
    </row>
    <row r="89" spans="9:9" x14ac:dyDescent="0.2">
      <c r="I89" s="4"/>
    </row>
    <row r="90" spans="9:9" x14ac:dyDescent="0.2">
      <c r="I90" s="4"/>
    </row>
    <row r="91" spans="9:9" x14ac:dyDescent="0.2">
      <c r="I91" s="4"/>
    </row>
    <row r="92" spans="9:9" x14ac:dyDescent="0.2">
      <c r="I92" s="4"/>
    </row>
    <row r="93" spans="9:9" x14ac:dyDescent="0.2">
      <c r="I93" s="4"/>
    </row>
    <row r="94" spans="9:9" x14ac:dyDescent="0.2">
      <c r="I94" s="4"/>
    </row>
    <row r="95" spans="9:9" x14ac:dyDescent="0.2">
      <c r="I95" s="4"/>
    </row>
    <row r="96" spans="9:9" x14ac:dyDescent="0.2">
      <c r="I96" s="4"/>
    </row>
    <row r="97" spans="9:9" x14ac:dyDescent="0.2">
      <c r="I97" s="4"/>
    </row>
    <row r="98" spans="9:9" x14ac:dyDescent="0.2">
      <c r="I98" s="4"/>
    </row>
    <row r="99" spans="9:9" x14ac:dyDescent="0.2">
      <c r="I99" s="4"/>
    </row>
    <row r="100" spans="9:9" x14ac:dyDescent="0.2">
      <c r="I100" s="4"/>
    </row>
    <row r="101" spans="9:9" x14ac:dyDescent="0.2">
      <c r="I101" s="4"/>
    </row>
    <row r="102" spans="9:9" x14ac:dyDescent="0.2">
      <c r="I102" s="4"/>
    </row>
    <row r="103" spans="9:9" x14ac:dyDescent="0.2">
      <c r="I103" s="4"/>
    </row>
    <row r="104" spans="9:9" x14ac:dyDescent="0.2">
      <c r="I104" s="4"/>
    </row>
    <row r="105" spans="9:9" x14ac:dyDescent="0.2">
      <c r="I105" s="4"/>
    </row>
  </sheetData>
  <phoneticPr fontId="0" type="noConversion"/>
  <pageMargins left="0.75" right="0.75" top="1" bottom="1" header="0.5" footer="0.5"/>
  <pageSetup scale="5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 of 1-2</vt:lpstr>
      <vt:lpstr>Sheet1</vt:lpstr>
      <vt:lpstr>Sheet2</vt:lpstr>
      <vt:lpstr>Sheet3</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swhite</dc:creator>
  <cp:lastModifiedBy>Jan Havlíček</cp:lastModifiedBy>
  <cp:lastPrinted>2002-01-15T20:47:37Z</cp:lastPrinted>
  <dcterms:created xsi:type="dcterms:W3CDTF">2001-12-12T16:35:19Z</dcterms:created>
  <dcterms:modified xsi:type="dcterms:W3CDTF">2023-09-11T14:59:22Z</dcterms:modified>
</cp:coreProperties>
</file>