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E0CBB6-1297-4B80-9075-5ADFF0BBBE34}" xr6:coauthVersionLast="47" xr6:coauthVersionMax="47" xr10:uidLastSave="{00000000-0000-0000-0000-000000000000}"/>
  <bookViews>
    <workbookView xWindow="-120" yWindow="-120" windowWidth="38640" windowHeight="15720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<sst xmlns="http://schemas.openxmlformats.org/spreadsheetml/2006/main" count="303" uniqueCount="164">
  <si>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</si>
  <si>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</si>
  <si>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</si>
  <si>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</si>
  <si>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</si>
  <si>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</si>
  <si>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</si>
  <si>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</si>
  <si>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</si>
  <si>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</si>
  <si>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</si>
  <si>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</si>
  <si>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</si>
  <si>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</si>
  <si>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</si>
  <si>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</si>
  <si>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</si>
  <si>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</si>
  <si>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</si>
  <si>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</si>
  <si>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</si>
  <si>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</si>
  <si>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</si>
  <si>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</si>
  <si>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</si>
  <si>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</si>
  <si>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</si>
  <si>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</si>
  <si>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</si>
  <si>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</si>
  <si>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</si>
  <si>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</si>
  <si>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</si>
  <si>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</si>
  <si>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</si>
  <si>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</si>
  <si>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</si>
  <si>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</si>
  <si>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</si>
  <si>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</si>
  <si>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</si>
  <si>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</si>
  <si>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</si>
  <si>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</si>
  <si>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</si>
  <si>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</si>
  <si>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</si>
  <si>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</si>
  <si>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</si>
  <si>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</si>
  <si>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</si>
  <si>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</si>
  <si>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</si>
  <si>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</si>
  <si>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</si>
  <si>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</si>
  <si>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</si>
  <si>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</si>
  <si>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</si>
  <si>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</si>
  <si>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</si>
  <si>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</si>
  <si>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</si>
  <si>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</si>
  <si>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</si>
  <si>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</si>
  <si>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</si>
  <si>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</si>
  <si>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</si>
  <si>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</si>
  <si>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</si>
  <si>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</si>
  <si>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</si>
  <si>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</si>
  <si>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</si>
  <si>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</si>
  <si>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</si>
  <si>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</si>
  <si>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</si>
  <si>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</si>
  <si>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</si>
  <si>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</si>
  <si>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</si>
  <si>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</si>
  <si>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</si>
  <si>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</si>
  <si>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</si>
  <si>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</si>
  <si>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</si>
  <si>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</si>
  <si>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</si>
  <si>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</si>
  <si>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</si>
  <si>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</si>
  <si>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</si>
  <si>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</si>
  <si>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</si>
  <si>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</si>
  <si>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</si>
  <si>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</si>
  <si>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</si>
  <si>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</si>
  <si>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</si>
  <si>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</si>
  <si>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</si>
  <si>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</si>
  <si>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</si>
  <si>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</si>
  <si>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</si>
  <si>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</si>
  <si>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</si>
  <si>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</si>
  <si>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</si>
  <si>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</si>
  <si>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</si>
  <si>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</si>
  <si>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</si>
  <si>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</si>
  <si>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</si>
  <si>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</si>
  <si>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</si>
  <si>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</si>
  <si>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</si>
  <si>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</si>
  <si>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</si>
  <si>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</si>
  <si>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</si>
  <si>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</si>
  <si>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</si>
  <si>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</si>
  <si>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</si>
  <si>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</si>
  <si>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</si>
  <si>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</si>
  <si>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</si>
  <si>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</si>
  <si>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</si>
  <si>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</si>
  <si>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</si>
  <si>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</si>
  <si>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</si>
  <si>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</si>
  <si>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</si>
  <si>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</si>
  <si>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</si>
  <si>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</si>
  <si>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</si>
  <si>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</si>
  <si>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</si>
  <si>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</si>
  <si>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</si>
  <si>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</si>
  <si>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</si>
  <si>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</si>
  <si>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</si>
  <si>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</si>
  <si>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</si>
  <si>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</si>
  <si>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</si>
  <si>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</si>
  <si>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</si>
  <si>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</si>
  <si>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</si>
  <si>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Scott Neal Short Term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</si>
</sst>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E-4418-B007-57ACE1D8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409200"/>
        <c:axId val="1"/>
        <c:axId val="0"/>
      </c:bar3DChart>
      <c:catAx>
        <c:axId val="71640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40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DE9-ACA2-94AB132D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6404560"/>
        <c:axId val="1"/>
        <c:axId val="0"/>
      </c:bar3DChart>
      <c:catAx>
        <c:axId val="7164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40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2687.5</c:v>
                </c:pt>
                <c:pt idx="1">
                  <c:v>14631.25</c:v>
                </c:pt>
                <c:pt idx="2">
                  <c:v>1250</c:v>
                </c:pt>
                <c:pt idx="3">
                  <c:v>1093.75</c:v>
                </c:pt>
                <c:pt idx="4">
                  <c:v>0</c:v>
                </c:pt>
                <c:pt idx="5">
                  <c:v>0</c:v>
                </c:pt>
                <c:pt idx="6">
                  <c:v>2687.5</c:v>
                </c:pt>
                <c:pt idx="7">
                  <c:v>14631.25</c:v>
                </c:pt>
                <c:pt idx="8">
                  <c:v>1250</c:v>
                </c:pt>
                <c:pt idx="9">
                  <c:v>1093.75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4C8C-8AC7-7EE6B362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649760"/>
        <c:axId val="1"/>
        <c:axId val="0"/>
      </c:bar3DChart>
      <c:catAx>
        <c:axId val="7176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64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DABB13DB-FB3E-5106-2A34-773FE6EA2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>
          <a:extLst>
            <a:ext uri="{FF2B5EF4-FFF2-40B4-BE49-F238E27FC236}">
              <a16:creationId xmlns:a16="http://schemas.microsoft.com/office/drawing/2014/main" id="{A53830D3-8A15-7991-E731-16D38B28A61D}"/>
            </a:ext>
          </a:extLst>
        </xdr:cNvPr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154BB2F-40F6-F6F2-8AD3-74449511C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A093980D-BA17-B84C-1D9B-50BC0EA18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0.13287</cdr:y>
    </cdr:from>
    <cdr:to>
      <cdr:x>0.1016</cdr:x>
      <cdr:y>0.13287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658B9E47-FAA8-E300-2D2D-3AD1C9A2E2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97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0EF43B02-B366-4F09-1F62-787CF7A398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825B4B29-980C-4EE6-C499-D0C4CE295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AD322C10-EBEE-5A5E-7E9C-BCE471ABF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25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25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25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25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25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25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25">
      <c r="A10" s="326"/>
      <c r="B10" s="327"/>
      <c r="C10" s="328"/>
      <c r="D10" s="328"/>
      <c r="E10" s="328"/>
      <c r="F10" s="329"/>
      <c r="G10" s="328"/>
      <c r="H10" s="328"/>
      <c r="I10" s="335"/>
      <c r="J10" s="328"/>
      <c r="K10" s="336"/>
      <c r="L10" s="332"/>
      <c r="M10" s="332"/>
      <c r="AE10" s="18">
        <f t="shared" si="0"/>
        <v>0</v>
      </c>
    </row>
    <row r="11" spans="1:31" ht="15" customHeight="1" x14ac:dyDescent="0.25">
      <c r="A11" s="326"/>
      <c r="B11" s="327"/>
      <c r="C11" s="328"/>
      <c r="D11" s="328"/>
      <c r="E11" s="328"/>
      <c r="F11" s="329"/>
      <c r="G11" s="328"/>
      <c r="H11" s="328"/>
      <c r="I11" s="335"/>
      <c r="J11" s="328"/>
      <c r="K11" s="331"/>
      <c r="L11" s="332"/>
      <c r="M11" s="339"/>
      <c r="AE11" s="18">
        <f t="shared" si="0"/>
        <v>0</v>
      </c>
    </row>
    <row r="12" spans="1:31" ht="15" customHeight="1" x14ac:dyDescent="0.25">
      <c r="A12" s="326"/>
      <c r="B12" s="337"/>
      <c r="C12" s="328"/>
      <c r="D12" s="328"/>
      <c r="E12" s="328"/>
      <c r="F12" s="329"/>
      <c r="G12" s="328"/>
      <c r="H12" s="328"/>
      <c r="I12" s="335"/>
      <c r="J12" s="328"/>
      <c r="K12" s="338"/>
      <c r="L12" s="332"/>
      <c r="M12" s="333"/>
      <c r="AE12" s="18">
        <f t="shared" si="0"/>
        <v>0</v>
      </c>
    </row>
    <row r="13" spans="1:31" ht="15" customHeight="1" x14ac:dyDescent="0.25">
      <c r="A13" s="326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9"/>
      <c r="M13" s="333"/>
      <c r="AE13" s="18">
        <f t="shared" si="0"/>
        <v>0</v>
      </c>
    </row>
    <row r="14" spans="1:31" ht="15" customHeight="1" x14ac:dyDescent="0.25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25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9"/>
      <c r="M16" s="332"/>
      <c r="AE16" s="18">
        <f t="shared" si="0"/>
        <v>0</v>
      </c>
    </row>
    <row r="17" spans="1:31" ht="15" customHeight="1" x14ac:dyDescent="0.25">
      <c r="A17" s="334"/>
      <c r="B17" s="327"/>
      <c r="C17" s="328"/>
      <c r="D17" s="328"/>
      <c r="E17" s="328"/>
      <c r="F17" s="329"/>
      <c r="G17" s="328"/>
      <c r="H17" s="328"/>
      <c r="I17" s="335"/>
      <c r="J17" s="328"/>
      <c r="K17" s="336"/>
      <c r="L17" s="332"/>
      <c r="M17" s="339"/>
      <c r="AE17" s="18">
        <f t="shared" si="0"/>
        <v>0</v>
      </c>
    </row>
    <row r="18" spans="1:31" ht="15" customHeight="1" x14ac:dyDescent="0.25">
      <c r="A18" s="326"/>
      <c r="B18" s="337"/>
      <c r="C18" s="328"/>
      <c r="D18" s="328"/>
      <c r="E18" s="328"/>
      <c r="F18" s="329"/>
      <c r="G18" s="328"/>
      <c r="H18" s="328"/>
      <c r="I18" s="335"/>
      <c r="J18" s="328"/>
      <c r="K18" s="338"/>
      <c r="L18" s="332"/>
      <c r="M18" s="333"/>
      <c r="AE18" s="18">
        <f t="shared" si="0"/>
        <v>0</v>
      </c>
    </row>
    <row r="19" spans="1:31" ht="15" customHeight="1" x14ac:dyDescent="0.25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1010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37211</v>
      </c>
      <c r="D27" s="143"/>
      <c r="E27" s="230" t="s">
        <v>163</v>
      </c>
      <c r="G27" s="231">
        <v>1.538</v>
      </c>
      <c r="L27" s="136" t="s">
        <v>129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Scott Neal Short Term Bonds</v>
      </c>
      <c r="B5" s="355">
        <f ca="1">NOW()</f>
        <v>37214.686773379632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1010000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3.9740776917131904E-2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39325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1023611.1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11566.944444444442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1035178.0444444445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1.423361983428624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1.3752978669589391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3.8417910864780573E-2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2.3099460921262867E-2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101.34763366336635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5.0821058896293715E-2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11.078990839392031</v>
      </c>
      <c r="AD7" s="62">
        <f t="shared" ref="AD7:AD28" si="3">IF(A7=0,0,AF7)</f>
        <v>1.1612743225291526E-3</v>
      </c>
      <c r="AE7" s="86">
        <f t="shared" ref="AE7:AE28" si="4">BG7</f>
        <v>2.2850258293493412E-2</v>
      </c>
      <c r="AF7" s="86">
        <f t="shared" ref="AF7:AF28" si="5">AE7*X7</f>
        <v>1.1612743225291526E-3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2.9222108865368888E-3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75" x14ac:dyDescent="0.25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0.25066404614017956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62.164683442764535</v>
      </c>
      <c r="AD8" s="62">
        <f t="shared" si="3"/>
        <v>5.6297242337538574E-3</v>
      </c>
      <c r="AE8" s="86">
        <f t="shared" si="4"/>
        <v>2.2459241045704379E-2</v>
      </c>
      <c r="AF8" s="86">
        <f t="shared" si="5"/>
        <v>5.6297242337538574E-3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1.5353172826085998E-2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75" x14ac:dyDescent="0.25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4.9783555492901553E-2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15.333335091813678</v>
      </c>
      <c r="AD9" s="62">
        <f t="shared" si="3"/>
        <v>1.0446973241003872E-3</v>
      </c>
      <c r="AE9" s="86">
        <f t="shared" si="4"/>
        <v>2.0984787320972816E-2</v>
      </c>
      <c r="AF9" s="86">
        <f t="shared" si="5"/>
        <v>1.0446973241003872E-3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2.1780305528144427E-3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5.0912402180867317E-2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29.42736846054131</v>
      </c>
      <c r="AD10" s="62">
        <f t="shared" si="3"/>
        <v>1.1712093717601785E-3</v>
      </c>
      <c r="AE10" s="86">
        <f t="shared" si="4"/>
        <v>2.3004402102250725E-2</v>
      </c>
      <c r="AF10" s="86">
        <f t="shared" si="5"/>
        <v>1.1712093717601785E-3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2.5456201090433661E-3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75" x14ac:dyDescent="0.25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0.3051637482243012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189.81185139551533</v>
      </c>
      <c r="AD11" s="62">
        <f t="shared" si="3"/>
        <v>6.7227702689320124E-3</v>
      </c>
      <c r="AE11" s="86">
        <f t="shared" si="4"/>
        <v>2.2030042257806609E-2</v>
      </c>
      <c r="AF11" s="86">
        <f t="shared" si="5"/>
        <v>6.7227702689320124E-3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1.4190114292430006E-2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75" x14ac:dyDescent="0.25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5.1032565004424039E-2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32.558776472822537</v>
      </c>
      <c r="AD12" s="62">
        <f t="shared" si="3"/>
        <v>1.2265551624797927E-3</v>
      </c>
      <c r="AE12" s="86">
        <f t="shared" si="4"/>
        <v>2.403475432546771E-2</v>
      </c>
      <c r="AF12" s="86">
        <f t="shared" si="5"/>
        <v>1.2265551624797927E-3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2.5516282502212021E-3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75" x14ac:dyDescent="0.25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0.24162262406103258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172.03530833145518</v>
      </c>
      <c r="AD13" s="62">
        <f t="shared" si="3"/>
        <v>6.1432302377074834E-3</v>
      </c>
      <c r="AE13" s="86">
        <f t="shared" si="4"/>
        <v>2.5424896619596914E-2</v>
      </c>
      <c r="AF13" s="86">
        <f t="shared" si="5"/>
        <v>6.1432302377074834E-3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75" x14ac:dyDescent="0.25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75" x14ac:dyDescent="0.25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75" x14ac:dyDescent="0.25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1010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39325</v>
      </c>
      <c r="W29" s="61"/>
      <c r="X29" s="87">
        <f>SUM(X7:X28)</f>
        <v>0.99999999999999978</v>
      </c>
      <c r="Y29" s="61"/>
      <c r="Z29" s="56"/>
      <c r="AA29" s="56"/>
      <c r="AB29" s="56"/>
      <c r="AC29" s="112">
        <f>SUM(AC7:AC28)/360</f>
        <v>1.423361983428624</v>
      </c>
      <c r="AD29" s="56">
        <f>SUM(AD7:AD28)</f>
        <v>2.3099460921262867E-2</v>
      </c>
      <c r="AE29" s="56"/>
      <c r="AF29" s="56"/>
      <c r="AG29" s="56"/>
      <c r="AH29" s="56"/>
      <c r="AI29" s="56">
        <f>SUM(AI7:AI28)</f>
        <v>102361.11000000002</v>
      </c>
      <c r="AJ29" s="56">
        <f>AI29/$A$29</f>
        <v>101.34763366336635</v>
      </c>
      <c r="AK29" s="56"/>
      <c r="AL29" s="56"/>
      <c r="AM29" s="91">
        <f>SUM(AM7:AM28)</f>
        <v>1023611.1</v>
      </c>
      <c r="AN29" s="56"/>
      <c r="AO29" s="56"/>
      <c r="AP29" s="56"/>
      <c r="AQ29" s="56"/>
      <c r="AR29" s="56"/>
      <c r="AS29" s="56"/>
      <c r="AT29" s="91">
        <f>SUM(AT7:AT28)</f>
        <v>11566.944444444442</v>
      </c>
      <c r="AU29" s="69">
        <f>SUM(AU7:AU28)</f>
        <v>0</v>
      </c>
      <c r="AV29" s="113" t="s">
        <v>109</v>
      </c>
      <c r="AW29" s="91">
        <f>SUM(AT29:AV29)</f>
        <v>11566.944444444442</v>
      </c>
      <c r="AX29" s="56"/>
      <c r="AY29" s="94">
        <f>SUM(AY7:AY28)</f>
        <v>3.9740776917131904E-2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2687.5</v>
      </c>
    </row>
    <row r="7" spans="1:23" s="5" customFormat="1" ht="15.75" x14ac:dyDescent="0.25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14631.25</v>
      </c>
    </row>
    <row r="8" spans="1:23" s="5" customFormat="1" ht="15.75" x14ac:dyDescent="0.25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75" x14ac:dyDescent="0.25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1093.75</v>
      </c>
    </row>
    <row r="10" spans="1:23" s="5" customFormat="1" ht="15.75" x14ac:dyDescent="0.25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75" x14ac:dyDescent="0.25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2687.5</v>
      </c>
    </row>
    <row r="13" spans="1:23" s="5" customFormat="1" ht="15.75" x14ac:dyDescent="0.25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14631.25</v>
      </c>
    </row>
    <row r="14" spans="1:23" s="5" customFormat="1" ht="15.75" x14ac:dyDescent="0.25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1250</v>
      </c>
    </row>
    <row r="15" spans="1:23" s="5" customFormat="1" ht="15.75" x14ac:dyDescent="0.25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1093.75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1010</v>
      </c>
      <c r="B28" s="18" t="s">
        <v>52</v>
      </c>
      <c r="C28" s="158"/>
      <c r="D28" s="143"/>
      <c r="E28" s="159">
        <f t="shared" ref="E28:P28" si="9">SUM(E6:E27)</f>
        <v>2687.5</v>
      </c>
      <c r="F28" s="159">
        <f t="shared" si="9"/>
        <v>14631.25</v>
      </c>
      <c r="G28" s="159">
        <f t="shared" si="9"/>
        <v>1250</v>
      </c>
      <c r="H28" s="159">
        <f t="shared" si="9"/>
        <v>1093.75</v>
      </c>
      <c r="I28" s="159">
        <f t="shared" si="9"/>
        <v>0</v>
      </c>
      <c r="J28" s="159">
        <f t="shared" si="9"/>
        <v>0</v>
      </c>
      <c r="K28" s="159">
        <f t="shared" si="9"/>
        <v>2687.5</v>
      </c>
      <c r="L28" s="159">
        <f t="shared" si="9"/>
        <v>14631.25</v>
      </c>
      <c r="M28" s="159">
        <f t="shared" si="9"/>
        <v>1250</v>
      </c>
      <c r="N28" s="159">
        <f t="shared" si="9"/>
        <v>1093.75</v>
      </c>
      <c r="O28" s="159">
        <f t="shared" si="9"/>
        <v>0</v>
      </c>
      <c r="P28" s="159">
        <f t="shared" si="9"/>
        <v>0</v>
      </c>
      <c r="Q28" s="159">
        <f>SUM(E28:P28)</f>
        <v>39325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6.834075015893197E-2</v>
      </c>
      <c r="F29" s="161">
        <f t="shared" ref="F29:P29" si="10">F28/$Q$28</f>
        <v>0.37205975842339478</v>
      </c>
      <c r="G29" s="161">
        <f t="shared" si="10"/>
        <v>3.1786395422759059E-2</v>
      </c>
      <c r="H29" s="161">
        <f t="shared" si="10"/>
        <v>2.7813095994914178E-2</v>
      </c>
      <c r="I29" s="161">
        <f t="shared" si="10"/>
        <v>0</v>
      </c>
      <c r="J29" s="161">
        <f t="shared" si="10"/>
        <v>0</v>
      </c>
      <c r="K29" s="161">
        <f t="shared" si="10"/>
        <v>6.834075015893197E-2</v>
      </c>
      <c r="L29" s="161">
        <f t="shared" si="10"/>
        <v>0.37205975842339478</v>
      </c>
      <c r="M29" s="161">
        <f t="shared" si="10"/>
        <v>3.1786395422759059E-2</v>
      </c>
      <c r="N29" s="161">
        <f t="shared" si="10"/>
        <v>2.7813095994914178E-2</v>
      </c>
      <c r="O29" s="161">
        <f t="shared" si="10"/>
        <v>0</v>
      </c>
      <c r="P29" s="161">
        <f t="shared" si="10"/>
        <v>0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2002</v>
      </c>
      <c r="C61" s="38">
        <f t="shared" ref="C61:C78" si="12">A6/A$28</f>
        <v>4.9504950495049507E-2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2002</v>
      </c>
      <c r="C62" s="38">
        <f t="shared" si="12"/>
        <v>0.24752475247524752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2002</v>
      </c>
      <c r="C63" s="38">
        <f t="shared" si="12"/>
        <v>4.9504950495049507E-2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2003</v>
      </c>
      <c r="C64" s="38">
        <f t="shared" si="12"/>
        <v>4.9504950495049507E-2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2003</v>
      </c>
      <c r="C65" s="38">
        <f t="shared" si="12"/>
        <v>0.29702970297029702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2003</v>
      </c>
      <c r="C66" s="38">
        <f t="shared" si="12"/>
        <v>4.9504950495049507E-2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0.25742574257425743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350</v>
      </c>
      <c r="D8" s="268">
        <f t="shared" si="1"/>
        <v>0.34653465346534651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660</v>
      </c>
      <c r="D9" s="268">
        <f t="shared" si="1"/>
        <v>0.65346534653465349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1010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0.58512599790324615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0.58512599790324615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2.9222108865368888E-3</v>
      </c>
      <c r="AU7" s="193">
        <f t="shared" ref="AU7:AU28" si="15">AS7*E7/AS$29</f>
        <v>1902.6388029594441</v>
      </c>
      <c r="AV7" s="193">
        <f>AS7*F7/AS$29</f>
        <v>1.1612743225291526E-3</v>
      </c>
      <c r="AW7" s="190">
        <f>AS7*Proposal!M7/AS$29</f>
        <v>2.8086838839477212E-3</v>
      </c>
      <c r="AX7" s="194">
        <f>AS7*H7/AS$29</f>
        <v>2.9736722801193504E-2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1.5353172826086E-2</v>
      </c>
      <c r="AU8" s="193">
        <f t="shared" si="15"/>
        <v>9392.1311448263896</v>
      </c>
      <c r="AV8" s="193">
        <f t="shared" ref="AV8:AV28" si="17">AS8*F8/AS$29</f>
        <v>5.6297242337538574E-3</v>
      </c>
      <c r="AW8" s="193">
        <f>AS8*Proposal!M8/AS$29</f>
        <v>1.4959294599286778E-2</v>
      </c>
      <c r="AX8" s="194">
        <f>AS8*H8/AS$29</f>
        <v>0.16714648823189668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2.1780305528144427E-3</v>
      </c>
      <c r="AU9" s="193">
        <f t="shared" si="15"/>
        <v>1868.3768376485953</v>
      </c>
      <c r="AV9" s="193">
        <f t="shared" si="17"/>
        <v>1.0446973241003872E-3</v>
      </c>
      <c r="AW9" s="193">
        <f>AS9*Proposal!M9/AS$29</f>
        <v>2.1370420856123974E-3</v>
      </c>
      <c r="AX9" s="194">
        <f t="shared" ref="AX9:AX28" si="22">AS9*H9/AS$29</f>
        <v>4.1628770250651322E-2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2.9211001468164577E-2</v>
      </c>
      <c r="J10" s="127">
        <f t="shared" ca="1" si="2"/>
        <v>2.6203171643336187E-2</v>
      </c>
      <c r="K10" s="127">
        <f t="shared" ca="1" si="3"/>
        <v>2.3211945945099011E-2</v>
      </c>
      <c r="L10" s="127">
        <f t="shared" ca="1" si="4"/>
        <v>2.0237191928700771E-2</v>
      </c>
      <c r="M10" s="127">
        <f t="shared" ca="1" si="5"/>
        <v>1.7278778529155492E-2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101.64835791391174</v>
      </c>
      <c r="Z10" s="197">
        <f t="shared" ca="1" si="8"/>
        <v>2.3211945945099011E-2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102.27363347202534</v>
      </c>
      <c r="AD10" s="169">
        <f t="shared" ca="1" si="9"/>
        <v>2.9211001468164577E-2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101.96013037721329</v>
      </c>
      <c r="AH10" s="169">
        <f t="shared" ca="1" si="10"/>
        <v>2.6203171643336187E-2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101.33830227753654</v>
      </c>
      <c r="AL10" s="169">
        <f t="shared" ca="1" si="11"/>
        <v>2.0237191928700771E-2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101.02994980731535</v>
      </c>
      <c r="AP10" s="169">
        <f t="shared" ca="1" si="12"/>
        <v>1.7278778529155492E-2</v>
      </c>
      <c r="AQ10" s="168"/>
      <c r="AR10" s="170"/>
      <c r="AS10" s="189">
        <f t="shared" si="13"/>
        <v>52114.5</v>
      </c>
      <c r="AT10" s="192">
        <f t="shared" si="14"/>
        <v>2.5456201090433661E-3</v>
      </c>
      <c r="AU10" s="193">
        <f t="shared" si="15"/>
        <v>1924.6415396433272</v>
      </c>
      <c r="AV10" s="193">
        <f t="shared" si="17"/>
        <v>1.1712093717601785E-3</v>
      </c>
      <c r="AW10" s="193">
        <f>AS10*Proposal!M10/AS$29</f>
        <v>2.442333812128454E-3</v>
      </c>
      <c r="AX10" s="194">
        <f t="shared" si="22"/>
        <v>7.729395663432588E-2</v>
      </c>
      <c r="AY10" s="168">
        <f t="shared" ca="1" si="16"/>
        <v>1.1491062349058916E-3</v>
      </c>
      <c r="AZ10" s="168">
        <f t="shared" ca="1" si="18"/>
        <v>1.4460891815923059E-3</v>
      </c>
      <c r="BA10" s="168">
        <f t="shared" ca="1" si="19"/>
        <v>1.297186715016643E-3</v>
      </c>
      <c r="BB10" s="168">
        <f t="shared" ca="1" si="20"/>
        <v>1.001841184589147E-3</v>
      </c>
      <c r="BC10" s="168">
        <f t="shared" ca="1" si="21"/>
        <v>8.553850757007669E-4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2.9415398675533444E-2</v>
      </c>
      <c r="J11" s="127">
        <f t="shared" ca="1" si="2"/>
        <v>2.5809325360505619E-2</v>
      </c>
      <c r="K11" s="127">
        <f t="shared" ca="1" si="3"/>
        <v>2.22253167472235E-2</v>
      </c>
      <c r="L11" s="127">
        <f t="shared" ca="1" si="4"/>
        <v>1.8663183605079015E-2</v>
      </c>
      <c r="M11" s="127">
        <f t="shared" ca="1" si="5"/>
        <v>1.51227387882793E-2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101.78716665567114</v>
      </c>
      <c r="Z11" s="197">
        <f t="shared" ca="1" si="8"/>
        <v>2.22253167472235E-2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102.53581955629257</v>
      </c>
      <c r="AD11" s="169">
        <f t="shared" ca="1" si="9"/>
        <v>2.9415398675533444E-2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102.16034438451193</v>
      </c>
      <c r="AH11" s="169">
        <f t="shared" ca="1" si="10"/>
        <v>2.5809325360505619E-2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101.41626666651163</v>
      </c>
      <c r="AL11" s="169">
        <f t="shared" ca="1" si="11"/>
        <v>1.8663183605079015E-2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101.04762493085202</v>
      </c>
      <c r="AP11" s="169">
        <f t="shared" ca="1" si="12"/>
        <v>1.51227387882793E-2</v>
      </c>
      <c r="AQ11" s="168"/>
      <c r="AR11" s="170"/>
      <c r="AS11" s="189">
        <f t="shared" si="13"/>
        <v>312369</v>
      </c>
      <c r="AT11" s="192">
        <f t="shared" si="14"/>
        <v>1.4190114292430004E-2</v>
      </c>
      <c r="AU11" s="193">
        <f t="shared" si="15"/>
        <v>11549.837542793352</v>
      </c>
      <c r="AV11" s="193">
        <f t="shared" si="17"/>
        <v>6.7227702689320115E-3</v>
      </c>
      <c r="AW11" s="193">
        <f>AS11*Proposal!M11/AS$29</f>
        <v>1.3628222671676772E-2</v>
      </c>
      <c r="AX11" s="194">
        <f t="shared" si="22"/>
        <v>0.50177736475580625</v>
      </c>
      <c r="AY11" s="168">
        <f t="shared" ca="1" si="16"/>
        <v>6.6015792318485644E-3</v>
      </c>
      <c r="AZ11" s="168">
        <f t="shared" ca="1" si="18"/>
        <v>8.7372471313465674E-3</v>
      </c>
      <c r="BA11" s="168">
        <f t="shared" ca="1" si="19"/>
        <v>7.6661362456947385E-3</v>
      </c>
      <c r="BB11" s="168">
        <f t="shared" ca="1" si="20"/>
        <v>5.5435198826967371E-3</v>
      </c>
      <c r="BC11" s="168">
        <f t="shared" ca="1" si="21"/>
        <v>4.4919026103799903E-3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3.1824107894827369E-2</v>
      </c>
      <c r="J12" s="127">
        <f t="shared" ca="1" si="2"/>
        <v>2.8014864482391211E-2</v>
      </c>
      <c r="K12" s="127">
        <f t="shared" ca="1" si="3"/>
        <v>2.4229725369119715E-2</v>
      </c>
      <c r="L12" s="127">
        <f t="shared" ca="1" si="4"/>
        <v>2.0468478842694093E-2</v>
      </c>
      <c r="M12" s="127">
        <f t="shared" ca="1" si="5"/>
        <v>1.6730915566580462E-2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102.00640055793878</v>
      </c>
      <c r="Z12" s="197">
        <f t="shared" ca="1" si="8"/>
        <v>2.4229725369119715E-2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102.79982367231209</v>
      </c>
      <c r="AD12" s="169">
        <f t="shared" ca="1" si="9"/>
        <v>3.1824107894827369E-2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102.40185296679783</v>
      </c>
      <c r="AH12" s="169">
        <f t="shared" ca="1" si="10"/>
        <v>2.8014864482391211E-2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101.61344432709048</v>
      </c>
      <c r="AL12" s="169">
        <f t="shared" ca="1" si="11"/>
        <v>2.0468478842694093E-2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101.2229624038185</v>
      </c>
      <c r="AP12" s="169">
        <f t="shared" ca="1" si="12"/>
        <v>1.6730915566580462E-2</v>
      </c>
      <c r="AQ12" s="168"/>
      <c r="AR12" s="170"/>
      <c r="AS12" s="189">
        <f t="shared" si="13"/>
        <v>52237.5</v>
      </c>
      <c r="AT12" s="192">
        <f t="shared" si="14"/>
        <v>2.5516282502212021E-3</v>
      </c>
      <c r="AU12" s="193">
        <f t="shared" si="15"/>
        <v>1932.3480738925161</v>
      </c>
      <c r="AV12" s="193">
        <f t="shared" si="17"/>
        <v>1.2265551624797929E-3</v>
      </c>
      <c r="AW12" s="193">
        <f>AS12*Proposal!M12/AS$29</f>
        <v>2.442333812128454E-3</v>
      </c>
      <c r="AX12" s="194">
        <f t="shared" si="22"/>
        <v>8.5837421593838614E-2</v>
      </c>
      <c r="AY12" s="168">
        <f t="shared" ca="1" si="16"/>
        <v>1.1994913549069166E-3</v>
      </c>
      <c r="AZ12" s="168">
        <f t="shared" ca="1" si="18"/>
        <v>1.575450885882543E-3</v>
      </c>
      <c r="BA12" s="168">
        <f t="shared" ca="1" si="19"/>
        <v>1.3868744793262976E-3</v>
      </c>
      <c r="BB12" s="168">
        <f t="shared" ca="1" si="20"/>
        <v>1.0132910318165394E-3</v>
      </c>
      <c r="BC12" s="168">
        <f t="shared" ca="1" si="21"/>
        <v>8.2826314686041888E-4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3.5340322002074043E-2</v>
      </c>
      <c r="J13" s="127">
        <f t="shared" ca="1" si="2"/>
        <v>3.026483898075516E-2</v>
      </c>
      <c r="K13" s="127">
        <f t="shared" ca="1" si="3"/>
        <v>2.5226690030991428E-2</v>
      </c>
      <c r="L13" s="127">
        <f t="shared" ca="1" si="4"/>
        <v>2.0225509382431728E-2</v>
      </c>
      <c r="M13" s="127">
        <f t="shared" ca="1" si="5"/>
        <v>1.5260935736890024E-2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97.525714115888107</v>
      </c>
      <c r="Z13" s="197">
        <f t="shared" ca="1" si="8"/>
        <v>2.5226690030991428E-2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98.487783470769301</v>
      </c>
      <c r="AD13" s="169">
        <f t="shared" ca="1" si="9"/>
        <v>3.5340322002074043E-2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98.004973072883331</v>
      </c>
      <c r="AH13" s="169">
        <f t="shared" ca="1" si="10"/>
        <v>3.026483898075516E-2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97.049971805513209</v>
      </c>
      <c r="AL13" s="169">
        <f t="shared" ca="1" si="11"/>
        <v>2.0225509382431728E-2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96.577711772907421</v>
      </c>
      <c r="AP13" s="169">
        <f t="shared" ca="1" si="12"/>
        <v>1.5260935736890024E-2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9167.1623568755767</v>
      </c>
      <c r="AV13" s="193">
        <f t="shared" si="17"/>
        <v>6.1432302377074834E-3</v>
      </c>
      <c r="AW13" s="193">
        <f>AS13*Proposal!M13/AS$29</f>
        <v>0</v>
      </c>
      <c r="AX13" s="194">
        <f t="shared" si="22"/>
        <v>0.47187714269122677</v>
      </c>
      <c r="AY13" s="168">
        <f t="shared" ca="1" si="16"/>
        <v>6.4939994139185855E-3</v>
      </c>
      <c r="AZ13" s="168">
        <f t="shared" ca="1" si="18"/>
        <v>9.0975086341972787E-3</v>
      </c>
      <c r="BA13" s="168">
        <f t="shared" ca="1" si="19"/>
        <v>7.7909486485112289E-3</v>
      </c>
      <c r="BB13" s="168">
        <f t="shared" ca="1" si="20"/>
        <v>5.2065667717150982E-3</v>
      </c>
      <c r="BC13" s="168">
        <f t="shared" ca="1" si="21"/>
        <v>3.9285577144469366E-3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si="0"/>
        <v>0</v>
      </c>
      <c r="I14" s="127">
        <f t="shared" si="1"/>
        <v>0</v>
      </c>
      <c r="J14" s="127">
        <f t="shared" si="2"/>
        <v>0</v>
      </c>
      <c r="K14" s="127">
        <f t="shared" si="3"/>
        <v>0</v>
      </c>
      <c r="L14" s="127">
        <f t="shared" si="4"/>
        <v>0</v>
      </c>
      <c r="M14" s="127">
        <f t="shared" si="5"/>
        <v>0</v>
      </c>
      <c r="N14" s="18"/>
      <c r="O14" s="18"/>
      <c r="P14" s="18"/>
      <c r="Q14" s="18"/>
      <c r="S14" s="195" t="e">
        <f>MDURATION(BF14,Proposal!BH14,D14,F14,2,0)</f>
        <v>#NUM!</v>
      </c>
      <c r="T14" s="168" t="b">
        <f t="shared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si="22"/>
        <v>0</v>
      </c>
      <c r="AY14" s="168">
        <f t="shared" si="16"/>
        <v>0</v>
      </c>
      <c r="AZ14" s="168">
        <f t="shared" si="18"/>
        <v>0</v>
      </c>
      <c r="BA14" s="168">
        <f t="shared" si="19"/>
        <v>0</v>
      </c>
      <c r="BB14" s="168">
        <f t="shared" si="20"/>
        <v>0</v>
      </c>
      <c r="BC14" s="168">
        <f t="shared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si="0"/>
        <v>0</v>
      </c>
      <c r="I15" s="127">
        <f t="shared" si="1"/>
        <v>0</v>
      </c>
      <c r="J15" s="127">
        <f t="shared" si="2"/>
        <v>0</v>
      </c>
      <c r="K15" s="127">
        <f t="shared" si="3"/>
        <v>0</v>
      </c>
      <c r="L15" s="127">
        <f t="shared" si="4"/>
        <v>0</v>
      </c>
      <c r="M15" s="127">
        <f t="shared" si="5"/>
        <v>0</v>
      </c>
      <c r="N15" s="18"/>
      <c r="O15" s="18"/>
      <c r="P15" s="18"/>
      <c r="Q15" s="18"/>
      <c r="S15" s="195" t="e">
        <f>MDURATION(BF15,Proposal!BH15,D15,F15,2,0)</f>
        <v>#NUM!</v>
      </c>
      <c r="T15" s="168" t="b">
        <f t="shared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si="22"/>
        <v>0</v>
      </c>
      <c r="AY15" s="168">
        <f t="shared" si="16"/>
        <v>0</v>
      </c>
      <c r="AZ15" s="168">
        <f t="shared" si="18"/>
        <v>0</v>
      </c>
      <c r="BA15" s="168">
        <f t="shared" si="19"/>
        <v>0</v>
      </c>
      <c r="BB15" s="168">
        <f t="shared" si="20"/>
        <v>0</v>
      </c>
      <c r="BC15" s="168">
        <f t="shared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si="0"/>
        <v>0</v>
      </c>
      <c r="I16" s="127">
        <f t="shared" si="1"/>
        <v>0</v>
      </c>
      <c r="J16" s="127">
        <f t="shared" si="2"/>
        <v>0</v>
      </c>
      <c r="K16" s="127">
        <f t="shared" si="3"/>
        <v>0</v>
      </c>
      <c r="L16" s="127">
        <f t="shared" si="4"/>
        <v>0</v>
      </c>
      <c r="M16" s="127">
        <f t="shared" si="5"/>
        <v>0</v>
      </c>
      <c r="N16" s="18"/>
      <c r="O16" s="18"/>
      <c r="P16" s="18"/>
      <c r="Q16" s="18"/>
      <c r="S16" s="195" t="e">
        <f>MDURATION(BF16,Proposal!BH16,D16,F16,2,0)</f>
        <v>#NUM!</v>
      </c>
      <c r="T16" s="168" t="b">
        <f t="shared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si="22"/>
        <v>0</v>
      </c>
      <c r="AY16" s="168">
        <f t="shared" si="16"/>
        <v>0</v>
      </c>
      <c r="AZ16" s="168">
        <f t="shared" si="18"/>
        <v>0</v>
      </c>
      <c r="BA16" s="168">
        <f t="shared" si="19"/>
        <v>0</v>
      </c>
      <c r="BB16" s="168">
        <f t="shared" si="20"/>
        <v>0</v>
      </c>
      <c r="BC16" s="168">
        <f t="shared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1023611.1000000001</v>
      </c>
      <c r="AT29" s="208">
        <f>SUM(AT7:AT28)</f>
        <v>3.9740776917131911E-2</v>
      </c>
      <c r="AU29" s="209">
        <f>INT(SUM(AU7:AU28))</f>
        <v>37737</v>
      </c>
      <c r="AV29" s="208">
        <f>SUM(AV7:AV28)</f>
        <v>2.3099460921262867E-2</v>
      </c>
      <c r="AW29" s="208">
        <f>SUM(AW7:AW28)</f>
        <v>3.8417910864780573E-2</v>
      </c>
      <c r="AX29" s="194">
        <f t="shared" ref="AX29:BC29" si="23">SUM(AX7:AX28)</f>
        <v>1.3752978669589391</v>
      </c>
      <c r="AY29" s="208">
        <f t="shared" ca="1" si="23"/>
        <v>1.5444176235579959E-2</v>
      </c>
      <c r="AZ29" s="208">
        <f t="shared" ca="1" si="23"/>
        <v>2.0856295833018696E-2</v>
      </c>
      <c r="BA29" s="208">
        <f t="shared" ca="1" si="23"/>
        <v>1.8141146088548908E-2</v>
      </c>
      <c r="BB29" s="208">
        <f t="shared" ca="1" si="23"/>
        <v>1.2765218870817521E-2</v>
      </c>
      <c r="BC29" s="208">
        <f t="shared" ca="1" si="23"/>
        <v>1.0104108547388113E-2</v>
      </c>
      <c r="BD29" s="168"/>
      <c r="BE29" s="168"/>
      <c r="BF29" s="168"/>
      <c r="BG29" s="171"/>
    </row>
    <row r="30" spans="1:67" x14ac:dyDescent="0.25">
      <c r="A30" s="223">
        <f>SUM(A7:A29)</f>
        <v>1010</v>
      </c>
      <c r="B30" s="143"/>
      <c r="C30" s="143"/>
      <c r="D30" s="211">
        <f>AT29</f>
        <v>3.9740776917131911E-2</v>
      </c>
      <c r="E30" s="254">
        <f>AU29</f>
        <v>37737</v>
      </c>
      <c r="F30" s="211">
        <f>AV29</f>
        <v>2.3099460921262867E-2</v>
      </c>
      <c r="G30" s="220"/>
      <c r="H30" s="219">
        <f>AX29</f>
        <v>1.3752978669589391</v>
      </c>
      <c r="I30" s="127">
        <f ca="1">AZ29</f>
        <v>2.0856295833018696E-2</v>
      </c>
      <c r="J30" s="127">
        <f ca="1">BA29</f>
        <v>1.8141146088548908E-2</v>
      </c>
      <c r="K30" s="127">
        <f ca="1">AY29</f>
        <v>1.5444176235579959E-2</v>
      </c>
      <c r="L30" s="127">
        <f ca="1">BB29</f>
        <v>1.2765218870817521E-2</v>
      </c>
      <c r="M30" s="127">
        <f ca="1">BC29</f>
        <v>1.0104108547388113E-2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37211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Scott Neal Short Term Bonds</v>
      </c>
      <c r="B4" s="374">
        <f ca="1">NOW()</f>
        <v>37214.686773148147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5" x14ac:dyDescent="0.25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5" x14ac:dyDescent="0.25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5" x14ac:dyDescent="0.3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5" x14ac:dyDescent="0.25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5" x14ac:dyDescent="0.25">
      <c r="A11" s="275" t="str">
        <f>Summary!A11</f>
        <v xml:space="preserve">Par Amount </v>
      </c>
      <c r="B11" s="276">
        <f>Summary!B11</f>
        <v>1010000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5" x14ac:dyDescent="0.25">
      <c r="A12" s="275" t="str">
        <f>Summary!A12</f>
        <v>Average Coupon</v>
      </c>
      <c r="B12" s="287">
        <f>Summary!B12</f>
        <v>3.9740776917131904E-2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5" x14ac:dyDescent="0.25">
      <c r="A13" s="275" t="str">
        <f>Summary!A13</f>
        <v>Projected Annual Income</v>
      </c>
      <c r="B13" s="276">
        <f>Summary!B13</f>
        <v>39325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5" x14ac:dyDescent="0.25">
      <c r="A15" s="275" t="str">
        <f>Summary!A15</f>
        <v>Estimated Market Value</v>
      </c>
      <c r="B15" s="276">
        <f>Summary!B15</f>
        <v>1023611.1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11566.944444444442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1035178.0444444445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1.423361983428624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>Summary!B20</f>
        <v>1.3752978669589391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3.8417910864780573E-2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>
        <f>Summary!B22</f>
        <v>2.3099460921262867E-2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101.34763366336635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1010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75" x14ac:dyDescent="0.25">
      <c r="K38" s="320">
        <f>Maturity!B8</f>
        <v>2002</v>
      </c>
      <c r="L38" s="320">
        <f>Maturity!C8</f>
        <v>350</v>
      </c>
      <c r="M38" s="324">
        <f>Maturity!D8</f>
        <v>0.34653465346534651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75" x14ac:dyDescent="0.25">
      <c r="K39" s="320">
        <f>Maturity!B9</f>
        <v>2003</v>
      </c>
      <c r="L39" s="320">
        <f>Maturity!C9</f>
        <v>660</v>
      </c>
      <c r="M39" s="324">
        <f>Maturity!D9</f>
        <v>0.65346534653465349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2001-11-13T20:27:48Z</cp:lastPrinted>
  <dcterms:created xsi:type="dcterms:W3CDTF">1999-01-15T20:16:09Z</dcterms:created>
  <dcterms:modified xsi:type="dcterms:W3CDTF">2023-09-11T15:42:46Z</dcterms:modified>
</cp:coreProperties>
</file>