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74D214-67FD-4353-81ED-534F950E22EE}" xr6:coauthVersionLast="47" xr6:coauthVersionMax="47" xr10:uidLastSave="{00000000-0000-0000-0000-000000000000}"/>
  <bookViews>
    <workbookView xWindow="-120" yWindow="-120" windowWidth="38640" windowHeight="15720" tabRatio="601"/>
    <workbookView xWindow="-120" yWindow="-120" windowWidth="38640" windowHeight="15720" activeTab="2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M27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<sst xmlns="http://schemas.openxmlformats.org/spreadsheetml/2006/main" count="299" uniqueCount="162">
  <si>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</si>
  <si>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</si>
  <si>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</si>
  <si>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</si>
  <si>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</si>
  <si>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</si>
  <si>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</si>
  <si>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</si>
  <si>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</si>
  <si>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</si>
  <si>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</si>
  <si>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</si>
  <si>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</si>
  <si>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</si>
  <si>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</si>
  <si>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</si>
  <si>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</si>
  <si>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</si>
  <si>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</si>
  <si>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</si>
  <si>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</si>
  <si>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</si>
  <si>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</si>
  <si>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</si>
  <si>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</si>
  <si>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</si>
  <si>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</si>
  <si>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</si>
  <si>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</si>
  <si>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</si>
  <si>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</si>
  <si>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</si>
  <si>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</si>
  <si>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</si>
  <si>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</si>
  <si>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</si>
  <si>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</si>
  <si>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</si>
  <si>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</si>
  <si>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</si>
  <si>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</si>
  <si>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</si>
  <si>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</si>
  <si>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</si>
  <si>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</si>
  <si>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</si>
  <si>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</si>
  <si>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</si>
  <si>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</si>
  <si>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</si>
  <si>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</si>
  <si>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</si>
  <si>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</si>
  <si>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</si>
  <si>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</si>
  <si>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</si>
  <si>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</si>
  <si>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</si>
  <si>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</si>
  <si>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</si>
  <si>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</si>
  <si>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</si>
  <si>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</si>
  <si>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</si>
  <si>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</si>
  <si>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</si>
  <si>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</si>
  <si>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</si>
  <si>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</si>
  <si>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</si>
  <si>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</si>
  <si>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</si>
  <si>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</si>
  <si>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</si>
  <si>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</si>
  <si>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</si>
  <si>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</si>
  <si>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</si>
  <si>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</si>
  <si>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</si>
  <si>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</si>
  <si>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</si>
  <si>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</si>
  <si>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</si>
  <si>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</si>
  <si>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</si>
  <si>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</si>
  <si>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</si>
  <si>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</si>
  <si>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</si>
  <si>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</si>
  <si>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</si>
  <si>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</si>
  <si>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</si>
  <si>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</si>
  <si>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</si>
  <si>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</si>
  <si>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</si>
  <si>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</si>
  <si>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</si>
  <si>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</si>
  <si>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</si>
  <si>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</si>
  <si>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</si>
  <si>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</si>
  <si>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</si>
  <si>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</si>
  <si>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</si>
  <si>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</si>
  <si>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</si>
  <si>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</si>
  <si>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</si>
  <si>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</si>
  <si>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</si>
  <si>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</si>
  <si>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</si>
  <si>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</si>
  <si>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</si>
  <si>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</si>
  <si>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</si>
  <si>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</si>
  <si>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</si>
  <si>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</si>
  <si>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</si>
  <si>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</si>
  <si>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</si>
  <si>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</si>
  <si>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</si>
  <si>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</si>
  <si>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</si>
  <si>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</si>
  <si>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</si>
  <si>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</si>
  <si>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</si>
  <si>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</si>
  <si>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</si>
  <si>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</si>
  <si>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</si>
  <si>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</si>
  <si>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</si>
  <si>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</si>
  <si>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</si>
  <si>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</si>
  <si>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</si>
  <si>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</si>
  <si>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</si>
  <si>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</si>
  <si>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</si>
  <si>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</si>
  <si>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</si>
  <si>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</si>
  <si>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</si>
  <si>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</si>
  <si>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</t>
  </si>
  <si>
    <t>WICHITA FALLS ISD PSF</t>
  </si>
  <si>
    <t>AAA/AAA</t>
  </si>
  <si>
    <t>PHARR TX CERT OF OB</t>
  </si>
  <si>
    <t>TX WTR DEV BRD</t>
  </si>
  <si>
    <t>ROUND ROCK TX TRAN</t>
  </si>
  <si>
    <t>HARRIS CO TX MUD#359</t>
  </si>
  <si>
    <t>FLOWER MOUND TX W/S</t>
  </si>
  <si>
    <t>HM-ES SCOTT 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</si>
</sst>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846131501185299E-2"/>
          <c:y val="7.9757259212964754E-2"/>
          <c:w val="0.9056157022144844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1-4B67-B505-316DB637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413840"/>
        <c:axId val="1"/>
        <c:axId val="0"/>
      </c:bar3DChart>
      <c:catAx>
        <c:axId val="77741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41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25</c:v>
                </c:pt>
                <c:pt idx="15">
                  <c:v>50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49B-BFF6-C3F399D0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420336"/>
        <c:axId val="1"/>
        <c:axId val="0"/>
      </c:bar3DChart>
      <c:catAx>
        <c:axId val="7774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42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052629327963214E-2"/>
          <c:y val="0.11702504421268255"/>
          <c:w val="0.92595455153658768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9-43EE-826D-4D2666B8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6960832"/>
        <c:axId val="1"/>
        <c:axId val="0"/>
      </c:bar3DChart>
      <c:catAx>
        <c:axId val="7769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96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64DE76CF-57D5-9F27-A401-5F778176A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>
          <a:extLst>
            <a:ext uri="{FF2B5EF4-FFF2-40B4-BE49-F238E27FC236}">
              <a16:creationId xmlns:a16="http://schemas.microsoft.com/office/drawing/2014/main" id="{E75CDEB8-6127-0D4D-8105-7B138E29359C}"/>
            </a:ext>
          </a:extLst>
        </xdr:cNvPr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98084A6B-610C-15F2-2B24-58F86828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FF8579F8-D09E-6547-A019-ACE6BC892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0.13262</cdr:y>
    </cdr:from>
    <cdr:to>
      <cdr:x>0.1016</cdr:x>
      <cdr:y>0.13262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78C76C42-0131-6CB8-62FB-2A5A397B9AB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879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41F59F5B-BC12-6E1D-8D72-E794C54709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5110AF28-C7CA-211A-3ABC-C4C49B4DE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EBDAC181-DEF6-11E5-7924-792FAD369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tabSelected="1" zoomScale="75" workbookViewId="0">
      <selection activeCell="B12" sqref="B12"/>
    </sheetView>
    <sheetView showGridLines="0" zoomScale="70" workbookViewId="1">
      <selection activeCell="E29" sqref="E29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36069</v>
      </c>
      <c r="C3" s="328">
        <v>37054</v>
      </c>
      <c r="D3" s="328" t="s">
        <v>153</v>
      </c>
      <c r="E3" s="328" t="s">
        <v>154</v>
      </c>
      <c r="F3" s="329">
        <v>4.4999999999999998E-2</v>
      </c>
      <c r="G3" s="328">
        <v>40940</v>
      </c>
      <c r="H3" s="328">
        <v>39479</v>
      </c>
      <c r="I3" s="330">
        <v>100</v>
      </c>
      <c r="J3" s="328"/>
      <c r="K3" s="331"/>
      <c r="L3" s="332">
        <v>100</v>
      </c>
      <c r="M3" s="333"/>
      <c r="AE3" s="18">
        <f>M3*A3</f>
        <v>0</v>
      </c>
    </row>
    <row r="4" spans="1:31" ht="15" customHeight="1" x14ac:dyDescent="0.25">
      <c r="A4" s="334">
        <v>50</v>
      </c>
      <c r="B4" s="327">
        <v>37026</v>
      </c>
      <c r="C4" s="328">
        <v>37070</v>
      </c>
      <c r="D4" s="328" t="s">
        <v>155</v>
      </c>
      <c r="E4" s="328" t="s">
        <v>156</v>
      </c>
      <c r="F4" s="329">
        <v>4.65E-2</v>
      </c>
      <c r="G4" s="328">
        <v>41136</v>
      </c>
      <c r="H4" s="328">
        <v>40770</v>
      </c>
      <c r="I4" s="335">
        <v>100</v>
      </c>
      <c r="J4" s="328"/>
      <c r="K4" s="336"/>
      <c r="L4" s="332">
        <v>101.20399999999999</v>
      </c>
      <c r="M4" s="333"/>
      <c r="AE4" s="18">
        <f t="shared" ref="AE4:AE24" si="0">M4*A4</f>
        <v>0</v>
      </c>
    </row>
    <row r="5" spans="1:31" ht="15" customHeight="1" x14ac:dyDescent="0.25">
      <c r="A5" s="326">
        <v>25</v>
      </c>
      <c r="B5" s="337">
        <v>35704</v>
      </c>
      <c r="C5" s="328">
        <v>37054</v>
      </c>
      <c r="D5" s="328" t="s">
        <v>155</v>
      </c>
      <c r="E5" s="328" t="s">
        <v>157</v>
      </c>
      <c r="F5" s="329">
        <v>0.05</v>
      </c>
      <c r="G5" s="328">
        <v>41470</v>
      </c>
      <c r="H5" s="328">
        <v>39278</v>
      </c>
      <c r="I5" s="335">
        <v>101</v>
      </c>
      <c r="J5" s="328">
        <v>39644</v>
      </c>
      <c r="K5" s="338"/>
      <c r="L5" s="332">
        <v>101.78700000000001</v>
      </c>
      <c r="M5" s="333"/>
      <c r="AE5" s="18">
        <f t="shared" si="0"/>
        <v>0</v>
      </c>
    </row>
    <row r="6" spans="1:31" ht="15" customHeight="1" x14ac:dyDescent="0.25">
      <c r="A6" s="326">
        <v>50</v>
      </c>
      <c r="B6" s="337">
        <v>37026</v>
      </c>
      <c r="C6" s="328">
        <v>37061</v>
      </c>
      <c r="D6" s="328" t="s">
        <v>155</v>
      </c>
      <c r="E6" s="328" t="s">
        <v>158</v>
      </c>
      <c r="F6" s="329">
        <v>4.8500000000000001E-2</v>
      </c>
      <c r="G6" s="328">
        <v>41866</v>
      </c>
      <c r="H6" s="328">
        <v>40770</v>
      </c>
      <c r="I6" s="335">
        <v>100</v>
      </c>
      <c r="J6" s="328"/>
      <c r="K6" s="338"/>
      <c r="L6" s="332">
        <v>101.194</v>
      </c>
      <c r="M6" s="333"/>
      <c r="AE6" s="18">
        <f t="shared" si="0"/>
        <v>0</v>
      </c>
    </row>
    <row r="7" spans="1:31" ht="15" customHeight="1" x14ac:dyDescent="0.25">
      <c r="A7" s="326">
        <v>50</v>
      </c>
      <c r="B7" s="327">
        <v>36100</v>
      </c>
      <c r="C7" s="328">
        <v>37054</v>
      </c>
      <c r="D7" s="328" t="s">
        <v>155</v>
      </c>
      <c r="E7" s="328" t="s">
        <v>159</v>
      </c>
      <c r="F7" s="329">
        <v>4.3749999999999997E-2</v>
      </c>
      <c r="G7" s="328">
        <v>42156</v>
      </c>
      <c r="H7" s="328">
        <v>39234</v>
      </c>
      <c r="I7" s="335">
        <v>100</v>
      </c>
      <c r="J7" s="328"/>
      <c r="K7" s="331"/>
      <c r="L7" s="332">
        <v>94.731999999999999</v>
      </c>
      <c r="M7" s="333"/>
      <c r="AE7" s="18">
        <f t="shared" si="0"/>
        <v>0</v>
      </c>
    </row>
    <row r="8" spans="1:31" ht="15" customHeight="1" x14ac:dyDescent="0.25">
      <c r="A8" s="334">
        <v>25</v>
      </c>
      <c r="B8" s="327">
        <v>36404</v>
      </c>
      <c r="C8" s="328">
        <v>37054</v>
      </c>
      <c r="D8" s="328" t="s">
        <v>155</v>
      </c>
      <c r="E8" s="328" t="s">
        <v>160</v>
      </c>
      <c r="F8" s="329">
        <v>5.5E-2</v>
      </c>
      <c r="G8" s="328">
        <v>42248</v>
      </c>
      <c r="H8" s="328">
        <v>40057</v>
      </c>
      <c r="I8" s="335">
        <v>100</v>
      </c>
      <c r="J8" s="328"/>
      <c r="K8" s="336"/>
      <c r="L8" s="339">
        <v>105.04600000000001</v>
      </c>
      <c r="M8" s="333"/>
      <c r="AE8" s="18">
        <f t="shared" si="0"/>
        <v>0</v>
      </c>
    </row>
    <row r="9" spans="1:31" ht="15" customHeight="1" x14ac:dyDescent="0.25">
      <c r="A9" s="334"/>
      <c r="B9" s="327"/>
      <c r="C9" s="328"/>
      <c r="D9" s="328"/>
      <c r="E9" s="328"/>
      <c r="F9" s="329"/>
      <c r="G9" s="328"/>
      <c r="H9" s="328"/>
      <c r="I9" s="335"/>
      <c r="J9" s="328"/>
      <c r="K9" s="336"/>
      <c r="L9" s="339"/>
      <c r="M9" s="333"/>
      <c r="AE9" s="18">
        <f t="shared" si="0"/>
        <v>0</v>
      </c>
    </row>
    <row r="10" spans="1:31" ht="15" customHeight="1" x14ac:dyDescent="0.25">
      <c r="A10" s="326"/>
      <c r="B10" s="337"/>
      <c r="C10" s="328"/>
      <c r="D10" s="328"/>
      <c r="E10" s="328"/>
      <c r="F10" s="329"/>
      <c r="G10" s="328"/>
      <c r="H10" s="328"/>
      <c r="I10" s="335"/>
      <c r="J10" s="328"/>
      <c r="K10" s="338"/>
      <c r="L10" s="332"/>
      <c r="M10" s="333"/>
      <c r="AE10" s="18">
        <f t="shared" si="0"/>
        <v>0</v>
      </c>
    </row>
    <row r="11" spans="1:31" ht="15" customHeight="1" x14ac:dyDescent="0.25">
      <c r="A11" s="334"/>
      <c r="B11" s="327"/>
      <c r="C11" s="328"/>
      <c r="D11" s="328"/>
      <c r="E11" s="328"/>
      <c r="F11" s="329"/>
      <c r="G11" s="328"/>
      <c r="H11" s="328"/>
      <c r="I11" s="335"/>
      <c r="J11" s="328"/>
      <c r="K11" s="336"/>
      <c r="L11" s="339"/>
      <c r="M11" s="332"/>
      <c r="AE11" s="18">
        <f t="shared" si="0"/>
        <v>0</v>
      </c>
    </row>
    <row r="12" spans="1:31" ht="15" customHeight="1" x14ac:dyDescent="0.25">
      <c r="A12" s="334"/>
      <c r="B12" s="327"/>
      <c r="C12" s="328"/>
      <c r="D12" s="328"/>
      <c r="E12" s="328"/>
      <c r="F12" s="329"/>
      <c r="G12" s="328"/>
      <c r="H12" s="328"/>
      <c r="I12" s="335"/>
      <c r="J12" s="328"/>
      <c r="K12" s="336"/>
      <c r="L12" s="339"/>
      <c r="M12" s="332"/>
      <c r="AE12" s="18">
        <f t="shared" si="0"/>
        <v>0</v>
      </c>
    </row>
    <row r="13" spans="1:31" ht="15" customHeight="1" x14ac:dyDescent="0.25">
      <c r="A13" s="334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2"/>
      <c r="M13" s="332"/>
      <c r="AE13" s="18">
        <f t="shared" si="0"/>
        <v>0</v>
      </c>
    </row>
    <row r="14" spans="1:31" ht="15" customHeight="1" x14ac:dyDescent="0.25">
      <c r="A14" s="334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25">
      <c r="A15" s="334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1"/>
      <c r="L16" s="332"/>
      <c r="M16" s="332"/>
      <c r="AE16" s="18">
        <f t="shared" si="0"/>
        <v>0</v>
      </c>
    </row>
    <row r="17" spans="1:31" ht="15" customHeight="1" x14ac:dyDescent="0.25">
      <c r="A17" s="334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9"/>
      <c r="M17" s="332"/>
      <c r="AE17" s="18">
        <f t="shared" si="0"/>
        <v>0</v>
      </c>
    </row>
    <row r="18" spans="1:31" ht="15" customHeight="1" x14ac:dyDescent="0.25">
      <c r="A18" s="326"/>
      <c r="B18" s="327"/>
      <c r="C18" s="328"/>
      <c r="D18" s="328"/>
      <c r="E18" s="328"/>
      <c r="F18" s="329"/>
      <c r="G18" s="328"/>
      <c r="H18" s="328"/>
      <c r="I18" s="335"/>
      <c r="J18" s="328"/>
      <c r="K18" s="331"/>
      <c r="L18" s="332"/>
      <c r="M18" s="339"/>
      <c r="AE18" s="18">
        <f t="shared" si="0"/>
        <v>0</v>
      </c>
    </row>
    <row r="19" spans="1:31" ht="15" customHeight="1" x14ac:dyDescent="0.25">
      <c r="A19" s="334"/>
      <c r="B19" s="327"/>
      <c r="C19" s="328"/>
      <c r="D19" s="328"/>
      <c r="E19" s="328"/>
      <c r="F19" s="329"/>
      <c r="G19" s="328"/>
      <c r="H19" s="328"/>
      <c r="I19" s="335"/>
      <c r="J19" s="328"/>
      <c r="K19" s="336"/>
      <c r="L19" s="332"/>
      <c r="M19" s="339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1"/>
      <c r="L20" s="332"/>
      <c r="M20" s="339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9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250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37054</v>
      </c>
      <c r="D27" s="143"/>
      <c r="E27" s="230" t="s">
        <v>161</v>
      </c>
      <c r="G27" s="231"/>
      <c r="L27" s="136" t="s">
        <v>129</v>
      </c>
      <c r="M27" s="232">
        <f>SUM(AE3:AE24)</f>
        <v>0</v>
      </c>
    </row>
    <row r="28" spans="1:31" ht="15" customHeight="1" x14ac:dyDescent="0.25">
      <c r="B28" s="143"/>
      <c r="C28" s="143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9" zoomScale="75" workbookViewId="0">
      <selection activeCell="B15" sqref="B15"/>
    </sheetView>
    <sheetView showGridLines="0" showZeros="0" topLeftCell="A26" zoomScale="75" workbookViewId="1">
      <selection activeCell="A2" sqref="A2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HM-ES SCOTT NEAL</v>
      </c>
      <c r="B5" s="355">
        <f ca="1">NOW()</f>
        <v>37049.559253472224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250000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4.7331986139149913E-2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11812.5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250273.25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2288.5069444444425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252561.75694444444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12.400285834804778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 ca="1">Volatility!H30</f>
        <v>0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4.7198412135535862E-2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 t="e">
        <f ca="1">Volatility!AV$29</f>
        <v>#NAME?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100.10930000000002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opLeftCell="A4" zoomScale="75" workbookViewId="0">
      <selection activeCell="A21" sqref="A21"/>
    </sheetView>
    <sheetView showGridLines="0" showZeros="0" tabSelected="1" topLeftCell="B1" zoomScale="75" workbookViewId="1"/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37054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</v>
      </c>
      <c r="C7" s="261" t="str">
        <f>Enter!E3</f>
        <v>WICHITA FALLS ISD PSF</v>
      </c>
      <c r="D7" s="237">
        <f>Enter!F3</f>
        <v>4.4999999999999998E-2</v>
      </c>
      <c r="E7" s="238">
        <f>Enter!G3</f>
        <v>40940</v>
      </c>
      <c r="F7" s="238">
        <f>Enter!H3</f>
        <v>39479</v>
      </c>
      <c r="G7" s="218">
        <f>Enter!I3</f>
        <v>100</v>
      </c>
      <c r="H7" s="238">
        <f>Enter!J3</f>
        <v>0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4.4999999999999998E-2</v>
      </c>
      <c r="M7" s="163">
        <f>IF(AG7=0,0,AH7)</f>
        <v>4.4999999999999998E-2</v>
      </c>
      <c r="N7" s="162">
        <f>IF(A7=0,0,IF(K7=0,L7*Enter!G$27,K7*Enter!G$27))</f>
        <v>0</v>
      </c>
      <c r="R7" s="55" t="b">
        <f>IF(I7&gt;0,TRUE,FALSE)</f>
        <v>0</v>
      </c>
      <c r="S7" s="130">
        <f>IF(R7=TRUE,F7,E7)</f>
        <v>40940</v>
      </c>
      <c r="T7" s="69">
        <f>IF(R7=TRUE,G7*A7*10,100*A7)</f>
        <v>5000</v>
      </c>
      <c r="U7" s="53">
        <v>1</v>
      </c>
      <c r="V7" s="66">
        <f t="shared" ref="V7:V28" si="0">(A7*D7)*1000</f>
        <v>2250</v>
      </c>
      <c r="W7" s="61"/>
      <c r="X7" s="62">
        <f>Volatility!AS7/Volatility!AS$29</f>
        <v>0.19978163866893486</v>
      </c>
      <c r="Y7" s="67"/>
      <c r="Z7" s="84">
        <f>S7</f>
        <v>40940</v>
      </c>
      <c r="AA7" s="56">
        <f>DAYS360(Enter!C3,Z7)</f>
        <v>3829</v>
      </c>
      <c r="AB7" s="85">
        <f t="shared" ref="AB7:AB28" si="1">IF(A7=0,0,AA7)</f>
        <v>3829</v>
      </c>
      <c r="AC7" s="56">
        <f t="shared" ref="AC7:AC28" si="2">X7*AB7</f>
        <v>764.96389446335161</v>
      </c>
      <c r="AD7" s="62" t="e">
        <f t="shared" ref="AD7:AD28" ca="1" si="3">IF(A7=0,0,AF7)</f>
        <v>#NAME?</v>
      </c>
      <c r="AE7" s="86" t="e">
        <f t="shared" ref="AE7:AE28" ca="1" si="4">BG7</f>
        <v>#NAME?</v>
      </c>
      <c r="AF7" s="86" t="e">
        <f t="shared" ref="AF7:AF28" ca="1" si="5">AE7*X7</f>
        <v>#NAME?</v>
      </c>
      <c r="AG7" s="55">
        <f t="shared" ref="AG7:AG28" si="6">IF(A7=0,0,D7)</f>
        <v>4.4999999999999998E-2</v>
      </c>
      <c r="AH7" s="87">
        <f t="shared" ref="AH7:AH28" si="7">D7/(J7/100)</f>
        <v>4.4999999999999998E-2</v>
      </c>
      <c r="AI7" s="62">
        <f t="shared" ref="AI7:AI28" si="8">A7*J7</f>
        <v>5000</v>
      </c>
      <c r="AJ7" s="56"/>
      <c r="AK7" s="56"/>
      <c r="AL7" s="56"/>
      <c r="AM7" s="88">
        <f t="shared" ref="AM7:AM28" si="9">(J7*10)*A7</f>
        <v>50000</v>
      </c>
      <c r="AN7" s="56"/>
      <c r="AO7" s="56"/>
      <c r="AP7" s="88">
        <f t="shared" ref="AP7:AP28" si="10">((D7/360)*180)*1000</f>
        <v>22.5</v>
      </c>
      <c r="AQ7" s="89">
        <f>DAYS360(Enter!C3,E7)/180</f>
        <v>21.272222222222222</v>
      </c>
      <c r="AR7" s="89">
        <f t="shared" ref="AR7:AR28" si="11">AQ7-INT(AQ7)</f>
        <v>0.27222222222222214</v>
      </c>
      <c r="AS7" s="90">
        <f>IF(AR7=0,0,AP7-(AP7)*AR7)</f>
        <v>16.375</v>
      </c>
      <c r="AT7" s="91">
        <f>IF(DAYS360(Enter!B3,Enter!C3)&lt;180,0,AS7*A7)</f>
        <v>818.75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8.9901737401020688E-3</v>
      </c>
      <c r="AZ7" s="56"/>
      <c r="BA7" s="56"/>
      <c r="BB7" s="56"/>
      <c r="BC7" s="92">
        <f>IF(A7=0,0,IF(J7=100,D7,YIELD(Enter!C3,E7,D7,J7,100,2,0)))</f>
        <v>4.4999999999999998E-2</v>
      </c>
      <c r="BD7" s="94" t="e">
        <f ca="1">IF(A7=0,100,IF(F7=0,100,YIELD(Enter!C3,F7,D7,J7,G7,2,0)))</f>
        <v>#NAME?</v>
      </c>
      <c r="BE7" s="93">
        <f>IF(A7=0,1000,IF(H7=0,1000,YIELD(Enter!C3,H7,D7,J7,100,2,0)))</f>
        <v>1000</v>
      </c>
      <c r="BF7" s="93"/>
      <c r="BG7" s="131" t="e">
        <f ca="1">IF(R7=TRUE,BD7,MIN(BC7:BE7))</f>
        <v>#NAME?</v>
      </c>
      <c r="BH7" s="120">
        <f>IF(R7=TRUE,F7,IF(J7=100,E7,IF(MIN(BC7:BE7)=BC7,E7,IF(MIN(BC7:BE7)=BD7,F7,H7))))</f>
        <v>40940</v>
      </c>
      <c r="BI7" s="75"/>
    </row>
    <row r="8" spans="1:61" ht="15.75" x14ac:dyDescent="0.25">
      <c r="A8" s="223">
        <f>Enter!A4</f>
        <v>50</v>
      </c>
      <c r="B8" s="216" t="str">
        <f>Enter!D4</f>
        <v>AAA/AAA</v>
      </c>
      <c r="C8" s="262" t="str">
        <f>Enter!E4</f>
        <v>PHARR TX CERT OF OB</v>
      </c>
      <c r="D8" s="217">
        <f>Enter!F4</f>
        <v>4.65E-2</v>
      </c>
      <c r="E8" s="215">
        <f>Enter!G4</f>
        <v>41136</v>
      </c>
      <c r="F8" s="215">
        <f>Enter!H4</f>
        <v>40770</v>
      </c>
      <c r="G8" s="221">
        <f>Enter!I4</f>
        <v>100</v>
      </c>
      <c r="H8" s="215">
        <f>Enter!J4</f>
        <v>0</v>
      </c>
      <c r="I8" s="222">
        <f>Enter!K4</f>
        <v>0</v>
      </c>
      <c r="J8" s="219">
        <f>Enter!L4</f>
        <v>101.20399999999999</v>
      </c>
      <c r="K8" s="162" t="e">
        <f t="shared" ref="K8:K28" ca="1" si="13">IF(J8=100,0,IF(BG8=BC8,0,BG8))</f>
        <v>#NAME?</v>
      </c>
      <c r="L8" s="162" t="e">
        <f t="shared" ref="L8:L28" ca="1" si="14">IF(A8=0,0,IF(R8=TRUE,0,BC8))</f>
        <v>#NAME?</v>
      </c>
      <c r="M8" s="162">
        <f t="shared" ref="M8:M28" si="15">IF(AG8=0,0,AH8)</f>
        <v>4.5946800521718519E-2</v>
      </c>
      <c r="N8" s="162" t="e">
        <f ca="1">IF(A8=0,0,IF(K8=0,L8*Enter!G$27,K8*Enter!G$27))</f>
        <v>#NAME?</v>
      </c>
      <c r="R8" s="55" t="b">
        <f>IF(I8&gt;0,TRUE,FALSE)</f>
        <v>0</v>
      </c>
      <c r="S8" s="68">
        <f t="shared" ref="S8:S28" si="16">IF(R8=TRUE,F8,E8)</f>
        <v>41136</v>
      </c>
      <c r="T8" s="69">
        <f t="shared" ref="T8:T28" si="17">IF(R8=TRUE,G8*A8*10,100*A8)</f>
        <v>5000</v>
      </c>
      <c r="U8" s="56">
        <v>2</v>
      </c>
      <c r="V8" s="66">
        <f t="shared" si="0"/>
        <v>2325</v>
      </c>
      <c r="W8" s="61"/>
      <c r="X8" s="62">
        <f>Volatility!AS8/Volatility!AS$29</f>
        <v>0.20218700959850883</v>
      </c>
      <c r="Y8" s="67"/>
      <c r="Z8" s="96">
        <f t="shared" ref="Z8:Z28" si="18">S8</f>
        <v>41136</v>
      </c>
      <c r="AA8" s="56">
        <f>DAYS360(Enter!C4,Z8)</f>
        <v>4007</v>
      </c>
      <c r="AB8" s="85">
        <f t="shared" si="1"/>
        <v>4007</v>
      </c>
      <c r="AC8" s="56">
        <f t="shared" si="2"/>
        <v>810.16334746122482</v>
      </c>
      <c r="AD8" s="62" t="e">
        <f t="shared" ca="1" si="3"/>
        <v>#NAME?</v>
      </c>
      <c r="AE8" s="86" t="e">
        <f t="shared" ca="1" si="4"/>
        <v>#NAME?</v>
      </c>
      <c r="AF8" s="86" t="e">
        <f t="shared" ca="1" si="5"/>
        <v>#NAME?</v>
      </c>
      <c r="AG8" s="55">
        <f t="shared" si="6"/>
        <v>4.65E-2</v>
      </c>
      <c r="AH8" s="87">
        <f t="shared" si="7"/>
        <v>4.5946800521718519E-2</v>
      </c>
      <c r="AI8" s="62">
        <f t="shared" si="8"/>
        <v>5060.2</v>
      </c>
      <c r="AJ8" s="56"/>
      <c r="AK8" s="56"/>
      <c r="AL8" s="56"/>
      <c r="AM8" s="88">
        <f t="shared" si="9"/>
        <v>50602</v>
      </c>
      <c r="AN8" s="56"/>
      <c r="AO8" s="56"/>
      <c r="AP8" s="88">
        <f t="shared" si="10"/>
        <v>23.25</v>
      </c>
      <c r="AQ8" s="89">
        <f>DAYS360(Enter!C4,E8)/180</f>
        <v>22.261111111111113</v>
      </c>
      <c r="AR8" s="89">
        <f t="shared" si="11"/>
        <v>0.26111111111111285</v>
      </c>
      <c r="AS8" s="97">
        <f t="shared" ref="AS8:AS28" si="19">IF(AR8=0,0,AP8-(AP8)*AR8)</f>
        <v>17.179166666666625</v>
      </c>
      <c r="AT8" s="91">
        <f>IF(DAYS360(Enter!B4,Enter!C4)&lt;180,0,AS8*A8)</f>
        <v>0</v>
      </c>
      <c r="AU8" s="69">
        <f>IF((DAYS360(Enter!B4,Enter!C4))&lt;180,(DAYS360(Enter!B4,Enter!C4))/180*AP8*A8,0)</f>
        <v>277.70833333333337</v>
      </c>
      <c r="AV8" s="89"/>
      <c r="AW8" s="89"/>
      <c r="AX8" s="56"/>
      <c r="AY8" s="62">
        <f t="shared" si="12"/>
        <v>9.4016959463306595E-3</v>
      </c>
      <c r="AZ8" s="56"/>
      <c r="BA8" s="56"/>
      <c r="BB8" s="56"/>
      <c r="BC8" s="92" t="e">
        <f ca="1">IF(A8=0,0,IF(J8=100,D8,YIELD(Enter!C4,E8,D8,J8,100,2,0)))</f>
        <v>#NAME?</v>
      </c>
      <c r="BD8" s="94" t="e">
        <f ca="1">IF(A8=0,100,IF(F8=0,100,YIELD(Enter!C4,F8,D8,J8,G8,2,0)))</f>
        <v>#NAME?</v>
      </c>
      <c r="BE8" s="94">
        <f>IF(A8=0,1000,IF(H8=0,1000,YIELD(Enter!C4,H8,D8,J8,100,2,0)))</f>
        <v>1000</v>
      </c>
      <c r="BF8" s="94"/>
      <c r="BG8" s="87" t="e">
        <f ca="1">IF(R8=TRUE,BD8,MIN(BC8:BE8))</f>
        <v>#NAME?</v>
      </c>
      <c r="BH8" s="95" t="e">
        <f ca="1">IF(R8=TRUE,F8,IF(J8=100,E8,IF(MIN(BC8:BE8)=BC8,E8,IF(MIN(BC8:BE8)=BD8,F8,H8))))</f>
        <v>#NAME?</v>
      </c>
      <c r="BI8" s="75"/>
    </row>
    <row r="9" spans="1:61" ht="15.75" x14ac:dyDescent="0.25">
      <c r="A9" s="223">
        <f>Enter!A5</f>
        <v>25</v>
      </c>
      <c r="B9" s="216" t="str">
        <f>Enter!D5</f>
        <v>AAA/AAA</v>
      </c>
      <c r="C9" s="262" t="str">
        <f>Enter!E5</f>
        <v>TX WTR DEV BRD</v>
      </c>
      <c r="D9" s="217">
        <f>Enter!F5</f>
        <v>0.05</v>
      </c>
      <c r="E9" s="215">
        <f>Enter!G5</f>
        <v>41470</v>
      </c>
      <c r="F9" s="215">
        <f>Enter!H5</f>
        <v>39278</v>
      </c>
      <c r="G9" s="221">
        <f>Enter!I5</f>
        <v>101</v>
      </c>
      <c r="H9" s="215">
        <f>Enter!J5</f>
        <v>39644</v>
      </c>
      <c r="I9" s="222">
        <f>Enter!K5</f>
        <v>0</v>
      </c>
      <c r="J9" s="219">
        <f>Enter!L5</f>
        <v>101.78700000000001</v>
      </c>
      <c r="K9" s="162" t="e">
        <f t="shared" ca="1" si="13"/>
        <v>#NAME?</v>
      </c>
      <c r="L9" s="162" t="e">
        <f t="shared" ca="1" si="14"/>
        <v>#NAME?</v>
      </c>
      <c r="M9" s="162">
        <f t="shared" si="15"/>
        <v>4.9122186526766677E-2</v>
      </c>
      <c r="N9" s="162" t="e">
        <f ca="1">IF(A9=0,0,IF(K9=0,L9*Enter!G$27,K9*Enter!G$27))</f>
        <v>#NAME?</v>
      </c>
      <c r="R9" s="55" t="b">
        <f t="shared" ref="R9:R28" si="20">IF(I9&gt;0,TRUE,FALSE)</f>
        <v>0</v>
      </c>
      <c r="S9" s="68">
        <f t="shared" si="16"/>
        <v>41470</v>
      </c>
      <c r="T9" s="69">
        <f t="shared" si="17"/>
        <v>2500</v>
      </c>
      <c r="U9" s="56">
        <v>3</v>
      </c>
      <c r="V9" s="66">
        <f t="shared" si="0"/>
        <v>1250</v>
      </c>
      <c r="W9" s="61"/>
      <c r="X9" s="62">
        <f>Volatility!AS9/Volatility!AS$29</f>
        <v>0.10167586827597436</v>
      </c>
      <c r="Y9" s="67"/>
      <c r="Z9" s="96">
        <f t="shared" si="18"/>
        <v>41470</v>
      </c>
      <c r="AA9" s="56">
        <f>DAYS360(Enter!C5,Z9)</f>
        <v>4353</v>
      </c>
      <c r="AB9" s="85">
        <f t="shared" si="1"/>
        <v>4353</v>
      </c>
      <c r="AC9" s="56">
        <f t="shared" si="2"/>
        <v>442.59505460531636</v>
      </c>
      <c r="AD9" s="62" t="e">
        <f t="shared" ca="1" si="3"/>
        <v>#NAME?</v>
      </c>
      <c r="AE9" s="86" t="e">
        <f t="shared" ca="1" si="4"/>
        <v>#NAME?</v>
      </c>
      <c r="AF9" s="86" t="e">
        <f t="shared" ca="1" si="5"/>
        <v>#NAME?</v>
      </c>
      <c r="AG9" s="55">
        <f t="shared" si="6"/>
        <v>0.05</v>
      </c>
      <c r="AH9" s="87">
        <f t="shared" si="7"/>
        <v>4.9122186526766677E-2</v>
      </c>
      <c r="AI9" s="62">
        <f t="shared" si="8"/>
        <v>2544.6750000000002</v>
      </c>
      <c r="AJ9" s="56"/>
      <c r="AK9" s="56"/>
      <c r="AL9" s="56"/>
      <c r="AM9" s="88">
        <f t="shared" si="9"/>
        <v>25446.750000000004</v>
      </c>
      <c r="AN9" s="56"/>
      <c r="AO9" s="56"/>
      <c r="AP9" s="88">
        <f t="shared" si="10"/>
        <v>25</v>
      </c>
      <c r="AQ9" s="89">
        <f>DAYS360(Enter!C5,E9)/180</f>
        <v>24.183333333333334</v>
      </c>
      <c r="AR9" s="89">
        <f t="shared" si="11"/>
        <v>0.18333333333333357</v>
      </c>
      <c r="AS9" s="97">
        <f t="shared" si="19"/>
        <v>20.416666666666661</v>
      </c>
      <c r="AT9" s="91">
        <f>IF(DAYS360(Enter!B5,Enter!C5)&lt;180,0,AS9*A9)</f>
        <v>510.41666666666652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5.083793413798718E-3</v>
      </c>
      <c r="AZ9" s="56"/>
      <c r="BA9" s="56"/>
      <c r="BB9" s="56"/>
      <c r="BC9" s="92" t="e">
        <f ca="1">IF(A9=0,0,IF(J9=100,D9,YIELD(Enter!C5,E9,D9,J9,100,2,0)))</f>
        <v>#NAME?</v>
      </c>
      <c r="BD9" s="94" t="e">
        <f ca="1">IF(A9=0,100,IF(F9=0,100,YIELD(Enter!C5,F9,D9,J9,G9,2,0)))</f>
        <v>#NAME?</v>
      </c>
      <c r="BE9" s="94" t="e">
        <f ca="1">IF(A9=0,1000,IF(H9=0,1000,YIELD(Enter!C5,H9,D9,J9,100,2,0)))</f>
        <v>#NAME?</v>
      </c>
      <c r="BF9" s="94"/>
      <c r="BG9" s="87" t="e">
        <f ca="1">IF(R9=TRUE,BD9,MIN(BC9:BE9))</f>
        <v>#NAME?</v>
      </c>
      <c r="BH9" s="95" t="e">
        <f ca="1">IF(R9=TRUE,F9,IF(J9=100,E9,IF(MIN(BC9:BE9)=BC9,E9,IF(MIN(BC9:BE9)=BD9,F9,H9))))</f>
        <v>#NAME?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ROUND ROCK TX TRAN</v>
      </c>
      <c r="D10" s="217">
        <f>Enter!F6</f>
        <v>4.8500000000000001E-2</v>
      </c>
      <c r="E10" s="215">
        <f>Enter!G6</f>
        <v>41866</v>
      </c>
      <c r="F10" s="215">
        <f>Enter!H6</f>
        <v>40770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101.194</v>
      </c>
      <c r="K10" s="162" t="e">
        <f t="shared" ca="1" si="13"/>
        <v>#NAME?</v>
      </c>
      <c r="L10" s="162" t="e">
        <f t="shared" ca="1" si="14"/>
        <v>#NAME?</v>
      </c>
      <c r="M10" s="162">
        <f t="shared" si="15"/>
        <v>4.7927742751546536E-2</v>
      </c>
      <c r="N10" s="162" t="e">
        <f ca="1">IF(A10=0,0,IF(K10=0,L10*Enter!G$27,K10*Enter!G$27))</f>
        <v>#NAME?</v>
      </c>
      <c r="R10" s="55" t="b">
        <f t="shared" si="20"/>
        <v>0</v>
      </c>
      <c r="S10" s="68">
        <f t="shared" si="16"/>
        <v>41866</v>
      </c>
      <c r="T10" s="69">
        <f t="shared" si="17"/>
        <v>5000</v>
      </c>
      <c r="U10" s="56">
        <v>4</v>
      </c>
      <c r="V10" s="66">
        <f t="shared" si="0"/>
        <v>2425.0000000000005</v>
      </c>
      <c r="W10" s="61"/>
      <c r="X10" s="62">
        <f>Volatility!AS10/Volatility!AS$29</f>
        <v>0.20216703143464193</v>
      </c>
      <c r="Y10" s="67"/>
      <c r="Z10" s="96">
        <f t="shared" si="18"/>
        <v>41866</v>
      </c>
      <c r="AA10" s="56">
        <f>DAYS360(Enter!C6,Z10)</f>
        <v>4736</v>
      </c>
      <c r="AB10" s="85">
        <f t="shared" si="1"/>
        <v>4736</v>
      </c>
      <c r="AC10" s="56">
        <f t="shared" si="2"/>
        <v>957.46306087446419</v>
      </c>
      <c r="AD10" s="62" t="e">
        <f t="shared" ca="1" si="3"/>
        <v>#NAME?</v>
      </c>
      <c r="AE10" s="86" t="e">
        <f t="shared" ca="1" si="4"/>
        <v>#NAME?</v>
      </c>
      <c r="AF10" s="86" t="e">
        <f t="shared" ca="1" si="5"/>
        <v>#NAME?</v>
      </c>
      <c r="AG10" s="55">
        <f t="shared" si="6"/>
        <v>4.8500000000000001E-2</v>
      </c>
      <c r="AH10" s="87">
        <f t="shared" si="7"/>
        <v>4.7927742751546536E-2</v>
      </c>
      <c r="AI10" s="62">
        <f t="shared" si="8"/>
        <v>5059.7</v>
      </c>
      <c r="AJ10" s="56"/>
      <c r="AK10" s="56"/>
      <c r="AL10" s="56"/>
      <c r="AM10" s="88">
        <f t="shared" si="9"/>
        <v>50597</v>
      </c>
      <c r="AN10" s="56"/>
      <c r="AO10" s="56"/>
      <c r="AP10" s="88">
        <f t="shared" si="10"/>
        <v>24.25</v>
      </c>
      <c r="AQ10" s="89">
        <f>DAYS360(Enter!C6,E10)/180</f>
        <v>26.31111111111111</v>
      </c>
      <c r="AR10" s="89">
        <f t="shared" si="11"/>
        <v>0.31111111111111001</v>
      </c>
      <c r="AS10" s="97">
        <f t="shared" si="19"/>
        <v>16.705555555555584</v>
      </c>
      <c r="AT10" s="91">
        <f>IF(DAYS360(Enter!B6,Enter!C6)&lt;180,0,AS10*A10)</f>
        <v>0</v>
      </c>
      <c r="AU10" s="69">
        <f>IF((DAYS360(Enter!B6,Enter!C6))&lt;180,(DAYS360(Enter!B6,Enter!C6))/180*AP10*A10,0)</f>
        <v>229.02777777777777</v>
      </c>
      <c r="AV10" s="89"/>
      <c r="AW10" s="89"/>
      <c r="AX10" s="56"/>
      <c r="AY10" s="62">
        <f t="shared" si="12"/>
        <v>9.8051010245801332E-3</v>
      </c>
      <c r="AZ10" s="56"/>
      <c r="BA10" s="56"/>
      <c r="BB10" s="56"/>
      <c r="BC10" s="92" t="e">
        <f ca="1">IF(A10=0,0,IF(J10=100,D10,YIELD(Enter!C6,E10,D10,J10,100,2,0)))</f>
        <v>#NAME?</v>
      </c>
      <c r="BD10" s="94" t="e">
        <f ca="1">IF(A10=0,100,IF(F10=0,100,YIELD(Enter!C6,F10,D10,J10,G10,2,0)))</f>
        <v>#NAME?</v>
      </c>
      <c r="BE10" s="94">
        <f>IF(A10=0,1000,IF(H10=0,1000,YIELD(Enter!C6,H10,D10,J10,100,2,0)))</f>
        <v>1000</v>
      </c>
      <c r="BF10" s="94"/>
      <c r="BG10" s="87" t="e">
        <f ca="1">IF(R10=TRUE,BD10,MIN(BC10:BE10))</f>
        <v>#NAME?</v>
      </c>
      <c r="BH10" s="95" t="e">
        <f ca="1">IF(R10=TRUE,F10,IF(J10=100,E10,IF(MIN(BC10:BE10)=BC10,E10,IF(MIN(BC10:BE10)=BD10,F10,H10))))</f>
        <v>#NAME?</v>
      </c>
      <c r="BI10" s="75"/>
    </row>
    <row r="11" spans="1:61" ht="15.75" x14ac:dyDescent="0.25">
      <c r="A11" s="223">
        <f>Enter!A7</f>
        <v>50</v>
      </c>
      <c r="B11" s="216" t="str">
        <f>Enter!D7</f>
        <v>AAA/AAA</v>
      </c>
      <c r="C11" s="262" t="str">
        <f>Enter!E7</f>
        <v>HARRIS CO TX MUD#359</v>
      </c>
      <c r="D11" s="217">
        <f>Enter!F7</f>
        <v>4.3749999999999997E-2</v>
      </c>
      <c r="E11" s="215">
        <f>Enter!G7</f>
        <v>42156</v>
      </c>
      <c r="F11" s="215">
        <f>Enter!H7</f>
        <v>39234</v>
      </c>
      <c r="G11" s="221">
        <f>Enter!I7</f>
        <v>100</v>
      </c>
      <c r="H11" s="215">
        <f>Enter!J7</f>
        <v>0</v>
      </c>
      <c r="I11" s="222">
        <f>Enter!K7</f>
        <v>0</v>
      </c>
      <c r="J11" s="219">
        <f>Enter!L7</f>
        <v>94.731999999999999</v>
      </c>
      <c r="K11" s="162" t="e">
        <f t="shared" ca="1" si="13"/>
        <v>#NAME?</v>
      </c>
      <c r="L11" s="162" t="e">
        <f t="shared" ca="1" si="14"/>
        <v>#NAME?</v>
      </c>
      <c r="M11" s="162">
        <f t="shared" si="15"/>
        <v>4.6182916015707468E-2</v>
      </c>
      <c r="N11" s="162" t="e">
        <f ca="1">IF(A11=0,0,IF(K11=0,L11*Enter!G$27,K11*Enter!G$27))</f>
        <v>#NAME?</v>
      </c>
      <c r="R11" s="55" t="b">
        <f t="shared" si="20"/>
        <v>0</v>
      </c>
      <c r="S11" s="68">
        <f t="shared" si="16"/>
        <v>42156</v>
      </c>
      <c r="T11" s="69">
        <f t="shared" si="17"/>
        <v>5000</v>
      </c>
      <c r="U11" s="56">
        <v>5</v>
      </c>
      <c r="V11" s="66">
        <f t="shared" si="0"/>
        <v>2187.5</v>
      </c>
      <c r="W11" s="61"/>
      <c r="X11" s="62">
        <f>Volatility!AS11/Volatility!AS$29</f>
        <v>0.18925714194385537</v>
      </c>
      <c r="Y11" s="67"/>
      <c r="Z11" s="96">
        <f t="shared" si="18"/>
        <v>42156</v>
      </c>
      <c r="AA11" s="56">
        <f>DAYS360(Enter!C7,Z11)</f>
        <v>5029</v>
      </c>
      <c r="AB11" s="85">
        <f t="shared" si="1"/>
        <v>5029</v>
      </c>
      <c r="AC11" s="56">
        <f t="shared" si="2"/>
        <v>951.77416683564866</v>
      </c>
      <c r="AD11" s="62" t="e">
        <f t="shared" ca="1" si="3"/>
        <v>#NAME?</v>
      </c>
      <c r="AE11" s="86" t="e">
        <f t="shared" ca="1" si="4"/>
        <v>#NAME?</v>
      </c>
      <c r="AF11" s="86" t="e">
        <f t="shared" ca="1" si="5"/>
        <v>#NAME?</v>
      </c>
      <c r="AG11" s="55">
        <f t="shared" si="6"/>
        <v>4.3749999999999997E-2</v>
      </c>
      <c r="AH11" s="87">
        <f t="shared" si="7"/>
        <v>4.6182916015707468E-2</v>
      </c>
      <c r="AI11" s="62">
        <f t="shared" si="8"/>
        <v>4736.6000000000004</v>
      </c>
      <c r="AJ11" s="56"/>
      <c r="AK11" s="56"/>
      <c r="AL11" s="56"/>
      <c r="AM11" s="88">
        <f t="shared" si="9"/>
        <v>47366</v>
      </c>
      <c r="AN11" s="56"/>
      <c r="AO11" s="56"/>
      <c r="AP11" s="88">
        <f t="shared" si="10"/>
        <v>21.875</v>
      </c>
      <c r="AQ11" s="89">
        <f>DAYS360(Enter!C7,E11)/180</f>
        <v>27.93888888888889</v>
      </c>
      <c r="AR11" s="89">
        <f t="shared" si="11"/>
        <v>0.93888888888888999</v>
      </c>
      <c r="AS11" s="97">
        <f t="shared" si="19"/>
        <v>1.3368055555555323</v>
      </c>
      <c r="AT11" s="91">
        <f>IF(DAYS360(Enter!B7,Enter!C7)&lt;180,0,AS11*A11)</f>
        <v>66.840277777776606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8.2799999600436727E-3</v>
      </c>
      <c r="AZ11" s="56"/>
      <c r="BA11" s="56"/>
      <c r="BB11" s="56"/>
      <c r="BC11" s="92" t="e">
        <f ca="1">IF(A11=0,0,IF(J11=100,D11,YIELD(Enter!C7,E11,D11,J11,100,2,0)))</f>
        <v>#NAME?</v>
      </c>
      <c r="BD11" s="94" t="e">
        <f ca="1">IF(A11=0,100,IF(F11=0,100,YIELD(Enter!C7,F11,D11,J11,G11,2,0)))</f>
        <v>#NAME?</v>
      </c>
      <c r="BE11" s="94">
        <f>IF(A11=0,1000,IF(H11=0,1000,YIELD(Enter!C7,H11,D11,J11,100,2,0)))</f>
        <v>1000</v>
      </c>
      <c r="BF11" s="94"/>
      <c r="BG11" s="87" t="e">
        <f t="shared" ref="BG11:BG28" ca="1" si="21">IF(R11=TRUE,BD11,MIN(BC11:BE11))</f>
        <v>#NAME?</v>
      </c>
      <c r="BH11" s="95" t="e">
        <f t="shared" ref="BH11:BH28" ca="1" si="22">IF(R11=TRUE,F11,IF(J11=100,E11,IF(MIN(BC11:BE11)=BC11,E11,IF(MIN(BC11:BE11)=BD11,F11,H11))))</f>
        <v>#NAME?</v>
      </c>
      <c r="BI11" s="75"/>
    </row>
    <row r="12" spans="1:61" ht="15.75" x14ac:dyDescent="0.25">
      <c r="A12" s="223">
        <f>Enter!A8</f>
        <v>25</v>
      </c>
      <c r="B12" s="216" t="str">
        <f>Enter!D8</f>
        <v>AAA/AAA</v>
      </c>
      <c r="C12" s="262" t="str">
        <f>Enter!E8</f>
        <v>FLOWER MOUND TX W/S</v>
      </c>
      <c r="D12" s="217">
        <f>Enter!F8</f>
        <v>5.5E-2</v>
      </c>
      <c r="E12" s="215">
        <f>Enter!G8</f>
        <v>42248</v>
      </c>
      <c r="F12" s="215">
        <f>Enter!H8</f>
        <v>40057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105.04600000000001</v>
      </c>
      <c r="K12" s="162" t="e">
        <f t="shared" ca="1" si="13"/>
        <v>#NAME?</v>
      </c>
      <c r="L12" s="162" t="e">
        <f t="shared" ca="1" si="14"/>
        <v>#NAME?</v>
      </c>
      <c r="M12" s="162">
        <f t="shared" si="15"/>
        <v>5.2358014584086961E-2</v>
      </c>
      <c r="N12" s="162" t="e">
        <f ca="1">IF(A12=0,0,IF(K12=0,L12*Enter!G$27,K12*Enter!G$27))</f>
        <v>#NAME?</v>
      </c>
      <c r="R12" s="55" t="b">
        <f t="shared" si="20"/>
        <v>0</v>
      </c>
      <c r="S12" s="68">
        <f t="shared" si="16"/>
        <v>42248</v>
      </c>
      <c r="T12" s="69">
        <f t="shared" si="17"/>
        <v>2500</v>
      </c>
      <c r="U12" s="56">
        <v>6</v>
      </c>
      <c r="V12" s="66">
        <f t="shared" si="0"/>
        <v>1375</v>
      </c>
      <c r="W12" s="61"/>
      <c r="X12" s="62">
        <f>Volatility!AS12/Volatility!AS$29</f>
        <v>0.10493131007808465</v>
      </c>
      <c r="Y12" s="67"/>
      <c r="Z12" s="96">
        <f t="shared" si="18"/>
        <v>42248</v>
      </c>
      <c r="AA12" s="56">
        <f>DAYS360(Enter!C8,Z12)</f>
        <v>5119</v>
      </c>
      <c r="AB12" s="85">
        <f t="shared" si="1"/>
        <v>5119</v>
      </c>
      <c r="AC12" s="56">
        <f t="shared" si="2"/>
        <v>537.14337628971532</v>
      </c>
      <c r="AD12" s="62" t="e">
        <f t="shared" ca="1" si="3"/>
        <v>#NAME?</v>
      </c>
      <c r="AE12" s="86" t="e">
        <f t="shared" ca="1" si="4"/>
        <v>#NAME?</v>
      </c>
      <c r="AF12" s="86" t="e">
        <f t="shared" ca="1" si="5"/>
        <v>#NAME?</v>
      </c>
      <c r="AG12" s="55">
        <f t="shared" si="6"/>
        <v>5.5E-2</v>
      </c>
      <c r="AH12" s="87">
        <f t="shared" si="7"/>
        <v>5.2358014584086961E-2</v>
      </c>
      <c r="AI12" s="62">
        <f t="shared" si="8"/>
        <v>2626.15</v>
      </c>
      <c r="AJ12" s="56"/>
      <c r="AK12" s="56"/>
      <c r="AL12" s="56"/>
      <c r="AM12" s="88">
        <f t="shared" si="9"/>
        <v>26261.5</v>
      </c>
      <c r="AN12" s="56"/>
      <c r="AO12" s="56"/>
      <c r="AP12" s="88">
        <f t="shared" si="10"/>
        <v>27.5</v>
      </c>
      <c r="AQ12" s="89">
        <f>DAYS360(Enter!C8,E12)/180</f>
        <v>28.43888888888889</v>
      </c>
      <c r="AR12" s="89">
        <f t="shared" si="11"/>
        <v>0.43888888888888999</v>
      </c>
      <c r="AS12" s="97">
        <f t="shared" si="19"/>
        <v>15.430555555555525</v>
      </c>
      <c r="AT12" s="91">
        <f>IF(DAYS360(Enter!B8,Enter!C8)&lt;180,0,AS12*A12)</f>
        <v>385.76388888888812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5.7712220542946559E-3</v>
      </c>
      <c r="AZ12" s="56"/>
      <c r="BA12" s="56"/>
      <c r="BB12" s="56"/>
      <c r="BC12" s="92" t="e">
        <f ca="1">IF(A12=0,0,IF(J12=100,D12,YIELD(Enter!C8,E12,D12,J12,100,2,0)))</f>
        <v>#NAME?</v>
      </c>
      <c r="BD12" s="94" t="e">
        <f ca="1">IF(A12=0,100,IF(F12=0,100,YIELD(Enter!C8,F12,D12,J12,G12,2,0)))</f>
        <v>#NAME?</v>
      </c>
      <c r="BE12" s="94">
        <f>IF(A12=0,1000,IF(H12=0,1000,YIELD(Enter!C8,H12,D12,J12,100,2,0)))</f>
        <v>1000</v>
      </c>
      <c r="BF12" s="94"/>
      <c r="BG12" s="87" t="e">
        <f t="shared" ca="1" si="21"/>
        <v>#NAME?</v>
      </c>
      <c r="BH12" s="95" t="e">
        <f t="shared" ca="1" si="22"/>
        <v>#NAME?</v>
      </c>
      <c r="BI12" s="75"/>
    </row>
    <row r="13" spans="1:61" ht="15.75" x14ac:dyDescent="0.25">
      <c r="A13" s="223">
        <f>Enter!A9</f>
        <v>0</v>
      </c>
      <c r="B13" s="216">
        <f>Enter!D9</f>
        <v>0</v>
      </c>
      <c r="C13" s="262">
        <f>Enter!E9</f>
        <v>0</v>
      </c>
      <c r="D13" s="217">
        <f>Enter!F9</f>
        <v>0</v>
      </c>
      <c r="E13" s="215">
        <f>Enter!G9</f>
        <v>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0</v>
      </c>
      <c r="K13" s="162">
        <f t="shared" si="13"/>
        <v>0</v>
      </c>
      <c r="L13" s="162">
        <f t="shared" si="14"/>
        <v>0</v>
      </c>
      <c r="M13" s="162">
        <f t="shared" si="15"/>
        <v>0</v>
      </c>
      <c r="N13" s="162">
        <f>IF(A13=0,0,IF(K13=0,L13*Enter!G$27,K13*Enter!G$27))</f>
        <v>0</v>
      </c>
      <c r="R13" s="55" t="b">
        <f t="shared" si="20"/>
        <v>0</v>
      </c>
      <c r="S13" s="68">
        <f t="shared" si="16"/>
        <v>0</v>
      </c>
      <c r="T13" s="69">
        <f t="shared" si="17"/>
        <v>0</v>
      </c>
      <c r="U13" s="56">
        <v>7</v>
      </c>
      <c r="V13" s="66">
        <f t="shared" si="0"/>
        <v>0</v>
      </c>
      <c r="W13" s="61"/>
      <c r="X13" s="62">
        <f>Volatility!AS13/Volatility!AS$29</f>
        <v>0</v>
      </c>
      <c r="Y13" s="67"/>
      <c r="Z13" s="96">
        <f t="shared" si="18"/>
        <v>0</v>
      </c>
      <c r="AA13" s="56">
        <f>DAYS360(Enter!C9,Z13)</f>
        <v>0</v>
      </c>
      <c r="AB13" s="85">
        <f t="shared" si="1"/>
        <v>0</v>
      </c>
      <c r="AC13" s="56">
        <f t="shared" si="2"/>
        <v>0</v>
      </c>
      <c r="AD13" s="62">
        <f t="shared" si="3"/>
        <v>0</v>
      </c>
      <c r="AE13" s="86">
        <f t="shared" si="4"/>
        <v>0</v>
      </c>
      <c r="AF13" s="86">
        <f t="shared" si="5"/>
        <v>0</v>
      </c>
      <c r="AG13" s="55">
        <f t="shared" si="6"/>
        <v>0</v>
      </c>
      <c r="AH13" s="87" t="e">
        <f t="shared" si="7"/>
        <v>#DIV/0!</v>
      </c>
      <c r="AI13" s="62">
        <f t="shared" si="8"/>
        <v>0</v>
      </c>
      <c r="AJ13" s="56"/>
      <c r="AK13" s="56"/>
      <c r="AL13" s="56"/>
      <c r="AM13" s="88">
        <f t="shared" si="9"/>
        <v>0</v>
      </c>
      <c r="AN13" s="56"/>
      <c r="AO13" s="56"/>
      <c r="AP13" s="88">
        <f t="shared" si="10"/>
        <v>0</v>
      </c>
      <c r="AQ13" s="89">
        <f>DAYS360(Enter!C9,E13)/180</f>
        <v>0</v>
      </c>
      <c r="AR13" s="89">
        <f t="shared" si="11"/>
        <v>0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0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0</v>
      </c>
      <c r="BH13" s="95">
        <f t="shared" si="22"/>
        <v>0</v>
      </c>
      <c r="BI13" s="75"/>
    </row>
    <row r="14" spans="1:61" ht="15.75" x14ac:dyDescent="0.25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75" x14ac:dyDescent="0.25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75" x14ac:dyDescent="0.25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250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11812.5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12.400285834804778</v>
      </c>
      <c r="AD29" s="56" t="e">
        <f ca="1">SUM(AD7:AD28)</f>
        <v>#NAME?</v>
      </c>
      <c r="AE29" s="56"/>
      <c r="AF29" s="56"/>
      <c r="AG29" s="56"/>
      <c r="AH29" s="56"/>
      <c r="AI29" s="56">
        <f>SUM(AI7:AI28)</f>
        <v>25027.325000000004</v>
      </c>
      <c r="AJ29" s="56">
        <f>AI29/$A$29</f>
        <v>100.10930000000002</v>
      </c>
      <c r="AK29" s="56"/>
      <c r="AL29" s="56"/>
      <c r="AM29" s="91">
        <f>SUM(AM7:AM28)</f>
        <v>250273.25</v>
      </c>
      <c r="AN29" s="56"/>
      <c r="AO29" s="56"/>
      <c r="AP29" s="56"/>
      <c r="AQ29" s="56"/>
      <c r="AR29" s="56"/>
      <c r="AS29" s="56"/>
      <c r="AT29" s="91">
        <f>SUM(AT7:AT28)</f>
        <v>1781.7708333333312</v>
      </c>
      <c r="AU29" s="69">
        <f>SUM(AU7:AU28)</f>
        <v>506.73611111111114</v>
      </c>
      <c r="AV29" s="113" t="s">
        <v>109</v>
      </c>
      <c r="AW29" s="91">
        <f>SUM(AT29:AV29)</f>
        <v>2288.5069444444425</v>
      </c>
      <c r="AX29" s="56"/>
      <c r="AY29" s="94">
        <f>SUM(AY7:AY28)</f>
        <v>4.7331986139149913E-2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zoomScale="65" workbookViewId="0"/>
    <sheetView showGridLines="0" showZeros="0" zoomScale="65" workbookViewId="1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WICHITA FALLS ISD PSF</v>
      </c>
      <c r="C6" s="255">
        <f>Proposal!D7</f>
        <v>4.4999999999999998E-2</v>
      </c>
      <c r="D6" s="258">
        <f>IF(Proposal!R7=TRUE,Proposal!F7,Proposal!E7)</f>
        <v>40940</v>
      </c>
      <c r="E6" s="148">
        <f t="shared" ref="E6:J15" si="0">IF(E$4=MONTH($D6),$A6*1000*$C6*0.5,0)+(IF(E$4+6=MONTH($D6),$A6*1000*$C6*0.5,0))</f>
        <v>0</v>
      </c>
      <c r="F6" s="148">
        <f t="shared" si="0"/>
        <v>1125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0</v>
      </c>
      <c r="L6" s="148">
        <f t="shared" si="1"/>
        <v>1125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2250</v>
      </c>
      <c r="U6" s="62">
        <f t="shared" ref="U6:U27" si="3">YEAR(D6)</f>
        <v>2012</v>
      </c>
      <c r="V6" s="56" t="s">
        <v>40</v>
      </c>
      <c r="W6" s="116">
        <f>Income!E$28</f>
        <v>625</v>
      </c>
    </row>
    <row r="7" spans="1:23" s="5" customFormat="1" ht="15.75" x14ac:dyDescent="0.25">
      <c r="A7" s="146">
        <f>Proposal!A8</f>
        <v>50</v>
      </c>
      <c r="B7" s="150" t="str">
        <f>Proposal!C8</f>
        <v>PHARR TX CERT OF OB</v>
      </c>
      <c r="C7" s="256">
        <f>Proposal!D8</f>
        <v>4.65E-2</v>
      </c>
      <c r="D7" s="259">
        <f>IF(Proposal!R8=TRUE,Proposal!F8,Proposal!E8)</f>
        <v>41136</v>
      </c>
      <c r="E7" s="151">
        <f t="shared" si="0"/>
        <v>0</v>
      </c>
      <c r="F7" s="151">
        <f t="shared" si="0"/>
        <v>1162.5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1162.5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2325</v>
      </c>
      <c r="U7" s="62">
        <f t="shared" si="3"/>
        <v>2012</v>
      </c>
      <c r="V7" s="56" t="s">
        <v>41</v>
      </c>
      <c r="W7" s="116">
        <f>Income!F$28</f>
        <v>3500</v>
      </c>
    </row>
    <row r="8" spans="1:23" s="5" customFormat="1" ht="15.75" x14ac:dyDescent="0.25">
      <c r="A8" s="146">
        <f>Proposal!A9</f>
        <v>25</v>
      </c>
      <c r="B8" s="150" t="str">
        <f>Proposal!C9</f>
        <v>TX WTR DEV BRD</v>
      </c>
      <c r="C8" s="256">
        <f>Proposal!D9</f>
        <v>0.05</v>
      </c>
      <c r="D8" s="259">
        <f>IF(Proposal!R9=TRUE,Proposal!F9,Proposal!E9)</f>
        <v>41470</v>
      </c>
      <c r="E8" s="151">
        <f t="shared" si="0"/>
        <v>625</v>
      </c>
      <c r="F8" s="151">
        <f t="shared" si="0"/>
        <v>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625</v>
      </c>
      <c r="L8" s="151">
        <f t="shared" si="1"/>
        <v>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1250</v>
      </c>
      <c r="U8" s="62">
        <f t="shared" si="3"/>
        <v>2013</v>
      </c>
      <c r="V8" s="56" t="s">
        <v>42</v>
      </c>
      <c r="W8" s="116">
        <f>Income!G$28</f>
        <v>687.5</v>
      </c>
    </row>
    <row r="9" spans="1:23" s="5" customFormat="1" ht="15.75" x14ac:dyDescent="0.25">
      <c r="A9" s="146">
        <f>Proposal!A10</f>
        <v>50</v>
      </c>
      <c r="B9" s="150" t="str">
        <f>Proposal!C10</f>
        <v>ROUND ROCK TX TRAN</v>
      </c>
      <c r="C9" s="256">
        <f>Proposal!D10</f>
        <v>4.8500000000000001E-2</v>
      </c>
      <c r="D9" s="259">
        <f>IF(Proposal!R10=TRUE,Proposal!F10,Proposal!E10)</f>
        <v>41866</v>
      </c>
      <c r="E9" s="151">
        <f t="shared" si="0"/>
        <v>0</v>
      </c>
      <c r="F9" s="151">
        <f t="shared" si="0"/>
        <v>1212.5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0</v>
      </c>
      <c r="L9" s="151">
        <f t="shared" si="1"/>
        <v>1212.5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2425</v>
      </c>
      <c r="U9" s="62">
        <f t="shared" si="3"/>
        <v>2014</v>
      </c>
      <c r="V9" s="56" t="s">
        <v>43</v>
      </c>
      <c r="W9" s="116">
        <f>Income!H$28</f>
        <v>0</v>
      </c>
    </row>
    <row r="10" spans="1:23" s="5" customFormat="1" ht="15.75" x14ac:dyDescent="0.25">
      <c r="A10" s="146">
        <f>Proposal!A11</f>
        <v>50</v>
      </c>
      <c r="B10" s="150" t="str">
        <f>Proposal!C11</f>
        <v>HARRIS CO TX MUD#359</v>
      </c>
      <c r="C10" s="256">
        <f>Proposal!D11</f>
        <v>4.3749999999999997E-2</v>
      </c>
      <c r="D10" s="259">
        <f>IF(Proposal!R11=TRUE,Proposal!F11,Proposal!E11)</f>
        <v>42156</v>
      </c>
      <c r="E10" s="151">
        <f t="shared" si="0"/>
        <v>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1093.75</v>
      </c>
      <c r="K10" s="151">
        <f t="shared" si="1"/>
        <v>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1093.75</v>
      </c>
      <c r="Q10" s="152">
        <f t="shared" si="2"/>
        <v>2187.5</v>
      </c>
      <c r="U10" s="62">
        <f t="shared" si="3"/>
        <v>2015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25</v>
      </c>
      <c r="B11" s="150" t="str">
        <f>Proposal!C12</f>
        <v>FLOWER MOUND TX W/S</v>
      </c>
      <c r="C11" s="256">
        <f>Proposal!D12</f>
        <v>5.5E-2</v>
      </c>
      <c r="D11" s="259">
        <f>IF(Proposal!R12=TRUE,Proposal!F12,Proposal!E12)</f>
        <v>42248</v>
      </c>
      <c r="E11" s="151">
        <f t="shared" si="0"/>
        <v>0</v>
      </c>
      <c r="F11" s="151">
        <f t="shared" si="0"/>
        <v>0</v>
      </c>
      <c r="G11" s="151">
        <f t="shared" si="0"/>
        <v>687.5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687.5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1375</v>
      </c>
      <c r="U11" s="62">
        <f t="shared" si="3"/>
        <v>2015</v>
      </c>
      <c r="V11" s="56" t="s">
        <v>45</v>
      </c>
      <c r="W11" s="116">
        <f>Income!J$28</f>
        <v>1093.75</v>
      </c>
    </row>
    <row r="12" spans="1:23" s="5" customFormat="1" ht="15.75" x14ac:dyDescent="0.25">
      <c r="A12" s="146">
        <f>Proposal!A13</f>
        <v>0</v>
      </c>
      <c r="B12" s="150">
        <f>Proposal!C13</f>
        <v>0</v>
      </c>
      <c r="C12" s="256">
        <f>Proposal!D13</f>
        <v>0</v>
      </c>
      <c r="D12" s="259">
        <f>IF(Proposal!R13=TRUE,Proposal!F13,Proposal!E13)</f>
        <v>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1900</v>
      </c>
      <c r="V12" s="56" t="s">
        <v>46</v>
      </c>
      <c r="W12" s="116">
        <f>Income!K$28</f>
        <v>625</v>
      </c>
    </row>
    <row r="13" spans="1:23" s="5" customFormat="1" ht="15.75" x14ac:dyDescent="0.25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3500</v>
      </c>
    </row>
    <row r="14" spans="1:23" s="5" customFormat="1" ht="15.75" x14ac:dyDescent="0.25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687.5</v>
      </c>
    </row>
    <row r="15" spans="1:23" s="5" customFormat="1" ht="15.75" x14ac:dyDescent="0.25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0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1093.75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250</v>
      </c>
      <c r="B28" s="18" t="s">
        <v>52</v>
      </c>
      <c r="C28" s="158"/>
      <c r="D28" s="143"/>
      <c r="E28" s="159">
        <f t="shared" ref="E28:P28" si="9">SUM(E6:E27)</f>
        <v>625</v>
      </c>
      <c r="F28" s="159">
        <f t="shared" si="9"/>
        <v>3500</v>
      </c>
      <c r="G28" s="159">
        <f t="shared" si="9"/>
        <v>687.5</v>
      </c>
      <c r="H28" s="159">
        <f t="shared" si="9"/>
        <v>0</v>
      </c>
      <c r="I28" s="159">
        <f t="shared" si="9"/>
        <v>0</v>
      </c>
      <c r="J28" s="159">
        <f t="shared" si="9"/>
        <v>1093.75</v>
      </c>
      <c r="K28" s="159">
        <f t="shared" si="9"/>
        <v>625</v>
      </c>
      <c r="L28" s="159">
        <f t="shared" si="9"/>
        <v>3500</v>
      </c>
      <c r="M28" s="159">
        <f t="shared" si="9"/>
        <v>687.5</v>
      </c>
      <c r="N28" s="159">
        <f t="shared" si="9"/>
        <v>0</v>
      </c>
      <c r="O28" s="159">
        <f t="shared" si="9"/>
        <v>0</v>
      </c>
      <c r="P28" s="159">
        <f t="shared" si="9"/>
        <v>1093.75</v>
      </c>
      <c r="Q28" s="159">
        <f>SUM(E28:P28)</f>
        <v>11812.5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5.2910052910052907E-2</v>
      </c>
      <c r="F29" s="161">
        <f t="shared" ref="F29:P29" si="10">F28/$Q$28</f>
        <v>0.29629629629629628</v>
      </c>
      <c r="G29" s="161">
        <f t="shared" si="10"/>
        <v>5.8201058201058198E-2</v>
      </c>
      <c r="H29" s="161">
        <f t="shared" si="10"/>
        <v>0</v>
      </c>
      <c r="I29" s="161">
        <f t="shared" si="10"/>
        <v>0</v>
      </c>
      <c r="J29" s="161">
        <f t="shared" si="10"/>
        <v>9.2592592592592587E-2</v>
      </c>
      <c r="K29" s="161">
        <f t="shared" si="10"/>
        <v>5.2910052910052907E-2</v>
      </c>
      <c r="L29" s="161">
        <f t="shared" si="10"/>
        <v>0.29629629629629628</v>
      </c>
      <c r="M29" s="161">
        <f t="shared" si="10"/>
        <v>5.8201058201058198E-2</v>
      </c>
      <c r="N29" s="161">
        <f t="shared" si="10"/>
        <v>0</v>
      </c>
      <c r="O29" s="161">
        <f t="shared" si="10"/>
        <v>0</v>
      </c>
      <c r="P29" s="161">
        <f t="shared" si="10"/>
        <v>9.2592592592592587E-2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2012</v>
      </c>
      <c r="C61" s="38">
        <f t="shared" ref="C61:C78" si="12">A6/A$28</f>
        <v>0.2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2012</v>
      </c>
      <c r="C62" s="38">
        <f t="shared" si="12"/>
        <v>0.2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2013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2014</v>
      </c>
      <c r="C64" s="38">
        <f t="shared" si="12"/>
        <v>0.2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2015</v>
      </c>
      <c r="C65" s="38">
        <f t="shared" si="12"/>
        <v>0.2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2015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zoomScale="65" workbookViewId="0">
      <selection activeCell="D9" sqref="D9"/>
    </sheetView>
    <sheetView showGridLines="0" showZeros="0" zoomScale="65" workbookViewId="1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2012</v>
      </c>
      <c r="Q4" s="56">
        <f>IF(P4=1900,0,P4)</f>
        <v>2012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50</v>
      </c>
      <c r="I5" s="268">
        <f>H5/R$26</f>
        <v>0.2</v>
      </c>
      <c r="J5" s="20"/>
      <c r="K5" s="5"/>
      <c r="L5" s="5"/>
      <c r="M5" s="5"/>
      <c r="N5" s="5"/>
      <c r="P5" s="62">
        <f>YEAR(Income!D7)</f>
        <v>2012</v>
      </c>
      <c r="Q5" s="56">
        <f t="shared" ref="Q5:Q21" si="0">IF(P5=1900,0,P5)</f>
        <v>2012</v>
      </c>
      <c r="R5" s="245">
        <f>IF(Proposal!I8="y",Proposal!A8*Proposal!G8*10,Proposal!A8*1000)</f>
        <v>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75</v>
      </c>
      <c r="I6" s="268">
        <f t="shared" ref="I6:I19" si="2">H6/R$26</f>
        <v>0.3</v>
      </c>
      <c r="J6" s="20"/>
      <c r="K6" s="5"/>
      <c r="L6" s="5"/>
      <c r="M6" s="5"/>
      <c r="N6" s="5"/>
      <c r="P6" s="62">
        <f>YEAR(Income!D8)</f>
        <v>2013</v>
      </c>
      <c r="Q6" s="56">
        <f t="shared" si="0"/>
        <v>2013</v>
      </c>
      <c r="R6" s="245">
        <f>IF(Proposal!I9="y",Proposal!A9*Proposal!G9*10,Proposal!A9*1000)</f>
        <v>25000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2014</v>
      </c>
      <c r="Q7" s="56">
        <f t="shared" si="0"/>
        <v>2014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2015</v>
      </c>
      <c r="Q8" s="56">
        <f t="shared" si="0"/>
        <v>2015</v>
      </c>
      <c r="R8" s="245">
        <f>IF(Proposal!I11="y",Proposal!A11*Proposal!G11*10,Proposal!A11*1000)</f>
        <v>50000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2015</v>
      </c>
      <c r="Q9" s="56">
        <f t="shared" si="0"/>
        <v>2015</v>
      </c>
      <c r="R9" s="245">
        <f>IF(Proposal!I12="y",Proposal!A12*Proposal!G12*10,Proposal!A12*1000)</f>
        <v>25000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1900</v>
      </c>
      <c r="Q10" s="56">
        <f t="shared" si="0"/>
        <v>0</v>
      </c>
      <c r="R10" s="245">
        <f>IF(Proposal!I13="y",Proposal!A13*Proposal!G13*10,Proposal!A13*1000)</f>
        <v>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100</v>
      </c>
      <c r="D18" s="268">
        <f t="shared" si="1"/>
        <v>0.4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25</v>
      </c>
      <c r="D19" s="268">
        <f t="shared" si="1"/>
        <v>0.1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250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zoomScale="70" workbookViewId="0"/>
    <sheetView showGridLines="0" showZeros="0" zoomScale="75" workbookViewId="1">
      <selection activeCell="B42" sqref="B42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</v>
      </c>
      <c r="C7" s="42" t="str">
        <f>Proposal!C7</f>
        <v>WICHITA FALLS ISD PSF</v>
      </c>
      <c r="D7" s="161">
        <f>Proposal!D7</f>
        <v>4.4999999999999998E-2</v>
      </c>
      <c r="E7" s="249">
        <f>Income!D6</f>
        <v>40940</v>
      </c>
      <c r="F7" s="248" t="e">
        <f ca="1">Proposal!BG7</f>
        <v>#NAME?</v>
      </c>
      <c r="G7" s="220">
        <f>Proposal!J7</f>
        <v>100</v>
      </c>
      <c r="H7" s="124">
        <f t="shared" ref="H7:H28" ca="1" si="0">IF($T7=TRUE,0,S7)</f>
        <v>0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 t="e">
        <f ca="1">MDURATION(BF7,Proposal!BH7,D7,F7,2,0)</f>
        <v>#NAME?</v>
      </c>
      <c r="T7" s="168" t="b">
        <f t="shared" ref="T7:T28" ca="1" si="6">ISERR(S7)</f>
        <v>1</v>
      </c>
      <c r="U7" s="188">
        <f t="shared" ref="U7:U28" si="7">D7*A7*1000</f>
        <v>2250</v>
      </c>
      <c r="V7" s="189"/>
      <c r="W7" s="198" t="e">
        <f ca="1">IF(Proposal!$F7=0,1000,IF(DAYS360(Summary!$B$5,Proposal!$F7)&lt;360,1000,PRICE($BF7+360,Proposal!$F7,$D7,$F7,Proposal!$G7,2,0)))</f>
        <v>#NAME?</v>
      </c>
      <c r="X7" s="194">
        <f>IF(Proposal!$H7=0,1000,IF(DAYS360(Summary!$B$5,Proposal!$H7)&lt;360,1000,PRICE($BF7+360,Proposal!$H7,$D7,$F7,100,2,0)))</f>
        <v>1000</v>
      </c>
      <c r="Y7" s="191" t="e">
        <f ca="1">IF($E7=0,1000,IF(DAYS360(Summary!$B$5,$E7)&lt;360,1000,PRICE($BF7+360,$E7,$D7,$F7,100,2,0)))</f>
        <v>#NAME?</v>
      </c>
      <c r="Z7" s="197" t="e">
        <f t="shared" ref="Z7:Z28" ca="1" si="8">IF(MIN(W7:Y7)=1000,0,(MIN(W7:Y7)*$A7*10+$U7)/($G7*$A7*10)-1)</f>
        <v>#NAME?</v>
      </c>
      <c r="AA7" s="198" t="e">
        <f ca="1">IF(Proposal!$F7=0,1000,IF(DAYS360(Summary!$B$5,Proposal!$F7)&lt;360,1000,PRICE($BF7+360,Proposal!$F7,$D7,$F7+AA$4,Proposal!$G7,2,0)))</f>
        <v>#NAME?</v>
      </c>
      <c r="AB7" s="194">
        <f>IF(Proposal!$H7=0,1000,IF(DAYS360(Summary!$B$5,Proposal!$H7)&lt;360,1000,PRICE($BF7+360,Proposal!$H7,$D7,$F7+AA$4,100,2,0)))</f>
        <v>1000</v>
      </c>
      <c r="AC7" s="191" t="e">
        <f ca="1">IF($E7=0,1000,IF(DAYS360(Summary!$B$5,$E7)&lt;360,1000,PRICE($BF7+360,$E7,$D7,$F7+AA$4,100,2,0)))</f>
        <v>#NAME?</v>
      </c>
      <c r="AD7" s="169" t="e">
        <f t="shared" ref="AD7:AD28" ca="1" si="9">IF(MIN(AA7:AC7)=1000,0,(MIN(AA7:AC7)*$A7*10+$U7)/($G7*$A7*10)-1)</f>
        <v>#NAME?</v>
      </c>
      <c r="AE7" s="198" t="e">
        <f ca="1">IF(Proposal!$F7=0,1000,IF(DAYS360(Summary!$B$5,Proposal!$F7)&lt;360,1000,PRICE($BF7+360,Proposal!$F7,$D7,$F7+AE$4,Proposal!$G7,2,0)))</f>
        <v>#NAME?</v>
      </c>
      <c r="AF7" s="194">
        <f>IF(Proposal!$H7=0,1000,IF(DAYS360(Summary!$B$5,Proposal!$H7)&lt;360,1000,PRICE($BF7+360,Proposal!$H7,$D7,$F7+AE$4,100,2,0)))</f>
        <v>1000</v>
      </c>
      <c r="AG7" s="191" t="e">
        <f ca="1">IF($E7=0,1000,IF(DAYS360(Summary!$B$5,$E7)&lt;360,1000,PRICE($BF7+360,$E7,$D7,$F7+AE$4,100,2,0)))</f>
        <v>#NAME?</v>
      </c>
      <c r="AH7" s="169" t="e">
        <f t="shared" ref="AH7:AH28" ca="1" si="10">IF(MIN(AE7:AG7)=1000,0,(MIN(AE7:AG7)*$A7*10+$U7)/($G7*$A7*10)-1)</f>
        <v>#NAME?</v>
      </c>
      <c r="AI7" s="198" t="e">
        <f ca="1">IF(Proposal!$F7=0,1000,IF(DAYS360(Summary!$B$5,Proposal!$F7)&lt;360,1000,PRICE($BF7+360,Proposal!$F7,$D7,$F7+AI$4,Proposal!$G7,2,0)))</f>
        <v>#NAME?</v>
      </c>
      <c r="AJ7" s="194">
        <f>IF(Proposal!$H7=0,1000,IF(DAYS360(Summary!$B$5,Proposal!$H7)&lt;360,1000,PRICE($BF7+360,Proposal!$H7,$D7,$F7+AI$4,100,2,0)))</f>
        <v>1000</v>
      </c>
      <c r="AK7" s="191" t="e">
        <f ca="1">IF($E7=0,1000,IF(DAYS360(Summary!$B$5,$E7)&lt;360,1000,PRICE($BF7+360,$E7,$D7,$F7+AI$4,100,2,0)))</f>
        <v>#NAME?</v>
      </c>
      <c r="AL7" s="169" t="e">
        <f t="shared" ref="AL7:AL28" ca="1" si="11">IF(MIN(AI7:AK7)=1000,0,(MIN(AI7:AK7)*$A7*10+$U7)/($G7*$A7*10)-1)</f>
        <v>#NAME?</v>
      </c>
      <c r="AM7" s="198" t="e">
        <f ca="1">IF(Proposal!$F7=0,1000,IF(DAYS360(Summary!$B$5,Proposal!$F7)&lt;360,1000,PRICE($BF7+360,Proposal!$F7,$D7,$F7+AM$4,Proposal!$G7,2,0)))</f>
        <v>#NAME?</v>
      </c>
      <c r="AN7" s="194">
        <f>IF(Proposal!$H7=0,1000,IF(DAYS360(Summary!$B$5,Proposal!$H7)&lt;360,1000,PRICE($BF7+360,Proposal!$H7,$D7,$F7+AM$4,100,2,0)))</f>
        <v>1000</v>
      </c>
      <c r="AO7" s="191" t="e">
        <f ca="1">IF($E7=0,1000,IF(DAYS360(Summary!$B$5,$E7)&lt;360,1000,PRICE($BF7+360,$E7,$D7,$F7+AM$4,100,2,0)))</f>
        <v>#NAME?</v>
      </c>
      <c r="AP7" s="169" t="e">
        <f t="shared" ref="AP7:AP28" ca="1" si="12">IF(MIN(AM7:AO7)=1000,0,(MIN(AM7:AO7)*$A7*10+$U7)/($G7*$A7*10)-1)</f>
        <v>#NAME?</v>
      </c>
      <c r="AQ7" s="168"/>
      <c r="AR7" s="170"/>
      <c r="AS7" s="189">
        <f t="shared" ref="AS7:AS28" si="13">A7*G7*10</f>
        <v>50000</v>
      </c>
      <c r="AT7" s="192">
        <f t="shared" ref="AT7:AT28" si="14">AS7*D7/AS$29</f>
        <v>8.9901737401020688E-3</v>
      </c>
      <c r="AU7" s="193">
        <f t="shared" ref="AU7:AU28" si="15">AS7*E7/AS$29</f>
        <v>8179.0602871061928</v>
      </c>
      <c r="AV7" s="193" t="e">
        <f ca="1">AS7*F7/AS$29</f>
        <v>#NAME?</v>
      </c>
      <c r="AW7" s="190">
        <f>AS7*Proposal!M7/AS$29</f>
        <v>8.9901737401020688E-3</v>
      </c>
      <c r="AX7" s="194">
        <f ca="1">AS7*H7/AS$29</f>
        <v>0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36069</v>
      </c>
      <c r="BF7" s="209">
        <f>Enter!C3</f>
        <v>37054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50</v>
      </c>
      <c r="B8" s="18" t="str">
        <f>Proposal!B8</f>
        <v>AAA/AAA</v>
      </c>
      <c r="C8" s="42" t="str">
        <f>Proposal!C8</f>
        <v>PHARR TX CERT OF OB</v>
      </c>
      <c r="D8" s="161">
        <f>Proposal!D8</f>
        <v>4.65E-2</v>
      </c>
      <c r="E8" s="249">
        <f>Income!D7</f>
        <v>41136</v>
      </c>
      <c r="F8" s="211" t="e">
        <f ca="1">Proposal!BG8</f>
        <v>#NAME?</v>
      </c>
      <c r="G8" s="220">
        <f>Proposal!J8</f>
        <v>101.20399999999999</v>
      </c>
      <c r="H8" s="126">
        <f t="shared" ca="1" si="0"/>
        <v>0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 t="e">
        <f ca="1">MDURATION(BF8,Proposal!BH8,D8,F8,2,0)</f>
        <v>#NAME?</v>
      </c>
      <c r="T8" s="168" t="b">
        <f t="shared" ca="1" si="6"/>
        <v>1</v>
      </c>
      <c r="U8" s="196">
        <f t="shared" si="7"/>
        <v>2325</v>
      </c>
      <c r="V8" s="189"/>
      <c r="W8" s="198" t="e">
        <f ca="1">IF(Proposal!$F8=0,1000,IF(DAYS360(Summary!$B$5,Proposal!$F8)&lt;360,1000,PRICE($BF8+360,Proposal!$F8,$D8,$F8,Proposal!$G8,2,0)))</f>
        <v>#NAME?</v>
      </c>
      <c r="X8" s="194">
        <f>IF(Proposal!$H8=0,1000,IF(DAYS360(Summary!$B$5,Proposal!$H8)&lt;360,1000,PRICE($BF8+360,Proposal!$H8,$D8,$F8,100,2,0)))</f>
        <v>1000</v>
      </c>
      <c r="Y8" s="191" t="e">
        <f ca="1">IF($E8=0,1000,IF(DAYS360(Summary!$B$5,$E8)&lt;360,1000,PRICE($BF8+360,$E8,$D8,$F8,100,2,0)))</f>
        <v>#NAME?</v>
      </c>
      <c r="Z8" s="197" t="e">
        <f t="shared" ca="1" si="8"/>
        <v>#NAME?</v>
      </c>
      <c r="AA8" s="198" t="e">
        <f ca="1">IF(Proposal!$F8=0,1000,IF(DAYS360(Summary!$B$5,Proposal!$F8)&lt;360,1000,PRICE($BF8+360,Proposal!$F8,$D8,$F8+AA$4,Proposal!$G8,2,0)))</f>
        <v>#NAME?</v>
      </c>
      <c r="AB8" s="194">
        <f>IF(Proposal!$H8=0,1000,IF(DAYS360(Summary!$B$5,Proposal!$H8)&lt;360,1000,PRICE($BF8+360,Proposal!$H8,$D8,$F8+AA$4,100,2,0)))</f>
        <v>1000</v>
      </c>
      <c r="AC8" s="191" t="e">
        <f ca="1">IF($E8=0,1000,IF(DAYS360(Summary!$B$5,$E8)&lt;360,1000,PRICE($BF8+360,$E8,$D8,$F8+AA$4,100,2,0)))</f>
        <v>#NAME?</v>
      </c>
      <c r="AD8" s="169" t="e">
        <f t="shared" ca="1" si="9"/>
        <v>#NAME?</v>
      </c>
      <c r="AE8" s="198" t="e">
        <f ca="1">IF(Proposal!$F8=0,1000,IF(DAYS360(Summary!$B$5,Proposal!$F8)&lt;360,1000,PRICE($BF8+360,Proposal!$F8,$D8,$F8+AE$4,Proposal!$G8,2,0)))</f>
        <v>#NAME?</v>
      </c>
      <c r="AF8" s="194">
        <f>IF(Proposal!$H8=0,1000,IF(DAYS360(Summary!$B$5,Proposal!$H8)&lt;360,1000,PRICE($BF8+360,Proposal!$H8,$D8,$F8+AE$4,100,2,0)))</f>
        <v>1000</v>
      </c>
      <c r="AG8" s="191" t="e">
        <f ca="1">IF($E8=0,1000,IF(DAYS360(Summary!$B$5,$E8)&lt;360,1000,PRICE($BF8+360,$E8,$D8,$F8+AE$4,100,2,0)))</f>
        <v>#NAME?</v>
      </c>
      <c r="AH8" s="169" t="e">
        <f t="shared" ca="1" si="10"/>
        <v>#NAME?</v>
      </c>
      <c r="AI8" s="198" t="e">
        <f ca="1">IF(Proposal!$F8=0,1000,IF(DAYS360(Summary!$B$5,Proposal!$F8)&lt;360,1000,PRICE($BF8+360,Proposal!$F8,$D8,$F8+AI$4,Proposal!$G8,2,0)))</f>
        <v>#NAME?</v>
      </c>
      <c r="AJ8" s="194">
        <f>IF(Proposal!$H8=0,1000,IF(DAYS360(Summary!$B$5,Proposal!$H8)&lt;360,1000,PRICE($BF8+360,Proposal!$H8,$D8,$F8+AI$4,100,2,0)))</f>
        <v>1000</v>
      </c>
      <c r="AK8" s="191" t="e">
        <f ca="1">IF($E8=0,1000,IF(DAYS360(Summary!$B$5,$E8)&lt;360,1000,PRICE($BF8+360,$E8,$D8,$F8+AI$4,100,2,0)))</f>
        <v>#NAME?</v>
      </c>
      <c r="AL8" s="169" t="e">
        <f t="shared" ca="1" si="11"/>
        <v>#NAME?</v>
      </c>
      <c r="AM8" s="198" t="e">
        <f ca="1">IF(Proposal!$F8=0,1000,IF(DAYS360(Summary!$B$5,Proposal!$F8)&lt;360,1000,PRICE($BF8+360,Proposal!$F8,$D8,$F8+AM$4,Proposal!$G8,2,0)))</f>
        <v>#NAME?</v>
      </c>
      <c r="AN8" s="194">
        <f>IF(Proposal!$H8=0,1000,IF(DAYS360(Summary!$B$5,Proposal!$H8)&lt;360,1000,PRICE($BF8+360,Proposal!$H8,$D8,$F8+AM$4,100,2,0)))</f>
        <v>1000</v>
      </c>
      <c r="AO8" s="191" t="e">
        <f ca="1">IF($E8=0,1000,IF(DAYS360(Summary!$B$5,$E8)&lt;360,1000,PRICE($BF8+360,$E8,$D8,$F8+AM$4,100,2,0)))</f>
        <v>#NAME?</v>
      </c>
      <c r="AP8" s="169" t="e">
        <f t="shared" ca="1" si="12"/>
        <v>#NAME?</v>
      </c>
      <c r="AQ8" s="168"/>
      <c r="AR8" s="170"/>
      <c r="AS8" s="189">
        <f t="shared" si="13"/>
        <v>50602</v>
      </c>
      <c r="AT8" s="192">
        <f t="shared" si="14"/>
        <v>9.4016959463306595E-3</v>
      </c>
      <c r="AU8" s="193">
        <f t="shared" si="15"/>
        <v>8317.1648268442586</v>
      </c>
      <c r="AV8" s="193" t="e">
        <f t="shared" ref="AV8:AV28" ca="1" si="17">AS8*F8/AS$29</f>
        <v>#NAME?</v>
      </c>
      <c r="AW8" s="193">
        <f>AS8*Proposal!M8/AS$29</f>
        <v>9.2898461981054722E-3</v>
      </c>
      <c r="AX8" s="194">
        <f ca="1">AS8*H8/AS$29</f>
        <v>0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37026</v>
      </c>
      <c r="BF8" s="209">
        <f>Enter!C4</f>
        <v>37070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25</v>
      </c>
      <c r="B9" s="18" t="str">
        <f>Proposal!B9</f>
        <v>AAA/AAA</v>
      </c>
      <c r="C9" s="42" t="str">
        <f>Proposal!C9</f>
        <v>TX WTR DEV BRD</v>
      </c>
      <c r="D9" s="161">
        <f>Proposal!D9</f>
        <v>0.05</v>
      </c>
      <c r="E9" s="249">
        <f>Income!D8</f>
        <v>41470</v>
      </c>
      <c r="F9" s="211" t="e">
        <f ca="1">Proposal!BG9</f>
        <v>#NAME?</v>
      </c>
      <c r="G9" s="220">
        <f>Proposal!J9</f>
        <v>101.78700000000001</v>
      </c>
      <c r="H9" s="126">
        <f t="shared" ca="1" si="0"/>
        <v>0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 t="e">
        <f ca="1">MDURATION(BF9,Proposal!BH9,D9,F9,2,0)</f>
        <v>#NAME?</v>
      </c>
      <c r="T9" s="168" t="b">
        <f t="shared" ca="1" si="6"/>
        <v>1</v>
      </c>
      <c r="U9" s="196">
        <f t="shared" si="7"/>
        <v>1250</v>
      </c>
      <c r="V9" s="189"/>
      <c r="W9" s="198" t="e">
        <f ca="1">IF(Proposal!$F9=0,1000,IF(DAYS360(Summary!$B$5,Proposal!$F9)&lt;360,1000,PRICE($BF9+360,Proposal!$F9,$D9,$F9,Proposal!$G9,2,0)))</f>
        <v>#NAME?</v>
      </c>
      <c r="X9" s="194" t="e">
        <f ca="1">IF(Proposal!$H9=0,1000,IF(DAYS360(Summary!$B$5,Proposal!$H9)&lt;360,1000,PRICE($BF9+360,Proposal!$H9,$D9,$F9,100,2,0)))</f>
        <v>#NAME?</v>
      </c>
      <c r="Y9" s="191" t="e">
        <f ca="1">IF($E9=0,1000,IF(DAYS360(Summary!$B$5,$E9)&lt;360,1000,PRICE($BF9+360,$E9,$D9,$F9,100,2,0)))</f>
        <v>#NAME?</v>
      </c>
      <c r="Z9" s="197" t="e">
        <f t="shared" ca="1" si="8"/>
        <v>#NAME?</v>
      </c>
      <c r="AA9" s="198" t="e">
        <f ca="1">IF(Proposal!$F9=0,1000,IF(DAYS360(Summary!$B$5,Proposal!$F9)&lt;360,1000,PRICE($BF9+360,Proposal!$F9,$D9,$F9+AA$4,Proposal!$G9,2,0)))</f>
        <v>#NAME?</v>
      </c>
      <c r="AB9" s="194" t="e">
        <f ca="1">IF(Proposal!$H9=0,1000,IF(DAYS360(Summary!$B$5,Proposal!$H9)&lt;360,1000,PRICE($BF9+360,Proposal!$H9,$D9,$F9+AA$4,100,2,0)))</f>
        <v>#NAME?</v>
      </c>
      <c r="AC9" s="191" t="e">
        <f ca="1">IF($E9=0,1000,IF(DAYS360(Summary!$B$5,$E9)&lt;360,1000,PRICE($BF9+360,$E9,$D9,$F9+AA$4,100,2,0)))</f>
        <v>#NAME?</v>
      </c>
      <c r="AD9" s="169" t="e">
        <f t="shared" ca="1" si="9"/>
        <v>#NAME?</v>
      </c>
      <c r="AE9" s="198" t="e">
        <f ca="1">IF(Proposal!$F9=0,1000,IF(DAYS360(Summary!$B$5,Proposal!$F9)&lt;360,1000,PRICE($BF9+360,Proposal!$F9,$D9,$F9+AE$4,Proposal!$G9,2,0)))</f>
        <v>#NAME?</v>
      </c>
      <c r="AF9" s="194" t="e">
        <f ca="1">IF(Proposal!$H9=0,1000,IF(DAYS360(Summary!$B$5,Proposal!$H9)&lt;360,1000,PRICE($BF9+360,Proposal!$H9,$D9,$F9+AE$4,100,2,0)))</f>
        <v>#NAME?</v>
      </c>
      <c r="AG9" s="191" t="e">
        <f ca="1">IF($E9=0,1000,IF(DAYS360(Summary!$B$5,$E9)&lt;360,1000,PRICE($BF9+360,$E9,$D9,$F9+AE$4,100,2,0)))</f>
        <v>#NAME?</v>
      </c>
      <c r="AH9" s="169" t="e">
        <f t="shared" ca="1" si="10"/>
        <v>#NAME?</v>
      </c>
      <c r="AI9" s="198" t="e">
        <f ca="1">IF(Proposal!$F9=0,1000,IF(DAYS360(Summary!$B$5,Proposal!$F9)&lt;360,1000,PRICE($BF9+360,Proposal!$F9,$D9,$F9+AI$4,Proposal!$G9,2,0)))</f>
        <v>#NAME?</v>
      </c>
      <c r="AJ9" s="194" t="e">
        <f ca="1">IF(Proposal!$H9=0,1000,IF(DAYS360(Summary!$B$5,Proposal!$H9)&lt;360,1000,PRICE($BF9+360,Proposal!$H9,$D9,$F9+AI$4,100,2,0)))</f>
        <v>#NAME?</v>
      </c>
      <c r="AK9" s="191" t="e">
        <f ca="1">IF($E9=0,1000,IF(DAYS360(Summary!$B$5,$E9)&lt;360,1000,PRICE($BF9+360,$E9,$D9,$F9+AI$4,100,2,0)))</f>
        <v>#NAME?</v>
      </c>
      <c r="AL9" s="169" t="e">
        <f t="shared" ca="1" si="11"/>
        <v>#NAME?</v>
      </c>
      <c r="AM9" s="198" t="e">
        <f ca="1">IF(Proposal!$F9=0,1000,IF(DAYS360(Summary!$B$5,Proposal!$F9)&lt;360,1000,PRICE($BF9+360,Proposal!$F9,$D9,$F9+AM$4,Proposal!$G9,2,0)))</f>
        <v>#NAME?</v>
      </c>
      <c r="AN9" s="194" t="e">
        <f ca="1">IF(Proposal!$H9=0,1000,IF(DAYS360(Summary!$B$5,Proposal!$H9)&lt;360,1000,PRICE($BF9+360,Proposal!$H9,$D9,$F9+AM$4,100,2,0)))</f>
        <v>#NAME?</v>
      </c>
      <c r="AO9" s="191" t="e">
        <f ca="1">IF($E9=0,1000,IF(DAYS360(Summary!$B$5,$E9)&lt;360,1000,PRICE($BF9+360,$E9,$D9,$F9+AM$4,100,2,0)))</f>
        <v>#NAME?</v>
      </c>
      <c r="AP9" s="169" t="e">
        <f t="shared" ca="1" si="12"/>
        <v>#NAME?</v>
      </c>
      <c r="AQ9" s="168"/>
      <c r="AR9" s="170"/>
      <c r="AS9" s="189">
        <f t="shared" si="13"/>
        <v>25446.75</v>
      </c>
      <c r="AT9" s="192">
        <f t="shared" si="14"/>
        <v>5.083793413798718E-3</v>
      </c>
      <c r="AU9" s="193">
        <f t="shared" si="15"/>
        <v>4216.4982574046571</v>
      </c>
      <c r="AV9" s="193" t="e">
        <f t="shared" ca="1" si="17"/>
        <v>#NAME?</v>
      </c>
      <c r="AW9" s="193">
        <f>AS9*Proposal!M9/AS$29</f>
        <v>4.9945409667233711E-3</v>
      </c>
      <c r="AX9" s="194">
        <f t="shared" ref="AX9:AX28" ca="1" si="22">AS9*H9/AS$29</f>
        <v>0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35704</v>
      </c>
      <c r="BF9" s="209">
        <f>Enter!C5</f>
        <v>37054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ROUND ROCK TX TRAN</v>
      </c>
      <c r="D10" s="161">
        <f>Proposal!D10</f>
        <v>4.8500000000000001E-2</v>
      </c>
      <c r="E10" s="249">
        <f>Income!D9</f>
        <v>41866</v>
      </c>
      <c r="F10" s="211" t="e">
        <f ca="1">Proposal!BG10</f>
        <v>#NAME?</v>
      </c>
      <c r="G10" s="220">
        <f>Proposal!J10</f>
        <v>101.194</v>
      </c>
      <c r="H10" s="126">
        <f t="shared" ca="1" si="0"/>
        <v>0</v>
      </c>
      <c r="I10" s="127">
        <f t="shared" ca="1" si="1"/>
        <v>0</v>
      </c>
      <c r="J10" s="127">
        <f t="shared" ca="1" si="2"/>
        <v>0</v>
      </c>
      <c r="K10" s="127">
        <f t="shared" ca="1" si="3"/>
        <v>0</v>
      </c>
      <c r="L10" s="127">
        <f t="shared" ca="1" si="4"/>
        <v>0</v>
      </c>
      <c r="M10" s="127">
        <f t="shared" ca="1" si="5"/>
        <v>0</v>
      </c>
      <c r="N10" s="18"/>
      <c r="O10" s="18"/>
      <c r="P10" s="18"/>
      <c r="Q10" s="18"/>
      <c r="S10" s="195" t="e">
        <f ca="1">MDURATION(BF10,Proposal!BH10,D10,F10,2,0)</f>
        <v>#NAME?</v>
      </c>
      <c r="T10" s="168" t="b">
        <f t="shared" ca="1" si="6"/>
        <v>1</v>
      </c>
      <c r="U10" s="196">
        <f t="shared" si="7"/>
        <v>2425.0000000000005</v>
      </c>
      <c r="V10" s="189"/>
      <c r="W10" s="198" t="e">
        <f ca="1">IF(Proposal!$F10=0,1000,IF(DAYS360(Summary!$B$5,Proposal!$F10)&lt;360,1000,PRICE($BF10+360,Proposal!$F10,$D10,$F10,Proposal!$G10,2,0)))</f>
        <v>#NAME?</v>
      </c>
      <c r="X10" s="194">
        <f>IF(Proposal!$H10=0,1000,IF(DAYS360(Summary!$B$5,Proposal!$H10)&lt;360,1000,PRICE($BF10+360,Proposal!$H10,$D10,$F10,100,2,0)))</f>
        <v>1000</v>
      </c>
      <c r="Y10" s="191" t="e">
        <f ca="1">IF($E10=0,1000,IF(DAYS360(Summary!$B$5,$E10)&lt;360,1000,PRICE($BF10+360,$E10,$D10,$F10,100,2,0)))</f>
        <v>#NAME?</v>
      </c>
      <c r="Z10" s="197" t="e">
        <f t="shared" ca="1" si="8"/>
        <v>#NAME?</v>
      </c>
      <c r="AA10" s="198" t="e">
        <f ca="1">IF(Proposal!$F10=0,1000,IF(DAYS360(Summary!$B$5,Proposal!$F10)&lt;360,1000,PRICE($BF10+360,Proposal!$F10,$D10,$F10+AA$4,Proposal!$G10,2,0)))</f>
        <v>#NAME?</v>
      </c>
      <c r="AB10" s="194">
        <f>IF(Proposal!$H10=0,1000,IF(DAYS360(Summary!$B$5,Proposal!$H10)&lt;360,1000,PRICE($BF10+360,Proposal!$H10,$D10,$F10+AA$4,100,2,0)))</f>
        <v>1000</v>
      </c>
      <c r="AC10" s="191" t="e">
        <f ca="1">IF($E10=0,1000,IF(DAYS360(Summary!$B$5,$E10)&lt;360,1000,PRICE($BF10+360,$E10,$D10,$F10+AA$4,100,2,0)))</f>
        <v>#NAME?</v>
      </c>
      <c r="AD10" s="169" t="e">
        <f t="shared" ca="1" si="9"/>
        <v>#NAME?</v>
      </c>
      <c r="AE10" s="198" t="e">
        <f ca="1">IF(Proposal!$F10=0,1000,IF(DAYS360(Summary!$B$5,Proposal!$F10)&lt;360,1000,PRICE($BF10+360,Proposal!$F10,$D10,$F10+AE$4,Proposal!$G10,2,0)))</f>
        <v>#NAME?</v>
      </c>
      <c r="AF10" s="194">
        <f>IF(Proposal!$H10=0,1000,IF(DAYS360(Summary!$B$5,Proposal!$H10)&lt;360,1000,PRICE($BF10+360,Proposal!$H10,$D10,$F10+AE$4,100,2,0)))</f>
        <v>1000</v>
      </c>
      <c r="AG10" s="191" t="e">
        <f ca="1">IF($E10=0,1000,IF(DAYS360(Summary!$B$5,$E10)&lt;360,1000,PRICE($BF10+360,$E10,$D10,$F10+AE$4,100,2,0)))</f>
        <v>#NAME?</v>
      </c>
      <c r="AH10" s="169" t="e">
        <f t="shared" ca="1" si="10"/>
        <v>#NAME?</v>
      </c>
      <c r="AI10" s="198" t="e">
        <f ca="1">IF(Proposal!$F10=0,1000,IF(DAYS360(Summary!$B$5,Proposal!$F10)&lt;360,1000,PRICE($BF10+360,Proposal!$F10,$D10,$F10+AI$4,Proposal!$G10,2,0)))</f>
        <v>#NAME?</v>
      </c>
      <c r="AJ10" s="194">
        <f>IF(Proposal!$H10=0,1000,IF(DAYS360(Summary!$B$5,Proposal!$H10)&lt;360,1000,PRICE($BF10+360,Proposal!$H10,$D10,$F10+AI$4,100,2,0)))</f>
        <v>1000</v>
      </c>
      <c r="AK10" s="191" t="e">
        <f ca="1">IF($E10=0,1000,IF(DAYS360(Summary!$B$5,$E10)&lt;360,1000,PRICE($BF10+360,$E10,$D10,$F10+AI$4,100,2,0)))</f>
        <v>#NAME?</v>
      </c>
      <c r="AL10" s="169" t="e">
        <f t="shared" ca="1" si="11"/>
        <v>#NAME?</v>
      </c>
      <c r="AM10" s="198" t="e">
        <f ca="1">IF(Proposal!$F10=0,1000,IF(DAYS360(Summary!$B$5,Proposal!$F10)&lt;360,1000,PRICE($BF10+360,Proposal!$F10,$D10,$F10+AM$4,Proposal!$G10,2,0)))</f>
        <v>#NAME?</v>
      </c>
      <c r="AN10" s="194">
        <f>IF(Proposal!$H10=0,1000,IF(DAYS360(Summary!$B$5,Proposal!$H10)&lt;360,1000,PRICE($BF10+360,Proposal!$H10,$D10,$F10+AM$4,100,2,0)))</f>
        <v>1000</v>
      </c>
      <c r="AO10" s="191" t="e">
        <f ca="1">IF($E10=0,1000,IF(DAYS360(Summary!$B$5,$E10)&lt;360,1000,PRICE($BF10+360,$E10,$D10,$F10+AM$4,100,2,0)))</f>
        <v>#NAME?</v>
      </c>
      <c r="AP10" s="169" t="e">
        <f t="shared" ca="1" si="12"/>
        <v>#NAME?</v>
      </c>
      <c r="AQ10" s="168"/>
      <c r="AR10" s="170"/>
      <c r="AS10" s="189">
        <f t="shared" si="13"/>
        <v>50597</v>
      </c>
      <c r="AT10" s="192">
        <f t="shared" si="14"/>
        <v>9.8051010245801349E-3</v>
      </c>
      <c r="AU10" s="193">
        <f t="shared" si="15"/>
        <v>8463.9249380427191</v>
      </c>
      <c r="AV10" s="193" t="e">
        <f t="shared" ca="1" si="17"/>
        <v>#NAME?</v>
      </c>
      <c r="AW10" s="193">
        <f>AS10*Proposal!M10/AS$29</f>
        <v>9.6894094754433405E-3</v>
      </c>
      <c r="AX10" s="194">
        <f t="shared" ca="1" si="22"/>
        <v>0</v>
      </c>
      <c r="AY10" s="168">
        <f t="shared" ca="1" si="16"/>
        <v>0</v>
      </c>
      <c r="AZ10" s="168">
        <f t="shared" ca="1" si="18"/>
        <v>0</v>
      </c>
      <c r="BA10" s="168">
        <f t="shared" ca="1" si="19"/>
        <v>0</v>
      </c>
      <c r="BB10" s="168">
        <f t="shared" ca="1" si="20"/>
        <v>0</v>
      </c>
      <c r="BC10" s="168">
        <f t="shared" ca="1" si="21"/>
        <v>0</v>
      </c>
      <c r="BD10" s="168"/>
      <c r="BE10" s="209">
        <f>Enter!B6</f>
        <v>37026</v>
      </c>
      <c r="BF10" s="209">
        <f>Enter!C6</f>
        <v>37061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50</v>
      </c>
      <c r="B11" s="18" t="str">
        <f>Proposal!B11</f>
        <v>AAA/AAA</v>
      </c>
      <c r="C11" s="42" t="str">
        <f>Proposal!C11</f>
        <v>HARRIS CO TX MUD#359</v>
      </c>
      <c r="D11" s="161">
        <f>Proposal!D11</f>
        <v>4.3749999999999997E-2</v>
      </c>
      <c r="E11" s="249">
        <f>Income!D10</f>
        <v>42156</v>
      </c>
      <c r="F11" s="211" t="e">
        <f ca="1">Proposal!BG11</f>
        <v>#NAME?</v>
      </c>
      <c r="G11" s="220">
        <f>Proposal!J11</f>
        <v>94.731999999999999</v>
      </c>
      <c r="H11" s="126">
        <f t="shared" ca="1" si="0"/>
        <v>0</v>
      </c>
      <c r="I11" s="127">
        <f t="shared" ca="1" si="1"/>
        <v>0</v>
      </c>
      <c r="J11" s="127">
        <f t="shared" ca="1" si="2"/>
        <v>0</v>
      </c>
      <c r="K11" s="127">
        <f t="shared" ca="1" si="3"/>
        <v>0</v>
      </c>
      <c r="L11" s="127">
        <f t="shared" ca="1" si="4"/>
        <v>0</v>
      </c>
      <c r="M11" s="127">
        <f t="shared" ca="1" si="5"/>
        <v>0</v>
      </c>
      <c r="N11" s="18"/>
      <c r="O11" s="18"/>
      <c r="P11" s="18"/>
      <c r="Q11" s="18"/>
      <c r="S11" s="195" t="e">
        <f ca="1">MDURATION(BF11,Proposal!BH11,D11,F11,2,0)</f>
        <v>#NAME?</v>
      </c>
      <c r="T11" s="168" t="b">
        <f t="shared" ca="1" si="6"/>
        <v>1</v>
      </c>
      <c r="U11" s="196">
        <f t="shared" si="7"/>
        <v>2187.5</v>
      </c>
      <c r="V11" s="189"/>
      <c r="W11" s="198" t="e">
        <f ca="1">IF(Proposal!$F11=0,1000,IF(DAYS360(Summary!$B$5,Proposal!$F11)&lt;360,1000,PRICE($BF11+360,Proposal!$F11,$D11,$F11,Proposal!$G11,2,0)))</f>
        <v>#NAME?</v>
      </c>
      <c r="X11" s="194">
        <f>IF(Proposal!$H11=0,1000,IF(DAYS360(Summary!$B$5,Proposal!$H11)&lt;360,1000,PRICE($BF11+360,Proposal!$H11,$D11,$F11,100,2,0)))</f>
        <v>1000</v>
      </c>
      <c r="Y11" s="191" t="e">
        <f ca="1">IF($E11=0,1000,IF(DAYS360(Summary!$B$5,$E11)&lt;360,1000,PRICE($BF11+360,$E11,$D11,$F11,100,2,0)))</f>
        <v>#NAME?</v>
      </c>
      <c r="Z11" s="197" t="e">
        <f t="shared" ca="1" si="8"/>
        <v>#NAME?</v>
      </c>
      <c r="AA11" s="198" t="e">
        <f ca="1">IF(Proposal!$F11=0,1000,IF(DAYS360(Summary!$B$5,Proposal!$F11)&lt;360,1000,PRICE($BF11+360,Proposal!$F11,$D11,$F11+AA$4,Proposal!$G11,2,0)))</f>
        <v>#NAME?</v>
      </c>
      <c r="AB11" s="194">
        <f>IF(Proposal!$H11=0,1000,IF(DAYS360(Summary!$B$5,Proposal!$H11)&lt;360,1000,PRICE($BF11+360,Proposal!$H11,$D11,$F11+AA$4,100,2,0)))</f>
        <v>1000</v>
      </c>
      <c r="AC11" s="191" t="e">
        <f ca="1">IF($E11=0,1000,IF(DAYS360(Summary!$B$5,$E11)&lt;360,1000,PRICE($BF11+360,$E11,$D11,$F11+AA$4,100,2,0)))</f>
        <v>#NAME?</v>
      </c>
      <c r="AD11" s="169" t="e">
        <f t="shared" ca="1" si="9"/>
        <v>#NAME?</v>
      </c>
      <c r="AE11" s="198" t="e">
        <f ca="1">IF(Proposal!$F11=0,1000,IF(DAYS360(Summary!$B$5,Proposal!$F11)&lt;360,1000,PRICE($BF11+360,Proposal!$F11,$D11,$F11+AE$4,Proposal!$G11,2,0)))</f>
        <v>#NAME?</v>
      </c>
      <c r="AF11" s="194">
        <f>IF(Proposal!$H11=0,1000,IF(DAYS360(Summary!$B$5,Proposal!$H11)&lt;360,1000,PRICE($BF11+360,Proposal!$H11,$D11,$F11+AE$4,100,2,0)))</f>
        <v>1000</v>
      </c>
      <c r="AG11" s="191" t="e">
        <f ca="1">IF($E11=0,1000,IF(DAYS360(Summary!$B$5,$E11)&lt;360,1000,PRICE($BF11+360,$E11,$D11,$F11+AE$4,100,2,0)))</f>
        <v>#NAME?</v>
      </c>
      <c r="AH11" s="169" t="e">
        <f t="shared" ca="1" si="10"/>
        <v>#NAME?</v>
      </c>
      <c r="AI11" s="198" t="e">
        <f ca="1">IF(Proposal!$F11=0,1000,IF(DAYS360(Summary!$B$5,Proposal!$F11)&lt;360,1000,PRICE($BF11+360,Proposal!$F11,$D11,$F11+AI$4,Proposal!$G11,2,0)))</f>
        <v>#NAME?</v>
      </c>
      <c r="AJ11" s="194">
        <f>IF(Proposal!$H11=0,1000,IF(DAYS360(Summary!$B$5,Proposal!$H11)&lt;360,1000,PRICE($BF11+360,Proposal!$H11,$D11,$F11+AI$4,100,2,0)))</f>
        <v>1000</v>
      </c>
      <c r="AK11" s="191" t="e">
        <f ca="1">IF($E11=0,1000,IF(DAYS360(Summary!$B$5,$E11)&lt;360,1000,PRICE($BF11+360,$E11,$D11,$F11+AI$4,100,2,0)))</f>
        <v>#NAME?</v>
      </c>
      <c r="AL11" s="169" t="e">
        <f t="shared" ca="1" si="11"/>
        <v>#NAME?</v>
      </c>
      <c r="AM11" s="198" t="e">
        <f ca="1">IF(Proposal!$F11=0,1000,IF(DAYS360(Summary!$B$5,Proposal!$F11)&lt;360,1000,PRICE($BF11+360,Proposal!$F11,$D11,$F11+AM$4,Proposal!$G11,2,0)))</f>
        <v>#NAME?</v>
      </c>
      <c r="AN11" s="194">
        <f>IF(Proposal!$H11=0,1000,IF(DAYS360(Summary!$B$5,Proposal!$H11)&lt;360,1000,PRICE($BF11+360,Proposal!$H11,$D11,$F11+AM$4,100,2,0)))</f>
        <v>1000</v>
      </c>
      <c r="AO11" s="191" t="e">
        <f ca="1">IF($E11=0,1000,IF(DAYS360(Summary!$B$5,$E11)&lt;360,1000,PRICE($BF11+360,$E11,$D11,$F11+AM$4,100,2,0)))</f>
        <v>#NAME?</v>
      </c>
      <c r="AP11" s="169" t="e">
        <f t="shared" ca="1" si="12"/>
        <v>#NAME?</v>
      </c>
      <c r="AQ11" s="168"/>
      <c r="AR11" s="170"/>
      <c r="AS11" s="189">
        <f t="shared" si="13"/>
        <v>47366</v>
      </c>
      <c r="AT11" s="192">
        <f t="shared" si="14"/>
        <v>8.279999960043671E-3</v>
      </c>
      <c r="AU11" s="193">
        <f t="shared" si="15"/>
        <v>7978.3240757851672</v>
      </c>
      <c r="AV11" s="193" t="e">
        <f t="shared" ca="1" si="17"/>
        <v>#NAME?</v>
      </c>
      <c r="AW11" s="193">
        <f>AS11*Proposal!M11/AS$29</f>
        <v>8.7404466917659004E-3</v>
      </c>
      <c r="AX11" s="194">
        <f t="shared" ca="1" si="22"/>
        <v>0</v>
      </c>
      <c r="AY11" s="168">
        <f t="shared" ca="1" si="16"/>
        <v>0</v>
      </c>
      <c r="AZ11" s="168">
        <f t="shared" ca="1" si="18"/>
        <v>0</v>
      </c>
      <c r="BA11" s="168">
        <f t="shared" ca="1" si="19"/>
        <v>0</v>
      </c>
      <c r="BB11" s="168">
        <f t="shared" ca="1" si="20"/>
        <v>0</v>
      </c>
      <c r="BC11" s="168">
        <f t="shared" ca="1" si="21"/>
        <v>0</v>
      </c>
      <c r="BD11" s="168"/>
      <c r="BE11" s="209">
        <f>Enter!B7</f>
        <v>36100</v>
      </c>
      <c r="BF11" s="209">
        <f>Enter!C7</f>
        <v>37054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25</v>
      </c>
      <c r="B12" s="18" t="str">
        <f>Proposal!B12</f>
        <v>AAA/AAA</v>
      </c>
      <c r="C12" s="42" t="str">
        <f>Proposal!C12</f>
        <v>FLOWER MOUND TX W/S</v>
      </c>
      <c r="D12" s="161">
        <f>Proposal!D12</f>
        <v>5.5E-2</v>
      </c>
      <c r="E12" s="249">
        <f>Income!D11</f>
        <v>42248</v>
      </c>
      <c r="F12" s="211" t="e">
        <f ca="1">Proposal!BG12</f>
        <v>#NAME?</v>
      </c>
      <c r="G12" s="220">
        <f>Proposal!J12</f>
        <v>105.04600000000001</v>
      </c>
      <c r="H12" s="126">
        <f t="shared" ca="1" si="0"/>
        <v>0</v>
      </c>
      <c r="I12" s="127">
        <f t="shared" ca="1" si="1"/>
        <v>0</v>
      </c>
      <c r="J12" s="127">
        <f t="shared" ca="1" si="2"/>
        <v>0</v>
      </c>
      <c r="K12" s="127">
        <f t="shared" ca="1" si="3"/>
        <v>0</v>
      </c>
      <c r="L12" s="127">
        <f t="shared" ca="1" si="4"/>
        <v>0</v>
      </c>
      <c r="M12" s="127">
        <f t="shared" ca="1" si="5"/>
        <v>0</v>
      </c>
      <c r="N12" s="18"/>
      <c r="O12" s="18"/>
      <c r="P12" s="18"/>
      <c r="Q12" s="18"/>
      <c r="S12" s="195" t="e">
        <f ca="1">MDURATION(BF12,Proposal!BH12,D12,F12,2,0)</f>
        <v>#NAME?</v>
      </c>
      <c r="T12" s="168" t="b">
        <f t="shared" ca="1" si="6"/>
        <v>1</v>
      </c>
      <c r="U12" s="196">
        <f t="shared" si="7"/>
        <v>1375</v>
      </c>
      <c r="V12" s="189"/>
      <c r="W12" s="198" t="e">
        <f ca="1">IF(Proposal!$F12=0,1000,IF(DAYS360(Summary!$B$5,Proposal!$F12)&lt;360,1000,PRICE($BF12+360,Proposal!$F12,$D12,$F12,Proposal!$G12,2,0)))</f>
        <v>#NAME?</v>
      </c>
      <c r="X12" s="194">
        <f>IF(Proposal!$H12=0,1000,IF(DAYS360(Summary!$B$5,Proposal!$H12)&lt;360,1000,PRICE($BF12+360,Proposal!$H12,$D12,$F12,100,2,0)))</f>
        <v>1000</v>
      </c>
      <c r="Y12" s="191" t="e">
        <f ca="1">IF($E12=0,1000,IF(DAYS360(Summary!$B$5,$E12)&lt;360,1000,PRICE($BF12+360,$E12,$D12,$F12,100,2,0)))</f>
        <v>#NAME?</v>
      </c>
      <c r="Z12" s="197" t="e">
        <f t="shared" ca="1" si="8"/>
        <v>#NAME?</v>
      </c>
      <c r="AA12" s="198" t="e">
        <f ca="1">IF(Proposal!$F12=0,1000,IF(DAYS360(Summary!$B$5,Proposal!$F12)&lt;360,1000,PRICE($BF12+360,Proposal!$F12,$D12,$F12+AA$4,Proposal!$G12,2,0)))</f>
        <v>#NAME?</v>
      </c>
      <c r="AB12" s="194">
        <f>IF(Proposal!$H12=0,1000,IF(DAYS360(Summary!$B$5,Proposal!$H12)&lt;360,1000,PRICE($BF12+360,Proposal!$H12,$D12,$F12+AA$4,100,2,0)))</f>
        <v>1000</v>
      </c>
      <c r="AC12" s="191" t="e">
        <f ca="1">IF($E12=0,1000,IF(DAYS360(Summary!$B$5,$E12)&lt;360,1000,PRICE($BF12+360,$E12,$D12,$F12+AA$4,100,2,0)))</f>
        <v>#NAME?</v>
      </c>
      <c r="AD12" s="169" t="e">
        <f t="shared" ca="1" si="9"/>
        <v>#NAME?</v>
      </c>
      <c r="AE12" s="198" t="e">
        <f ca="1">IF(Proposal!$F12=0,1000,IF(DAYS360(Summary!$B$5,Proposal!$F12)&lt;360,1000,PRICE($BF12+360,Proposal!$F12,$D12,$F12+AE$4,Proposal!$G12,2,0)))</f>
        <v>#NAME?</v>
      </c>
      <c r="AF12" s="194">
        <f>IF(Proposal!$H12=0,1000,IF(DAYS360(Summary!$B$5,Proposal!$H12)&lt;360,1000,PRICE($BF12+360,Proposal!$H12,$D12,$F12+AE$4,100,2,0)))</f>
        <v>1000</v>
      </c>
      <c r="AG12" s="191" t="e">
        <f ca="1">IF($E12=0,1000,IF(DAYS360(Summary!$B$5,$E12)&lt;360,1000,PRICE($BF12+360,$E12,$D12,$F12+AE$4,100,2,0)))</f>
        <v>#NAME?</v>
      </c>
      <c r="AH12" s="169" t="e">
        <f t="shared" ca="1" si="10"/>
        <v>#NAME?</v>
      </c>
      <c r="AI12" s="198" t="e">
        <f ca="1">IF(Proposal!$F12=0,1000,IF(DAYS360(Summary!$B$5,Proposal!$F12)&lt;360,1000,PRICE($BF12+360,Proposal!$F12,$D12,$F12+AI$4,Proposal!$G12,2,0)))</f>
        <v>#NAME?</v>
      </c>
      <c r="AJ12" s="194">
        <f>IF(Proposal!$H12=0,1000,IF(DAYS360(Summary!$B$5,Proposal!$H12)&lt;360,1000,PRICE($BF12+360,Proposal!$H12,$D12,$F12+AI$4,100,2,0)))</f>
        <v>1000</v>
      </c>
      <c r="AK12" s="191" t="e">
        <f ca="1">IF($E12=0,1000,IF(DAYS360(Summary!$B$5,$E12)&lt;360,1000,PRICE($BF12+360,$E12,$D12,$F12+AI$4,100,2,0)))</f>
        <v>#NAME?</v>
      </c>
      <c r="AL12" s="169" t="e">
        <f t="shared" ca="1" si="11"/>
        <v>#NAME?</v>
      </c>
      <c r="AM12" s="198" t="e">
        <f ca="1">IF(Proposal!$F12=0,1000,IF(DAYS360(Summary!$B$5,Proposal!$F12)&lt;360,1000,PRICE($BF12+360,Proposal!$F12,$D12,$F12+AM$4,Proposal!$G12,2,0)))</f>
        <v>#NAME?</v>
      </c>
      <c r="AN12" s="194">
        <f>IF(Proposal!$H12=0,1000,IF(DAYS360(Summary!$B$5,Proposal!$H12)&lt;360,1000,PRICE($BF12+360,Proposal!$H12,$D12,$F12+AM$4,100,2,0)))</f>
        <v>1000</v>
      </c>
      <c r="AO12" s="191" t="e">
        <f ca="1">IF($E12=0,1000,IF(DAYS360(Summary!$B$5,$E12)&lt;360,1000,PRICE($BF12+360,$E12,$D12,$F12+AM$4,100,2,0)))</f>
        <v>#NAME?</v>
      </c>
      <c r="AP12" s="169" t="e">
        <f t="shared" ca="1" si="12"/>
        <v>#NAME?</v>
      </c>
      <c r="AQ12" s="168"/>
      <c r="AR12" s="170"/>
      <c r="AS12" s="189">
        <f t="shared" si="13"/>
        <v>26261.5</v>
      </c>
      <c r="AT12" s="192">
        <f t="shared" si="14"/>
        <v>5.7712220542946559E-3</v>
      </c>
      <c r="AU12" s="193">
        <f t="shared" si="15"/>
        <v>4433.1379881789208</v>
      </c>
      <c r="AV12" s="193" t="e">
        <f t="shared" ca="1" si="17"/>
        <v>#NAME?</v>
      </c>
      <c r="AW12" s="193">
        <f>AS12*Proposal!M12/AS$29</f>
        <v>5.4939950633957077E-3</v>
      </c>
      <c r="AX12" s="194">
        <f t="shared" ca="1" si="22"/>
        <v>0</v>
      </c>
      <c r="AY12" s="168">
        <f t="shared" ca="1" si="16"/>
        <v>0</v>
      </c>
      <c r="AZ12" s="168">
        <f t="shared" ca="1" si="18"/>
        <v>0</v>
      </c>
      <c r="BA12" s="168">
        <f t="shared" ca="1" si="19"/>
        <v>0</v>
      </c>
      <c r="BB12" s="168">
        <f t="shared" ca="1" si="20"/>
        <v>0</v>
      </c>
      <c r="BC12" s="168">
        <f t="shared" ca="1" si="21"/>
        <v>0</v>
      </c>
      <c r="BD12" s="168"/>
      <c r="BE12" s="209">
        <f>Enter!B8</f>
        <v>36404</v>
      </c>
      <c r="BF12" s="209">
        <f>Enter!C8</f>
        <v>37054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0</v>
      </c>
      <c r="B13" s="18">
        <f>Proposal!B13</f>
        <v>0</v>
      </c>
      <c r="C13" s="42">
        <f>Proposal!C13</f>
        <v>0</v>
      </c>
      <c r="D13" s="161">
        <f>Proposal!D13</f>
        <v>0</v>
      </c>
      <c r="E13" s="249">
        <f>Income!D12</f>
        <v>0</v>
      </c>
      <c r="F13" s="211">
        <f>Proposal!BG13</f>
        <v>0</v>
      </c>
      <c r="G13" s="220">
        <f>Proposal!J13</f>
        <v>0</v>
      </c>
      <c r="H13" s="126">
        <f t="shared" ca="1" si="0"/>
        <v>0</v>
      </c>
      <c r="I13" s="127">
        <f t="shared" ca="1" si="1"/>
        <v>0</v>
      </c>
      <c r="J13" s="127">
        <f t="shared" ca="1" si="2"/>
        <v>0</v>
      </c>
      <c r="K13" s="127">
        <f t="shared" ca="1" si="3"/>
        <v>0</v>
      </c>
      <c r="L13" s="127">
        <f t="shared" ca="1" si="4"/>
        <v>0</v>
      </c>
      <c r="M13" s="127">
        <f t="shared" ca="1" si="5"/>
        <v>0</v>
      </c>
      <c r="N13" s="18"/>
      <c r="O13" s="18"/>
      <c r="P13" s="18"/>
      <c r="Q13" s="18"/>
      <c r="S13" s="195" t="e">
        <f ca="1">MDURATION(BF13,Proposal!BH13,D13,F13,2,0)</f>
        <v>#NAME?</v>
      </c>
      <c r="T13" s="168" t="b">
        <f t="shared" ca="1" si="6"/>
        <v>1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>IF($E13=0,1000,IF(DAYS360(Summary!$B$5,$E13)&lt;360,1000,PRICE($BF13+360,$E13,$D13,$F13,100,2,0)))</f>
        <v>1000</v>
      </c>
      <c r="Z13" s="197">
        <f t="shared" si="8"/>
        <v>0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>IF($E13=0,1000,IF(DAYS360(Summary!$B$5,$E13)&lt;360,1000,PRICE($BF13+360,$E13,$D13,$F13+AA$4,100,2,0)))</f>
        <v>1000</v>
      </c>
      <c r="AD13" s="169">
        <f t="shared" si="9"/>
        <v>0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>IF($E13=0,1000,IF(DAYS360(Summary!$B$5,$E13)&lt;360,1000,PRICE($BF13+360,$E13,$D13,$F13+AE$4,100,2,0)))</f>
        <v>1000</v>
      </c>
      <c r="AH13" s="169">
        <f t="shared" si="10"/>
        <v>0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>IF($E13=0,1000,IF(DAYS360(Summary!$B$5,$E13)&lt;360,1000,PRICE($BF13+360,$E13,$D13,$F13+AI$4,100,2,0)))</f>
        <v>1000</v>
      </c>
      <c r="AL13" s="169">
        <f t="shared" si="11"/>
        <v>0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>IF($E13=0,1000,IF(DAYS360(Summary!$B$5,$E13)&lt;360,1000,PRICE($BF13+360,$E13,$D13,$F13+AM$4,100,2,0)))</f>
        <v>1000</v>
      </c>
      <c r="AP13" s="169">
        <f t="shared" si="12"/>
        <v>0</v>
      </c>
      <c r="AQ13" s="168"/>
      <c r="AR13" s="170"/>
      <c r="AS13" s="189">
        <f t="shared" si="13"/>
        <v>0</v>
      </c>
      <c r="AT13" s="192">
        <f t="shared" si="14"/>
        <v>0</v>
      </c>
      <c r="AU13" s="193">
        <f t="shared" si="15"/>
        <v>0</v>
      </c>
      <c r="AV13" s="193">
        <f t="shared" si="17"/>
        <v>0</v>
      </c>
      <c r="AW13" s="193">
        <f>AS13*Proposal!M13/AS$29</f>
        <v>0</v>
      </c>
      <c r="AX13" s="194">
        <f t="shared" ca="1" si="22"/>
        <v>0</v>
      </c>
      <c r="AY13" s="168">
        <f t="shared" ca="1" si="16"/>
        <v>0</v>
      </c>
      <c r="AZ13" s="168">
        <f t="shared" ca="1" si="18"/>
        <v>0</v>
      </c>
      <c r="BA13" s="168">
        <f t="shared" ca="1" si="19"/>
        <v>0</v>
      </c>
      <c r="BB13" s="168">
        <f t="shared" ca="1" si="20"/>
        <v>0</v>
      </c>
      <c r="BC13" s="168">
        <f t="shared" ca="1" si="21"/>
        <v>0</v>
      </c>
      <c r="BD13" s="168"/>
      <c r="BE13" s="209">
        <f>Enter!B9</f>
        <v>0</v>
      </c>
      <c r="BF13" s="209">
        <f>Enter!C9</f>
        <v>0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ca="1" si="0"/>
        <v>0</v>
      </c>
      <c r="I14" s="127">
        <f t="shared" ca="1" si="1"/>
        <v>0</v>
      </c>
      <c r="J14" s="127">
        <f t="shared" ca="1" si="2"/>
        <v>0</v>
      </c>
      <c r="K14" s="127">
        <f t="shared" ca="1" si="3"/>
        <v>0</v>
      </c>
      <c r="L14" s="127">
        <f t="shared" ca="1" si="4"/>
        <v>0</v>
      </c>
      <c r="M14" s="127">
        <f t="shared" ca="1" si="5"/>
        <v>0</v>
      </c>
      <c r="N14" s="18"/>
      <c r="O14" s="18"/>
      <c r="P14" s="18"/>
      <c r="Q14" s="18"/>
      <c r="S14" s="195" t="e">
        <f ca="1">MDURATION(BF14,Proposal!BH14,D14,F14,2,0)</f>
        <v>#NAME?</v>
      </c>
      <c r="T14" s="168" t="b">
        <f t="shared" ca="1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ca="1" si="22"/>
        <v>0</v>
      </c>
      <c r="AY14" s="168">
        <f t="shared" ca="1" si="16"/>
        <v>0</v>
      </c>
      <c r="AZ14" s="168">
        <f t="shared" ca="1" si="18"/>
        <v>0</v>
      </c>
      <c r="BA14" s="168">
        <f t="shared" ca="1" si="19"/>
        <v>0</v>
      </c>
      <c r="BB14" s="168">
        <f t="shared" ca="1" si="20"/>
        <v>0</v>
      </c>
      <c r="BC14" s="168">
        <f t="shared" ca="1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ca="1" si="0"/>
        <v>0</v>
      </c>
      <c r="I15" s="127">
        <f t="shared" ca="1" si="1"/>
        <v>0</v>
      </c>
      <c r="J15" s="127">
        <f t="shared" ca="1" si="2"/>
        <v>0</v>
      </c>
      <c r="K15" s="127">
        <f t="shared" ca="1" si="3"/>
        <v>0</v>
      </c>
      <c r="L15" s="127">
        <f t="shared" ca="1" si="4"/>
        <v>0</v>
      </c>
      <c r="M15" s="127">
        <f t="shared" ca="1" si="5"/>
        <v>0</v>
      </c>
      <c r="N15" s="18"/>
      <c r="O15" s="18"/>
      <c r="P15" s="18"/>
      <c r="Q15" s="18"/>
      <c r="S15" s="195" t="e">
        <f ca="1">MDURATION(BF15,Proposal!BH15,D15,F15,2,0)</f>
        <v>#NAME?</v>
      </c>
      <c r="T15" s="168" t="b">
        <f t="shared" ca="1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ca="1" si="22"/>
        <v>0</v>
      </c>
      <c r="AY15" s="168">
        <f t="shared" ca="1" si="16"/>
        <v>0</v>
      </c>
      <c r="AZ15" s="168">
        <f t="shared" ca="1" si="18"/>
        <v>0</v>
      </c>
      <c r="BA15" s="168">
        <f t="shared" ca="1" si="19"/>
        <v>0</v>
      </c>
      <c r="BB15" s="168">
        <f t="shared" ca="1" si="20"/>
        <v>0</v>
      </c>
      <c r="BC15" s="168">
        <f t="shared" ca="1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ca="1" si="0"/>
        <v>0</v>
      </c>
      <c r="I16" s="127">
        <f t="shared" ca="1" si="1"/>
        <v>0</v>
      </c>
      <c r="J16" s="127">
        <f t="shared" ca="1" si="2"/>
        <v>0</v>
      </c>
      <c r="K16" s="127">
        <f t="shared" ca="1" si="3"/>
        <v>0</v>
      </c>
      <c r="L16" s="127">
        <f t="shared" ca="1" si="4"/>
        <v>0</v>
      </c>
      <c r="M16" s="127">
        <f t="shared" ca="1" si="5"/>
        <v>0</v>
      </c>
      <c r="N16" s="18"/>
      <c r="O16" s="18"/>
      <c r="P16" s="18"/>
      <c r="Q16" s="18"/>
      <c r="S16" s="195" t="e">
        <f ca="1">MDURATION(BF16,Proposal!BH16,D16,F16,2,0)</f>
        <v>#NAME?</v>
      </c>
      <c r="T16" s="168" t="b">
        <f t="shared" ca="1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ca="1" si="22"/>
        <v>0</v>
      </c>
      <c r="AY16" s="168">
        <f t="shared" ca="1" si="16"/>
        <v>0</v>
      </c>
      <c r="AZ16" s="168">
        <f t="shared" ca="1" si="18"/>
        <v>0</v>
      </c>
      <c r="BA16" s="168">
        <f t="shared" ca="1" si="19"/>
        <v>0</v>
      </c>
      <c r="BB16" s="168">
        <f t="shared" ca="1" si="20"/>
        <v>0</v>
      </c>
      <c r="BC16" s="168">
        <f t="shared" ca="1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ca="1" si="0"/>
        <v>0</v>
      </c>
      <c r="I17" s="127">
        <f t="shared" ca="1" si="1"/>
        <v>0</v>
      </c>
      <c r="J17" s="127">
        <f t="shared" ca="1" si="2"/>
        <v>0</v>
      </c>
      <c r="K17" s="127">
        <f t="shared" ca="1" si="3"/>
        <v>0</v>
      </c>
      <c r="L17" s="127">
        <f t="shared" ca="1" si="4"/>
        <v>0</v>
      </c>
      <c r="M17" s="127">
        <f t="shared" ca="1" si="5"/>
        <v>0</v>
      </c>
      <c r="N17" s="18"/>
      <c r="O17" s="18"/>
      <c r="P17" s="18"/>
      <c r="Q17" s="18"/>
      <c r="S17" s="195" t="e">
        <f ca="1">MDURATION(BF17,Proposal!BH17,D17,F17,2,0)</f>
        <v>#NAME?</v>
      </c>
      <c r="T17" s="168" t="b">
        <f t="shared" ca="1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ca="1" si="22"/>
        <v>0</v>
      </c>
      <c r="AY17" s="168">
        <f t="shared" ca="1" si="16"/>
        <v>0</v>
      </c>
      <c r="AZ17" s="168">
        <f t="shared" ca="1" si="18"/>
        <v>0</v>
      </c>
      <c r="BA17" s="168">
        <f t="shared" ca="1" si="19"/>
        <v>0</v>
      </c>
      <c r="BB17" s="168">
        <f t="shared" ca="1" si="20"/>
        <v>0</v>
      </c>
      <c r="BC17" s="168">
        <f t="shared" ca="1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ca="1" si="0"/>
        <v>0</v>
      </c>
      <c r="I18" s="127">
        <f t="shared" ca="1" si="1"/>
        <v>0</v>
      </c>
      <c r="J18" s="127">
        <f t="shared" ca="1" si="2"/>
        <v>0</v>
      </c>
      <c r="K18" s="127">
        <f t="shared" ca="1" si="3"/>
        <v>0</v>
      </c>
      <c r="L18" s="127">
        <f t="shared" ca="1" si="4"/>
        <v>0</v>
      </c>
      <c r="M18" s="127">
        <f t="shared" ca="1" si="5"/>
        <v>0</v>
      </c>
      <c r="N18" s="18"/>
      <c r="O18" s="18"/>
      <c r="P18" s="18"/>
      <c r="Q18" s="18"/>
      <c r="S18" s="195" t="e">
        <f ca="1">MDURATION(BF18,Proposal!BH18,D18,F18,2,0)</f>
        <v>#NAME?</v>
      </c>
      <c r="T18" s="168" t="b">
        <f t="shared" ca="1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ca="1" si="22"/>
        <v>0</v>
      </c>
      <c r="AY18" s="168">
        <f t="shared" ca="1" si="16"/>
        <v>0</v>
      </c>
      <c r="AZ18" s="168">
        <f t="shared" ca="1" si="18"/>
        <v>0</v>
      </c>
      <c r="BA18" s="168">
        <f t="shared" ca="1" si="19"/>
        <v>0</v>
      </c>
      <c r="BB18" s="168">
        <f t="shared" ca="1" si="20"/>
        <v>0</v>
      </c>
      <c r="BC18" s="168">
        <f t="shared" ca="1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ca="1" si="0"/>
        <v>0</v>
      </c>
      <c r="I19" s="127">
        <f t="shared" ca="1" si="1"/>
        <v>0</v>
      </c>
      <c r="J19" s="127">
        <f t="shared" ca="1" si="2"/>
        <v>0</v>
      </c>
      <c r="K19" s="127">
        <f t="shared" ca="1" si="3"/>
        <v>0</v>
      </c>
      <c r="L19" s="127">
        <f t="shared" ca="1" si="4"/>
        <v>0</v>
      </c>
      <c r="M19" s="127">
        <f t="shared" ca="1" si="5"/>
        <v>0</v>
      </c>
      <c r="N19" s="18"/>
      <c r="O19" s="18"/>
      <c r="P19" s="18"/>
      <c r="Q19" s="18"/>
      <c r="S19" s="195" t="e">
        <f ca="1">MDURATION(BF19,Proposal!BH19,D19,F19,2,0)</f>
        <v>#NAME?</v>
      </c>
      <c r="T19" s="168" t="b">
        <f t="shared" ca="1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ca="1" si="22"/>
        <v>0</v>
      </c>
      <c r="AY19" s="168">
        <f t="shared" ca="1" si="16"/>
        <v>0</v>
      </c>
      <c r="AZ19" s="168">
        <f t="shared" ca="1" si="18"/>
        <v>0</v>
      </c>
      <c r="BA19" s="168">
        <f t="shared" ca="1" si="19"/>
        <v>0</v>
      </c>
      <c r="BB19" s="168">
        <f t="shared" ca="1" si="20"/>
        <v>0</v>
      </c>
      <c r="BC19" s="168">
        <f t="shared" ca="1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ca="1" si="0"/>
        <v>0</v>
      </c>
      <c r="I20" s="127">
        <f t="shared" ca="1" si="1"/>
        <v>0</v>
      </c>
      <c r="J20" s="127">
        <f t="shared" ca="1" si="2"/>
        <v>0</v>
      </c>
      <c r="K20" s="127">
        <f t="shared" ca="1" si="3"/>
        <v>0</v>
      </c>
      <c r="L20" s="127">
        <f t="shared" ca="1" si="4"/>
        <v>0</v>
      </c>
      <c r="M20" s="127">
        <f t="shared" ca="1" si="5"/>
        <v>0</v>
      </c>
      <c r="N20" s="18"/>
      <c r="O20" s="18"/>
      <c r="P20" s="18"/>
      <c r="Q20" s="18"/>
      <c r="S20" s="195" t="e">
        <f ca="1">MDURATION(BF20,Proposal!BH20,D20,F20,2,0)</f>
        <v>#NAME?</v>
      </c>
      <c r="T20" s="168" t="b">
        <f t="shared" ca="1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ca="1" si="22"/>
        <v>0</v>
      </c>
      <c r="AY20" s="168">
        <f t="shared" ca="1" si="16"/>
        <v>0</v>
      </c>
      <c r="AZ20" s="168">
        <f t="shared" ca="1" si="18"/>
        <v>0</v>
      </c>
      <c r="BA20" s="168">
        <f t="shared" ca="1" si="19"/>
        <v>0</v>
      </c>
      <c r="BB20" s="168">
        <f t="shared" ca="1" si="20"/>
        <v>0</v>
      </c>
      <c r="BC20" s="168">
        <f t="shared" ca="1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ca="1" si="0"/>
        <v>0</v>
      </c>
      <c r="I21" s="127">
        <f t="shared" ca="1" si="1"/>
        <v>0</v>
      </c>
      <c r="J21" s="127">
        <f t="shared" ca="1" si="2"/>
        <v>0</v>
      </c>
      <c r="K21" s="127">
        <f t="shared" ca="1" si="3"/>
        <v>0</v>
      </c>
      <c r="L21" s="127">
        <f t="shared" ca="1" si="4"/>
        <v>0</v>
      </c>
      <c r="M21" s="127">
        <f t="shared" ca="1" si="5"/>
        <v>0</v>
      </c>
      <c r="N21" s="18"/>
      <c r="O21" s="18"/>
      <c r="P21" s="18"/>
      <c r="Q21" s="18"/>
      <c r="S21" s="195" t="e">
        <f ca="1">MDURATION(BF21,Proposal!BH21,D21,F21,2,0)</f>
        <v>#NAME?</v>
      </c>
      <c r="T21" s="168" t="b">
        <f t="shared" ca="1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ca="1" si="22"/>
        <v>0</v>
      </c>
      <c r="AY21" s="168">
        <f t="shared" ca="1" si="16"/>
        <v>0</v>
      </c>
      <c r="AZ21" s="168">
        <f t="shared" ca="1" si="18"/>
        <v>0</v>
      </c>
      <c r="BA21" s="168">
        <f t="shared" ca="1" si="19"/>
        <v>0</v>
      </c>
      <c r="BB21" s="168">
        <f t="shared" ca="1" si="20"/>
        <v>0</v>
      </c>
      <c r="BC21" s="168">
        <f t="shared" ca="1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ca="1" si="0"/>
        <v>0</v>
      </c>
      <c r="I22" s="127">
        <f t="shared" ca="1" si="1"/>
        <v>0</v>
      </c>
      <c r="J22" s="127">
        <f t="shared" ca="1" si="2"/>
        <v>0</v>
      </c>
      <c r="K22" s="127">
        <f t="shared" ca="1" si="3"/>
        <v>0</v>
      </c>
      <c r="L22" s="127">
        <f t="shared" ca="1" si="4"/>
        <v>0</v>
      </c>
      <c r="M22" s="127">
        <f t="shared" ca="1" si="5"/>
        <v>0</v>
      </c>
      <c r="N22" s="18"/>
      <c r="O22" s="18"/>
      <c r="P22" s="18"/>
      <c r="Q22" s="18"/>
      <c r="S22" s="195" t="e">
        <f ca="1">MDURATION(BF22,Proposal!BH22,D22,F22,2,0)</f>
        <v>#NAME?</v>
      </c>
      <c r="T22" s="168" t="b">
        <f t="shared" ca="1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ca="1" si="22"/>
        <v>0</v>
      </c>
      <c r="AY22" s="168">
        <f t="shared" ca="1" si="16"/>
        <v>0</v>
      </c>
      <c r="AZ22" s="168">
        <f t="shared" ca="1" si="18"/>
        <v>0</v>
      </c>
      <c r="BA22" s="168">
        <f t="shared" ca="1" si="19"/>
        <v>0</v>
      </c>
      <c r="BB22" s="168">
        <f t="shared" ca="1" si="20"/>
        <v>0</v>
      </c>
      <c r="BC22" s="168">
        <f t="shared" ca="1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ca="1" si="0"/>
        <v>0</v>
      </c>
      <c r="I23" s="127">
        <f t="shared" ca="1" si="1"/>
        <v>0</v>
      </c>
      <c r="J23" s="127">
        <f t="shared" ca="1" si="2"/>
        <v>0</v>
      </c>
      <c r="K23" s="127">
        <f t="shared" ca="1" si="3"/>
        <v>0</v>
      </c>
      <c r="L23" s="127">
        <f t="shared" ca="1" si="4"/>
        <v>0</v>
      </c>
      <c r="M23" s="127">
        <f t="shared" ca="1" si="5"/>
        <v>0</v>
      </c>
      <c r="N23" s="18"/>
      <c r="O23" s="18"/>
      <c r="P23" s="18"/>
      <c r="Q23" s="18"/>
      <c r="S23" s="195" t="e">
        <f ca="1">MDURATION(BF23,Proposal!BH23,D23,F23,2,0)</f>
        <v>#NAME?</v>
      </c>
      <c r="T23" s="168" t="b">
        <f t="shared" ca="1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ca="1" si="22"/>
        <v>0</v>
      </c>
      <c r="AY23" s="168">
        <f t="shared" ca="1" si="16"/>
        <v>0</v>
      </c>
      <c r="AZ23" s="168">
        <f t="shared" ca="1" si="18"/>
        <v>0</v>
      </c>
      <c r="BA23" s="168">
        <f t="shared" ca="1" si="19"/>
        <v>0</v>
      </c>
      <c r="BB23" s="168">
        <f t="shared" ca="1" si="20"/>
        <v>0</v>
      </c>
      <c r="BC23" s="168">
        <f t="shared" ca="1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ca="1" si="0"/>
        <v>0</v>
      </c>
      <c r="I24" s="127">
        <f t="shared" ca="1" si="1"/>
        <v>0</v>
      </c>
      <c r="J24" s="127">
        <f t="shared" ca="1" si="2"/>
        <v>0</v>
      </c>
      <c r="K24" s="127">
        <f t="shared" ca="1" si="3"/>
        <v>0</v>
      </c>
      <c r="L24" s="127">
        <f t="shared" ca="1" si="4"/>
        <v>0</v>
      </c>
      <c r="M24" s="127">
        <f t="shared" ca="1" si="5"/>
        <v>0</v>
      </c>
      <c r="N24" s="18"/>
      <c r="O24" s="18"/>
      <c r="P24" s="18"/>
      <c r="Q24" s="18"/>
      <c r="S24" s="195" t="e">
        <f ca="1">MDURATION(BF24,Proposal!BH24,D24,F24,2,0)</f>
        <v>#NAME?</v>
      </c>
      <c r="T24" s="168" t="b">
        <f t="shared" ca="1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ca="1" si="22"/>
        <v>0</v>
      </c>
      <c r="AY24" s="168">
        <f t="shared" ca="1" si="16"/>
        <v>0</v>
      </c>
      <c r="AZ24" s="168">
        <f t="shared" ca="1" si="18"/>
        <v>0</v>
      </c>
      <c r="BA24" s="168">
        <f t="shared" ca="1" si="19"/>
        <v>0</v>
      </c>
      <c r="BB24" s="168">
        <f t="shared" ca="1" si="20"/>
        <v>0</v>
      </c>
      <c r="BC24" s="168">
        <f t="shared" ca="1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ca="1" si="0"/>
        <v>0</v>
      </c>
      <c r="I25" s="127">
        <f t="shared" ca="1" si="1"/>
        <v>0</v>
      </c>
      <c r="J25" s="127">
        <f t="shared" ca="1" si="2"/>
        <v>0</v>
      </c>
      <c r="K25" s="127">
        <f t="shared" ca="1" si="3"/>
        <v>0</v>
      </c>
      <c r="L25" s="127">
        <f t="shared" ca="1" si="4"/>
        <v>0</v>
      </c>
      <c r="M25" s="127">
        <f t="shared" ca="1" si="5"/>
        <v>0</v>
      </c>
      <c r="N25" s="18"/>
      <c r="O25" s="18"/>
      <c r="P25" s="18"/>
      <c r="Q25" s="18"/>
      <c r="S25" s="195" t="e">
        <f ca="1">MDURATION(BF25,Proposal!BH25,D25,F25,2,0)</f>
        <v>#NAME?</v>
      </c>
      <c r="T25" s="168" t="b">
        <f t="shared" ca="1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ca="1" si="22"/>
        <v>0</v>
      </c>
      <c r="AY25" s="168">
        <f t="shared" ca="1" si="16"/>
        <v>0</v>
      </c>
      <c r="AZ25" s="168">
        <f t="shared" ca="1" si="18"/>
        <v>0</v>
      </c>
      <c r="BA25" s="168">
        <f t="shared" ca="1" si="19"/>
        <v>0</v>
      </c>
      <c r="BB25" s="168">
        <f t="shared" ca="1" si="20"/>
        <v>0</v>
      </c>
      <c r="BC25" s="168">
        <f t="shared" ca="1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ca="1" si="0"/>
        <v>0</v>
      </c>
      <c r="I26" s="127">
        <f t="shared" ca="1" si="1"/>
        <v>0</v>
      </c>
      <c r="J26" s="127">
        <f t="shared" ca="1" si="2"/>
        <v>0</v>
      </c>
      <c r="K26" s="127">
        <f t="shared" ca="1" si="3"/>
        <v>0</v>
      </c>
      <c r="L26" s="127">
        <f t="shared" ca="1" si="4"/>
        <v>0</v>
      </c>
      <c r="M26" s="127">
        <f t="shared" ca="1" si="5"/>
        <v>0</v>
      </c>
      <c r="N26" s="18"/>
      <c r="O26" s="18"/>
      <c r="P26" s="18"/>
      <c r="Q26" s="18"/>
      <c r="S26" s="195" t="e">
        <f ca="1">MDURATION(BF26,Proposal!BH26,D26,F26,2,0)</f>
        <v>#NAME?</v>
      </c>
      <c r="T26" s="168" t="b">
        <f t="shared" ca="1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ca="1" si="22"/>
        <v>0</v>
      </c>
      <c r="AY26" s="168">
        <f t="shared" ca="1" si="16"/>
        <v>0</v>
      </c>
      <c r="AZ26" s="168">
        <f t="shared" ca="1" si="18"/>
        <v>0</v>
      </c>
      <c r="BA26" s="168">
        <f t="shared" ca="1" si="19"/>
        <v>0</v>
      </c>
      <c r="BB26" s="168">
        <f t="shared" ca="1" si="20"/>
        <v>0</v>
      </c>
      <c r="BC26" s="168">
        <f t="shared" ca="1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ca="1" si="0"/>
        <v>0</v>
      </c>
      <c r="I27" s="127">
        <f t="shared" ca="1" si="1"/>
        <v>0</v>
      </c>
      <c r="J27" s="127">
        <f t="shared" ca="1" si="2"/>
        <v>0</v>
      </c>
      <c r="K27" s="127">
        <f t="shared" ca="1" si="3"/>
        <v>0</v>
      </c>
      <c r="L27" s="127">
        <f t="shared" ca="1" si="4"/>
        <v>0</v>
      </c>
      <c r="M27" s="127">
        <f t="shared" ca="1" si="5"/>
        <v>0</v>
      </c>
      <c r="N27" s="18"/>
      <c r="O27" s="18"/>
      <c r="P27" s="18"/>
      <c r="Q27" s="18"/>
      <c r="S27" s="195" t="e">
        <f ca="1">MDURATION(BF27,Proposal!BH27,D27,F27,2,0)</f>
        <v>#NAME?</v>
      </c>
      <c r="T27" s="168" t="b">
        <f t="shared" ca="1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ca="1" si="22"/>
        <v>0</v>
      </c>
      <c r="AY27" s="168">
        <f t="shared" ca="1" si="16"/>
        <v>0</v>
      </c>
      <c r="AZ27" s="168">
        <f t="shared" ca="1" si="18"/>
        <v>0</v>
      </c>
      <c r="BA27" s="168">
        <f t="shared" ca="1" si="19"/>
        <v>0</v>
      </c>
      <c r="BB27" s="168">
        <f t="shared" ca="1" si="20"/>
        <v>0</v>
      </c>
      <c r="BC27" s="168">
        <f t="shared" ca="1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ca="1" si="0"/>
        <v>0</v>
      </c>
      <c r="I28" s="123">
        <f t="shared" ca="1" si="1"/>
        <v>0</v>
      </c>
      <c r="J28" s="123">
        <f t="shared" ca="1" si="2"/>
        <v>0</v>
      </c>
      <c r="K28" s="123">
        <f t="shared" ca="1" si="3"/>
        <v>0</v>
      </c>
      <c r="L28" s="123">
        <f t="shared" ca="1" si="4"/>
        <v>0</v>
      </c>
      <c r="M28" s="123">
        <f t="shared" ca="1" si="5"/>
        <v>0</v>
      </c>
      <c r="N28" s="18"/>
      <c r="O28" s="18"/>
      <c r="P28" s="18"/>
      <c r="Q28" s="18"/>
      <c r="S28" s="199" t="e">
        <f ca="1">MDURATION(BF28,Proposal!BH28,D28,F28,2,0)</f>
        <v>#NAME?</v>
      </c>
      <c r="T28" s="119" t="b">
        <f t="shared" ca="1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ca="1" si="22"/>
        <v>0</v>
      </c>
      <c r="AY28" s="119">
        <f t="shared" ca="1" si="16"/>
        <v>0</v>
      </c>
      <c r="AZ28" s="119">
        <f t="shared" ca="1" si="18"/>
        <v>0</v>
      </c>
      <c r="BA28" s="119">
        <f t="shared" ca="1" si="19"/>
        <v>0</v>
      </c>
      <c r="BB28" s="119">
        <f t="shared" ca="1" si="20"/>
        <v>0</v>
      </c>
      <c r="BC28" s="119">
        <f t="shared" ca="1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250273.25</v>
      </c>
      <c r="AT29" s="208">
        <f>SUM(AT7:AT28)</f>
        <v>4.7331986139149913E-2</v>
      </c>
      <c r="AU29" s="209">
        <f>INT(SUM(AU7:AU28))</f>
        <v>41588</v>
      </c>
      <c r="AV29" s="208" t="e">
        <f ca="1">SUM(AV7:AV28)</f>
        <v>#NAME?</v>
      </c>
      <c r="AW29" s="208">
        <f>SUM(AW7:AW28)</f>
        <v>4.7198412135535862E-2</v>
      </c>
      <c r="AX29" s="194">
        <f t="shared" ref="AX29:BC29" ca="1" si="23">SUM(AX7:AX28)</f>
        <v>0</v>
      </c>
      <c r="AY29" s="208">
        <f t="shared" ca="1" si="23"/>
        <v>0</v>
      </c>
      <c r="AZ29" s="208">
        <f t="shared" ca="1" si="23"/>
        <v>0</v>
      </c>
      <c r="BA29" s="208">
        <f t="shared" ca="1" si="23"/>
        <v>0</v>
      </c>
      <c r="BB29" s="208">
        <f t="shared" ca="1" si="23"/>
        <v>0</v>
      </c>
      <c r="BC29" s="208">
        <f t="shared" ca="1" si="23"/>
        <v>0</v>
      </c>
      <c r="BD29" s="168"/>
      <c r="BE29" s="168"/>
      <c r="BF29" s="168"/>
      <c r="BG29" s="171"/>
    </row>
    <row r="30" spans="1:67" x14ac:dyDescent="0.25">
      <c r="A30" s="223">
        <f>SUM(A7:A29)</f>
        <v>250</v>
      </c>
      <c r="B30" s="143"/>
      <c r="C30" s="143"/>
      <c r="D30" s="211">
        <f>AT29</f>
        <v>4.7331986139149913E-2</v>
      </c>
      <c r="E30" s="254">
        <f>AU29</f>
        <v>41588</v>
      </c>
      <c r="F30" s="211" t="e">
        <f ca="1">AV29</f>
        <v>#NAME?</v>
      </c>
      <c r="G30" s="220"/>
      <c r="H30" s="219">
        <f ca="1">AX29</f>
        <v>0</v>
      </c>
      <c r="I30" s="127">
        <f ca="1">AZ29</f>
        <v>0</v>
      </c>
      <c r="J30" s="127">
        <f ca="1">BA29</f>
        <v>0</v>
      </c>
      <c r="K30" s="127">
        <f ca="1">AY29</f>
        <v>0</v>
      </c>
      <c r="L30" s="127">
        <f ca="1">BB29</f>
        <v>0</v>
      </c>
      <c r="M30" s="127">
        <f ca="1">BC29</f>
        <v>0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/>
    <sheetView showGridLines="0" showZeros="0" zoomScale="60" workbookViewId="1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37054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HM-ES SCOTT NEAL</v>
      </c>
      <c r="B4" s="374">
        <f ca="1">NOW()</f>
        <v>37049.559251620369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</v>
      </c>
      <c r="F5" s="280" t="str">
        <f>Proposal!C7</f>
        <v>WICHITA FALLS ISD PSF</v>
      </c>
      <c r="G5" s="281">
        <f>Proposal!D7</f>
        <v>4.4999999999999998E-2</v>
      </c>
      <c r="H5" s="282">
        <f>Proposal!E7</f>
        <v>40940</v>
      </c>
      <c r="I5" s="282">
        <f>Proposal!F7</f>
        <v>39479</v>
      </c>
      <c r="J5" s="283">
        <f>Proposal!G7</f>
        <v>100</v>
      </c>
      <c r="K5" s="282">
        <f>Proposal!H7</f>
        <v>0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4.4999999999999998E-2</v>
      </c>
      <c r="P5" s="286">
        <f>Proposal!M7</f>
        <v>4.4999999999999998E-2</v>
      </c>
      <c r="Q5" s="285">
        <f>Proposal!N7</f>
        <v>0</v>
      </c>
    </row>
    <row r="6" spans="1:17" ht="16.5" x14ac:dyDescent="0.25">
      <c r="C6" s="288"/>
      <c r="D6" s="289">
        <f>Proposal!A8</f>
        <v>50</v>
      </c>
      <c r="E6" s="290" t="str">
        <f>Proposal!B8</f>
        <v>AAA/AAA</v>
      </c>
      <c r="F6" s="291" t="str">
        <f>Proposal!C8</f>
        <v>PHARR TX CERT OF OB</v>
      </c>
      <c r="G6" s="292">
        <f>Proposal!D8</f>
        <v>4.65E-2</v>
      </c>
      <c r="H6" s="293">
        <f>Proposal!E8</f>
        <v>41136</v>
      </c>
      <c r="I6" s="293">
        <f>Proposal!F8</f>
        <v>40770</v>
      </c>
      <c r="J6" s="294">
        <f>Proposal!G8</f>
        <v>100</v>
      </c>
      <c r="K6" s="293">
        <f>Proposal!H8</f>
        <v>0</v>
      </c>
      <c r="L6" s="295">
        <f>Proposal!I8</f>
        <v>0</v>
      </c>
      <c r="M6" s="296">
        <f>Proposal!J8</f>
        <v>101.20399999999999</v>
      </c>
      <c r="N6" s="285" t="e">
        <f ca="1">Proposal!K8</f>
        <v>#NAME?</v>
      </c>
      <c r="O6" s="285" t="e">
        <f ca="1">Proposal!L8</f>
        <v>#NAME?</v>
      </c>
      <c r="P6" s="285">
        <f>Proposal!M8</f>
        <v>4.5946800521718519E-2</v>
      </c>
      <c r="Q6" s="285" t="e">
        <f ca="1">Proposal!N8</f>
        <v>#NAME?</v>
      </c>
    </row>
    <row r="7" spans="1:17" ht="16.5" x14ac:dyDescent="0.25">
      <c r="A7" s="320"/>
      <c r="C7" s="288"/>
      <c r="D7" s="289">
        <f>Proposal!A9</f>
        <v>25</v>
      </c>
      <c r="E7" s="290" t="str">
        <f>Proposal!B9</f>
        <v>AAA/AAA</v>
      </c>
      <c r="F7" s="291" t="str">
        <f>Proposal!C9</f>
        <v>TX WTR DEV BRD</v>
      </c>
      <c r="G7" s="292">
        <f>Proposal!D9</f>
        <v>0.05</v>
      </c>
      <c r="H7" s="293">
        <f>Proposal!E9</f>
        <v>41470</v>
      </c>
      <c r="I7" s="293">
        <f>Proposal!F9</f>
        <v>39278</v>
      </c>
      <c r="J7" s="294">
        <f>Proposal!G9</f>
        <v>101</v>
      </c>
      <c r="K7" s="293">
        <f>Proposal!H9</f>
        <v>39644</v>
      </c>
      <c r="L7" s="295">
        <f>Proposal!I9</f>
        <v>0</v>
      </c>
      <c r="M7" s="296">
        <f>Proposal!J9</f>
        <v>101.78700000000001</v>
      </c>
      <c r="N7" s="285" t="e">
        <f ca="1">Proposal!K9</f>
        <v>#NAME?</v>
      </c>
      <c r="O7" s="285" t="e">
        <f ca="1">Proposal!L9</f>
        <v>#NAME?</v>
      </c>
      <c r="P7" s="285">
        <f>Proposal!M9</f>
        <v>4.9122186526766677E-2</v>
      </c>
      <c r="Q7" s="285" t="e">
        <f ca="1">Proposal!N9</f>
        <v>#NAME?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ROUND ROCK TX TRAN</v>
      </c>
      <c r="G8" s="292">
        <f>Proposal!D10</f>
        <v>4.8500000000000001E-2</v>
      </c>
      <c r="H8" s="293">
        <f>Proposal!E10</f>
        <v>41866</v>
      </c>
      <c r="I8" s="293">
        <f>Proposal!F10</f>
        <v>40770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101.194</v>
      </c>
      <c r="N8" s="285" t="e">
        <f ca="1">Proposal!K10</f>
        <v>#NAME?</v>
      </c>
      <c r="O8" s="285" t="e">
        <f ca="1">Proposal!L10</f>
        <v>#NAME?</v>
      </c>
      <c r="P8" s="285">
        <f>Proposal!M10</f>
        <v>4.7927742751546536E-2</v>
      </c>
      <c r="Q8" s="285" t="e">
        <f ca="1">Proposal!N10</f>
        <v>#NAME?</v>
      </c>
    </row>
    <row r="9" spans="1:17" ht="19.5" x14ac:dyDescent="0.3">
      <c r="A9" s="381" t="s">
        <v>143</v>
      </c>
      <c r="B9" s="381"/>
      <c r="C9" s="277"/>
      <c r="D9" s="289">
        <f>Proposal!A11</f>
        <v>50</v>
      </c>
      <c r="E9" s="290" t="str">
        <f>Proposal!B11</f>
        <v>AAA/AAA</v>
      </c>
      <c r="F9" s="291" t="str">
        <f>Proposal!C11</f>
        <v>HARRIS CO TX MUD#359</v>
      </c>
      <c r="G9" s="292">
        <f>Proposal!D11</f>
        <v>4.3749999999999997E-2</v>
      </c>
      <c r="H9" s="293">
        <f>Proposal!E11</f>
        <v>42156</v>
      </c>
      <c r="I9" s="293">
        <f>Proposal!F11</f>
        <v>39234</v>
      </c>
      <c r="J9" s="294">
        <f>Proposal!G11</f>
        <v>100</v>
      </c>
      <c r="K9" s="293">
        <f>Proposal!H11</f>
        <v>0</v>
      </c>
      <c r="L9" s="295">
        <f>Proposal!I11</f>
        <v>0</v>
      </c>
      <c r="M9" s="296">
        <f>Proposal!J11</f>
        <v>94.731999999999999</v>
      </c>
      <c r="N9" s="285" t="e">
        <f ca="1">Proposal!K11</f>
        <v>#NAME?</v>
      </c>
      <c r="O9" s="285" t="e">
        <f ca="1">Proposal!L11</f>
        <v>#NAME?</v>
      </c>
      <c r="P9" s="285">
        <f>Proposal!M11</f>
        <v>4.6182916015707468E-2</v>
      </c>
      <c r="Q9" s="285" t="e">
        <f ca="1">Proposal!N11</f>
        <v>#NAME?</v>
      </c>
    </row>
    <row r="10" spans="1:17" ht="16.5" x14ac:dyDescent="0.25">
      <c r="C10" s="277"/>
      <c r="D10" s="289">
        <f>Proposal!A12</f>
        <v>25</v>
      </c>
      <c r="E10" s="290" t="str">
        <f>Proposal!B12</f>
        <v>AAA/AAA</v>
      </c>
      <c r="F10" s="291" t="str">
        <f>Proposal!C12</f>
        <v>FLOWER MOUND TX W/S</v>
      </c>
      <c r="G10" s="292">
        <f>Proposal!D12</f>
        <v>5.5E-2</v>
      </c>
      <c r="H10" s="293">
        <f>Proposal!E12</f>
        <v>42248</v>
      </c>
      <c r="I10" s="293">
        <f>Proposal!F12</f>
        <v>40057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105.04600000000001</v>
      </c>
      <c r="N10" s="285" t="e">
        <f ca="1">Proposal!K12</f>
        <v>#NAME?</v>
      </c>
      <c r="O10" s="285" t="e">
        <f ca="1">Proposal!L12</f>
        <v>#NAME?</v>
      </c>
      <c r="P10" s="285">
        <f>Proposal!M12</f>
        <v>5.2358014584086961E-2</v>
      </c>
      <c r="Q10" s="285" t="e">
        <f ca="1">Proposal!N12</f>
        <v>#NAME?</v>
      </c>
    </row>
    <row r="11" spans="1:17" ht="16.5" x14ac:dyDescent="0.25">
      <c r="A11" s="275" t="str">
        <f>Summary!A11</f>
        <v xml:space="preserve">Par Amount </v>
      </c>
      <c r="B11" s="276">
        <f>Summary!B11</f>
        <v>250000</v>
      </c>
      <c r="C11" s="277"/>
      <c r="D11" s="289">
        <f>Proposal!A13</f>
        <v>0</v>
      </c>
      <c r="E11" s="290">
        <f>Proposal!B13</f>
        <v>0</v>
      </c>
      <c r="F11" s="291">
        <f>Proposal!C13</f>
        <v>0</v>
      </c>
      <c r="G11" s="292">
        <f>Proposal!D13</f>
        <v>0</v>
      </c>
      <c r="H11" s="293">
        <f>Proposal!E13</f>
        <v>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0</v>
      </c>
      <c r="N11" s="285">
        <f>Proposal!K13</f>
        <v>0</v>
      </c>
      <c r="O11" s="285">
        <f>Proposal!L13</f>
        <v>0</v>
      </c>
      <c r="P11" s="285">
        <f>Proposal!M13</f>
        <v>0</v>
      </c>
      <c r="Q11" s="285">
        <f>Proposal!N13</f>
        <v>0</v>
      </c>
    </row>
    <row r="12" spans="1:17" ht="16.5" x14ac:dyDescent="0.25">
      <c r="A12" s="275" t="str">
        <f>Summary!A12</f>
        <v>Average Coupon</v>
      </c>
      <c r="B12" s="287">
        <f>Summary!B12</f>
        <v>4.7331986139149913E-2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5" x14ac:dyDescent="0.25">
      <c r="A13" s="275" t="str">
        <f>Summary!A13</f>
        <v>Projected Annual Income</v>
      </c>
      <c r="B13" s="276">
        <f>Summary!B13</f>
        <v>11812.5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5" x14ac:dyDescent="0.25">
      <c r="A15" s="275" t="str">
        <f>Summary!A15</f>
        <v>Estimated Market Value</v>
      </c>
      <c r="B15" s="276">
        <f>Summary!B15</f>
        <v>250273.25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2288.5069444444425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252561.75694444444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12.400285834804778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 ca="1">Summary!B20</f>
        <v>0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4.7198412135535862E-2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 t="e">
        <f ca="1">Summary!B22</f>
        <v>#NAME?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100.10930000000002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250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50</v>
      </c>
      <c r="Q35" s="324">
        <f>Maturity!I5</f>
        <v>0.2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75</v>
      </c>
      <c r="Q36" s="324">
        <f>Maturity!I6</f>
        <v>0.3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75" x14ac:dyDescent="0.25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75" x14ac:dyDescent="0.25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100</v>
      </c>
      <c r="M48" s="324">
        <f>Maturity!D18</f>
        <v>0.4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25</v>
      </c>
      <c r="M49" s="324">
        <f>Maturity!D19</f>
        <v>0.1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2001-06-07T16:48:41Z</cp:lastPrinted>
  <dcterms:created xsi:type="dcterms:W3CDTF">1999-01-15T20:16:09Z</dcterms:created>
  <dcterms:modified xsi:type="dcterms:W3CDTF">2023-09-11T18:34:08Z</dcterms:modified>
</cp:coreProperties>
</file>