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4AADD4-2444-49C6-91A4-42D32C23821F}" xr6:coauthVersionLast="47" xr6:coauthVersionMax="47" xr10:uidLastSave="{00000000-0000-0000-0000-000000000000}"/>
  <bookViews>
    <workbookView xWindow="-120" yWindow="-120" windowWidth="38640" windowHeight="15720" activeTab="1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<sst xmlns="http://schemas.openxmlformats.org/spreadsheetml/2006/main" count="325" uniqueCount="175">
  <si>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</si>
  <si>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</si>
  <si>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</si>
  <si>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</si>
  <si>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</si>
  <si>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</si>
  <si>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</si>
  <si>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</si>
  <si>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</si>
  <si>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</si>
  <si>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</si>
  <si>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</si>
  <si>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</si>
  <si>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</si>
  <si>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</si>
  <si>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</si>
  <si>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</si>
  <si>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</si>
  <si>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</si>
  <si>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</si>
  <si>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</si>
  <si>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</si>
  <si>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</si>
  <si>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</si>
  <si>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</si>
  <si>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</si>
  <si>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</si>
  <si>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</si>
  <si>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</si>
  <si>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</si>
  <si>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</si>
  <si>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</si>
  <si>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</si>
  <si>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</si>
  <si>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</si>
  <si>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</si>
  <si>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</si>
  <si>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</si>
  <si>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</si>
  <si>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</si>
  <si>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</si>
  <si>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</si>
  <si>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</si>
  <si>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</si>
  <si>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</si>
  <si>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</si>
  <si>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</si>
  <si>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</si>
  <si>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</si>
  <si>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</si>
  <si>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</si>
  <si>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</si>
  <si>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</si>
  <si>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</si>
  <si>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</si>
  <si>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</si>
  <si>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</si>
  <si>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</si>
  <si>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</si>
  <si>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</si>
  <si>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</si>
  <si>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</si>
  <si>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</si>
  <si>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</si>
  <si>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</si>
  <si>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</si>
  <si>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</si>
  <si>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</si>
  <si>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</si>
  <si>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</si>
  <si>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</si>
  <si>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</si>
  <si>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</si>
  <si>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</si>
  <si>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</si>
  <si>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</si>
  <si>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</si>
  <si>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</si>
  <si>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</si>
  <si>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</si>
  <si>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</si>
  <si>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</si>
  <si>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</si>
  <si>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</si>
  <si>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</si>
  <si>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</si>
  <si>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</si>
  <si>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</si>
  <si>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</si>
  <si>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</si>
  <si>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</si>
  <si>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</si>
  <si>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</si>
  <si>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</si>
  <si>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</si>
  <si>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</si>
  <si>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</si>
  <si>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</si>
  <si>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</si>
  <si>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</si>
  <si>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</si>
  <si>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</si>
  <si>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</si>
  <si>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</si>
  <si>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</si>
  <si>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</si>
  <si>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</si>
  <si>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</si>
  <si>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</si>
  <si>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</si>
  <si>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</si>
  <si>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</si>
  <si>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</si>
  <si>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</si>
  <si>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</si>
  <si>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</si>
  <si>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</si>
  <si>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</si>
  <si>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</si>
  <si>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</si>
  <si>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</si>
  <si>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</si>
  <si>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</si>
  <si>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</si>
  <si>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</si>
  <si>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</si>
  <si>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</si>
  <si>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</si>
  <si>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</si>
  <si>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</si>
  <si>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</si>
  <si>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</si>
  <si>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</si>
  <si>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</si>
  <si>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</si>
  <si>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</si>
  <si>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</si>
  <si>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</si>
  <si>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</si>
  <si>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</si>
  <si>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</si>
  <si>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</si>
  <si>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</si>
  <si>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</si>
  <si>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</si>
  <si>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</si>
  <si>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</si>
  <si>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</si>
  <si>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</si>
  <si>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</si>
  <si>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</si>
  <si>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</si>
  <si>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</si>
  <si>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</si>
  <si>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ALBUQUERQUE NM</t>
  </si>
  <si>
    <t xml:space="preserve">AAA/ </t>
  </si>
  <si>
    <t>MIDWAY TX ISD PSF</t>
  </si>
  <si>
    <t>JACKSONVILLE FLA</t>
  </si>
  <si>
    <t>UTAH STATE</t>
  </si>
  <si>
    <t>BUCKS CO PA</t>
  </si>
  <si>
    <t>CLEVELAND OHIO</t>
  </si>
  <si>
    <t>AA3/AA</t>
  </si>
  <si>
    <t>DELAWARE CO PA</t>
  </si>
  <si>
    <t>PORT HOUSTON</t>
  </si>
  <si>
    <t>MONROE WISC SCH</t>
  </si>
  <si>
    <t>AAA/AA+</t>
  </si>
  <si>
    <t>TROY MICH</t>
  </si>
  <si>
    <t>PASADENA TX</t>
  </si>
  <si>
    <t>N.HARRIS MONT CCD</t>
  </si>
  <si>
    <t>PHILADELPHIA PA SCH</t>
  </si>
  <si>
    <t>TEXAS TURNPIKE</t>
  </si>
  <si>
    <t>FRISCO TX CERT OBL</t>
  </si>
  <si>
    <t>SEATTLE WASH WTR</t>
  </si>
  <si>
    <t>SAN ANTONIO ISD</t>
  </si>
  <si>
    <t>Scott Neal Combined Muni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</si>
</sst>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6657260001151E-2"/>
          <c:y val="7.9757259212964754E-2"/>
          <c:w val="0.89983517645566857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5187.5</c:v>
                </c:pt>
                <c:pt idx="1">
                  <c:v>32131.25</c:v>
                </c:pt>
                <c:pt idx="2">
                  <c:v>1250</c:v>
                </c:pt>
                <c:pt idx="3">
                  <c:v>24443.75</c:v>
                </c:pt>
                <c:pt idx="4">
                  <c:v>5000</c:v>
                </c:pt>
                <c:pt idx="5">
                  <c:v>0</c:v>
                </c:pt>
                <c:pt idx="6">
                  <c:v>5187.5</c:v>
                </c:pt>
                <c:pt idx="7">
                  <c:v>32131.25</c:v>
                </c:pt>
                <c:pt idx="8">
                  <c:v>1250</c:v>
                </c:pt>
                <c:pt idx="9">
                  <c:v>24443.75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24A-81B5-F83A6E17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54112"/>
        <c:axId val="1"/>
        <c:axId val="0"/>
      </c:bar3DChart>
      <c:catAx>
        <c:axId val="981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54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0</c:v>
                </c:pt>
                <c:pt idx="24">
                  <c:v>200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1-4785-A546-616F7D62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56432"/>
        <c:axId val="1"/>
        <c:axId val="0"/>
      </c:bar3DChart>
      <c:catAx>
        <c:axId val="9815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5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058821013605945E-2"/>
          <c:y val="0.11702504421268255"/>
          <c:w val="0.91994835985094492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5187.5</c:v>
                </c:pt>
                <c:pt idx="1">
                  <c:v>32131.25</c:v>
                </c:pt>
                <c:pt idx="2">
                  <c:v>1250</c:v>
                </c:pt>
                <c:pt idx="3">
                  <c:v>24443.75</c:v>
                </c:pt>
                <c:pt idx="4">
                  <c:v>5000</c:v>
                </c:pt>
                <c:pt idx="5">
                  <c:v>0</c:v>
                </c:pt>
                <c:pt idx="6">
                  <c:v>5187.5</c:v>
                </c:pt>
                <c:pt idx="7">
                  <c:v>32131.25</c:v>
                </c:pt>
                <c:pt idx="8">
                  <c:v>1250</c:v>
                </c:pt>
                <c:pt idx="9">
                  <c:v>24443.75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5-4785-8206-CD5F38AB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58288"/>
        <c:axId val="1"/>
        <c:axId val="0"/>
      </c:bar3DChart>
      <c:catAx>
        <c:axId val="9815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15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95848D91-F6B6-DF76-AB75-C9D0FC095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>
          <a:extLst>
            <a:ext uri="{FF2B5EF4-FFF2-40B4-BE49-F238E27FC236}">
              <a16:creationId xmlns:a16="http://schemas.microsoft.com/office/drawing/2014/main" id="{2341A03F-6782-5AF4-1E0D-6C189817E415}"/>
            </a:ext>
          </a:extLst>
        </xdr:cNvPr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C2FF22C7-14CD-7571-A596-371AAEE2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E70BD3B0-94EB-3648-1673-63D56419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0.13287</cdr:y>
    </cdr:from>
    <cdr:to>
      <cdr:x>0.1016</cdr:x>
      <cdr:y>0.13287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D8724B41-ABE0-ECEC-1EB2-A504903E1D9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97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>
          <a:extLst xmlns:a="http://schemas.openxmlformats.org/drawingml/2006/main">
            <a:ext uri="{FF2B5EF4-FFF2-40B4-BE49-F238E27FC236}">
              <a16:creationId xmlns:a16="http://schemas.microsoft.com/office/drawing/2014/main" id="{FA38DD30-BA01-E304-E3AB-033B4177EFA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E7DD65A7-4A85-A80D-A85A-C28FCCA9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314B1929-0B8E-DD6A-3810-F292D4631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zoomScale="70" workbookViewId="0">
      <selection activeCell="E28" sqref="E28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25">
      <c r="A3" s="326">
        <v>50</v>
      </c>
      <c r="B3" s="327">
        <v>33848</v>
      </c>
      <c r="C3" s="328">
        <v>37218</v>
      </c>
      <c r="D3" s="328" t="s">
        <v>153</v>
      </c>
      <c r="E3" s="328" t="s">
        <v>154</v>
      </c>
      <c r="F3" s="329">
        <v>5.7500000000000002E-2</v>
      </c>
      <c r="G3" s="328">
        <v>41091</v>
      </c>
      <c r="H3" s="328">
        <v>37438</v>
      </c>
      <c r="I3" s="330">
        <v>102</v>
      </c>
      <c r="J3" s="328"/>
      <c r="K3" s="336" t="s">
        <v>133</v>
      </c>
      <c r="L3" s="332">
        <v>104.042</v>
      </c>
      <c r="M3" s="333"/>
      <c r="AE3" s="18">
        <f>M3*A3</f>
        <v>0</v>
      </c>
    </row>
    <row r="4" spans="1:31" ht="15" customHeight="1" x14ac:dyDescent="0.25">
      <c r="A4" s="326">
        <v>250</v>
      </c>
      <c r="B4" s="327">
        <v>33739</v>
      </c>
      <c r="C4" s="328">
        <v>37218</v>
      </c>
      <c r="D4" s="328" t="s">
        <v>155</v>
      </c>
      <c r="E4" s="328" t="s">
        <v>156</v>
      </c>
      <c r="F4" s="329">
        <v>6.1249999999999999E-2</v>
      </c>
      <c r="G4" s="328">
        <v>39661</v>
      </c>
      <c r="H4" s="328">
        <v>37469</v>
      </c>
      <c r="I4" s="335">
        <v>100</v>
      </c>
      <c r="J4" s="328"/>
      <c r="K4" s="331" t="s">
        <v>133</v>
      </c>
      <c r="L4" s="332">
        <v>102.633</v>
      </c>
      <c r="M4" s="339"/>
      <c r="AE4" s="18">
        <f t="shared" ref="AE4:AE24" si="0">M4*A4</f>
        <v>0</v>
      </c>
    </row>
    <row r="5" spans="1:31" ht="15" customHeight="1" x14ac:dyDescent="0.25">
      <c r="A5" s="326">
        <v>50</v>
      </c>
      <c r="B5" s="327">
        <v>35034</v>
      </c>
      <c r="C5" s="328">
        <v>37218</v>
      </c>
      <c r="D5" s="328" t="s">
        <v>153</v>
      </c>
      <c r="E5" s="328" t="s">
        <v>157</v>
      </c>
      <c r="F5" s="329">
        <v>4.3749999999999997E-2</v>
      </c>
      <c r="G5" s="328">
        <v>37530</v>
      </c>
      <c r="H5" s="328"/>
      <c r="I5" s="335"/>
      <c r="J5" s="328"/>
      <c r="K5" s="331"/>
      <c r="L5" s="332">
        <v>101.91800000000001</v>
      </c>
      <c r="M5" s="339"/>
      <c r="AE5" s="18">
        <f t="shared" si="0"/>
        <v>0</v>
      </c>
    </row>
    <row r="6" spans="1:31" ht="15" customHeight="1" x14ac:dyDescent="0.25">
      <c r="A6" s="326">
        <v>50</v>
      </c>
      <c r="B6" s="327">
        <v>35961</v>
      </c>
      <c r="C6" s="328">
        <v>37218</v>
      </c>
      <c r="D6" s="328" t="s">
        <v>153</v>
      </c>
      <c r="E6" s="328" t="s">
        <v>158</v>
      </c>
      <c r="F6" s="329">
        <v>0.05</v>
      </c>
      <c r="G6" s="328">
        <v>37803</v>
      </c>
      <c r="H6" s="328"/>
      <c r="I6" s="335"/>
      <c r="J6" s="328"/>
      <c r="K6" s="331"/>
      <c r="L6" s="332">
        <v>104.229</v>
      </c>
      <c r="M6" s="333"/>
      <c r="AE6" s="18">
        <f t="shared" si="0"/>
        <v>0</v>
      </c>
    </row>
    <row r="7" spans="1:31" ht="15" customHeight="1" x14ac:dyDescent="0.25">
      <c r="A7" s="326">
        <v>300</v>
      </c>
      <c r="B7" s="327">
        <v>35048</v>
      </c>
      <c r="C7" s="328">
        <v>37218</v>
      </c>
      <c r="D7" s="328" t="s">
        <v>153</v>
      </c>
      <c r="E7" s="328" t="s">
        <v>159</v>
      </c>
      <c r="F7" s="329">
        <v>4.65E-2</v>
      </c>
      <c r="G7" s="328">
        <v>37848</v>
      </c>
      <c r="H7" s="328"/>
      <c r="I7" s="335"/>
      <c r="J7" s="328"/>
      <c r="K7" s="336"/>
      <c r="L7" s="339">
        <v>104.123</v>
      </c>
      <c r="M7" s="332"/>
      <c r="AE7" s="18">
        <f t="shared" si="0"/>
        <v>0</v>
      </c>
    </row>
    <row r="8" spans="1:31" ht="15" customHeight="1" x14ac:dyDescent="0.25">
      <c r="A8" s="326">
        <v>50</v>
      </c>
      <c r="B8" s="337">
        <v>34060</v>
      </c>
      <c r="C8" s="328">
        <v>37218</v>
      </c>
      <c r="D8" s="328" t="s">
        <v>153</v>
      </c>
      <c r="E8" s="328" t="s">
        <v>160</v>
      </c>
      <c r="F8" s="329">
        <v>0.05</v>
      </c>
      <c r="G8" s="328">
        <v>37865</v>
      </c>
      <c r="H8" s="328"/>
      <c r="I8" s="335"/>
      <c r="J8" s="328"/>
      <c r="K8" s="338"/>
      <c r="L8" s="339">
        <v>104.47499999999999</v>
      </c>
      <c r="M8" s="332"/>
      <c r="AE8" s="18">
        <f t="shared" si="0"/>
        <v>0</v>
      </c>
    </row>
    <row r="9" spans="1:31" ht="15" customHeight="1" x14ac:dyDescent="0.25">
      <c r="A9" s="326">
        <v>260</v>
      </c>
      <c r="B9" s="337">
        <v>33829</v>
      </c>
      <c r="C9" s="328">
        <v>37218</v>
      </c>
      <c r="D9" s="328" t="s">
        <v>161</v>
      </c>
      <c r="E9" s="328" t="s">
        <v>162</v>
      </c>
      <c r="F9" s="329">
        <v>0</v>
      </c>
      <c r="G9" s="328">
        <v>37940</v>
      </c>
      <c r="H9" s="328"/>
      <c r="I9" s="335"/>
      <c r="J9" s="328"/>
      <c r="K9" s="338"/>
      <c r="L9" s="332">
        <v>95.126000000000005</v>
      </c>
      <c r="M9" s="333"/>
      <c r="AE9" s="18">
        <f t="shared" si="0"/>
        <v>0</v>
      </c>
    </row>
    <row r="10" spans="1:31" ht="15" customHeight="1" x14ac:dyDescent="0.25">
      <c r="A10" s="326">
        <v>200</v>
      </c>
      <c r="B10" s="327">
        <v>37196</v>
      </c>
      <c r="C10" s="328">
        <v>37224</v>
      </c>
      <c r="D10" s="328" t="s">
        <v>153</v>
      </c>
      <c r="E10" s="328" t="s">
        <v>163</v>
      </c>
      <c r="F10" s="329">
        <v>4.6249999999999999E-2</v>
      </c>
      <c r="G10" s="328">
        <v>42644</v>
      </c>
      <c r="H10" s="328">
        <v>40817</v>
      </c>
      <c r="I10" s="335">
        <v>100</v>
      </c>
      <c r="J10" s="328"/>
      <c r="K10" s="336"/>
      <c r="L10" s="332">
        <v>100.979</v>
      </c>
      <c r="M10" s="332"/>
      <c r="AE10" s="18">
        <f t="shared" si="0"/>
        <v>0</v>
      </c>
    </row>
    <row r="11" spans="1:31" ht="15" customHeight="1" x14ac:dyDescent="0.25">
      <c r="A11" s="326">
        <v>200</v>
      </c>
      <c r="B11" s="327">
        <v>37196</v>
      </c>
      <c r="C11" s="328">
        <v>37224</v>
      </c>
      <c r="D11" s="328" t="s">
        <v>153</v>
      </c>
      <c r="E11" s="328" t="s">
        <v>163</v>
      </c>
      <c r="F11" s="329">
        <v>4.7500000000000001E-2</v>
      </c>
      <c r="G11" s="328">
        <v>43009</v>
      </c>
      <c r="H11" s="328">
        <v>40817</v>
      </c>
      <c r="I11" s="335">
        <v>100</v>
      </c>
      <c r="J11" s="328"/>
      <c r="K11" s="331"/>
      <c r="L11" s="332">
        <v>101.566</v>
      </c>
      <c r="M11" s="339"/>
      <c r="AE11" s="18">
        <f t="shared" si="0"/>
        <v>0</v>
      </c>
    </row>
    <row r="12" spans="1:31" ht="15" customHeight="1" x14ac:dyDescent="0.25">
      <c r="A12" s="326">
        <v>200</v>
      </c>
      <c r="B12" s="337">
        <v>37196</v>
      </c>
      <c r="C12" s="328">
        <v>37221</v>
      </c>
      <c r="D12" s="328" t="s">
        <v>153</v>
      </c>
      <c r="E12" s="328" t="s">
        <v>164</v>
      </c>
      <c r="F12" s="329">
        <v>4.8750000000000002E-2</v>
      </c>
      <c r="G12" s="328">
        <v>43191</v>
      </c>
      <c r="H12" s="328">
        <v>40634</v>
      </c>
      <c r="I12" s="335">
        <v>100</v>
      </c>
      <c r="J12" s="328"/>
      <c r="K12" s="338"/>
      <c r="L12" s="332">
        <v>101.309</v>
      </c>
      <c r="M12" s="333"/>
      <c r="AE12" s="18">
        <f t="shared" si="0"/>
        <v>0</v>
      </c>
    </row>
    <row r="13" spans="1:31" ht="15" customHeight="1" x14ac:dyDescent="0.25">
      <c r="A13" s="326">
        <v>200</v>
      </c>
      <c r="B13" s="327">
        <v>37196</v>
      </c>
      <c r="C13" s="328">
        <v>37221</v>
      </c>
      <c r="D13" s="328" t="s">
        <v>165</v>
      </c>
      <c r="E13" s="328" t="s">
        <v>166</v>
      </c>
      <c r="F13" s="329">
        <v>4.5999999999999999E-2</v>
      </c>
      <c r="G13" s="328">
        <v>43739</v>
      </c>
      <c r="H13" s="328">
        <v>40452</v>
      </c>
      <c r="I13" s="335">
        <v>100.5</v>
      </c>
      <c r="J13" s="328">
        <v>41183</v>
      </c>
      <c r="K13" s="336"/>
      <c r="L13" s="339">
        <v>99.266999999999996</v>
      </c>
      <c r="M13" s="333"/>
      <c r="AE13" s="18">
        <f t="shared" si="0"/>
        <v>0</v>
      </c>
    </row>
    <row r="14" spans="1:31" ht="15" customHeight="1" x14ac:dyDescent="0.25">
      <c r="A14" s="326">
        <v>200</v>
      </c>
      <c r="B14" s="327">
        <v>37210</v>
      </c>
      <c r="C14" s="328">
        <v>37221</v>
      </c>
      <c r="D14" s="328" t="s">
        <v>153</v>
      </c>
      <c r="E14" s="328" t="s">
        <v>167</v>
      </c>
      <c r="F14" s="329">
        <v>0.05</v>
      </c>
      <c r="G14" s="328">
        <v>43876</v>
      </c>
      <c r="H14" s="328">
        <v>40224</v>
      </c>
      <c r="I14" s="335">
        <v>100</v>
      </c>
      <c r="J14" s="328"/>
      <c r="K14" s="336"/>
      <c r="L14" s="339">
        <v>101.68</v>
      </c>
      <c r="M14" s="332"/>
      <c r="AE14" s="18">
        <f t="shared" si="0"/>
        <v>0</v>
      </c>
    </row>
    <row r="15" spans="1:31" ht="15" customHeight="1" x14ac:dyDescent="0.25">
      <c r="A15" s="326">
        <v>200</v>
      </c>
      <c r="B15" s="327">
        <v>36965</v>
      </c>
      <c r="C15" s="328">
        <v>37221</v>
      </c>
      <c r="D15" s="328" t="s">
        <v>153</v>
      </c>
      <c r="E15" s="328" t="s">
        <v>168</v>
      </c>
      <c r="F15" s="329">
        <v>0.05</v>
      </c>
      <c r="G15" s="328">
        <v>44242</v>
      </c>
      <c r="H15" s="328">
        <v>40224</v>
      </c>
      <c r="I15" s="335">
        <v>100</v>
      </c>
      <c r="J15" s="328"/>
      <c r="K15" s="336"/>
      <c r="L15" s="339">
        <v>101.002</v>
      </c>
      <c r="M15" s="332"/>
      <c r="AE15" s="18">
        <f t="shared" si="0"/>
        <v>0</v>
      </c>
    </row>
    <row r="16" spans="1:31" ht="15" customHeight="1" x14ac:dyDescent="0.25">
      <c r="A16" s="326">
        <v>200</v>
      </c>
      <c r="B16" s="327">
        <v>36144</v>
      </c>
      <c r="C16" s="328">
        <v>37221</v>
      </c>
      <c r="D16" s="328" t="s">
        <v>153</v>
      </c>
      <c r="E16" s="328" t="s">
        <v>169</v>
      </c>
      <c r="F16" s="329">
        <v>4.4999999999999998E-2</v>
      </c>
      <c r="G16" s="328">
        <v>45017</v>
      </c>
      <c r="H16" s="328">
        <v>39904</v>
      </c>
      <c r="I16" s="335">
        <v>100</v>
      </c>
      <c r="J16" s="328"/>
      <c r="K16" s="336"/>
      <c r="L16" s="339">
        <v>96.012</v>
      </c>
      <c r="M16" s="332"/>
      <c r="AE16" s="18">
        <f t="shared" si="0"/>
        <v>0</v>
      </c>
    </row>
    <row r="17" spans="1:31" ht="15" customHeight="1" x14ac:dyDescent="0.25">
      <c r="A17" s="334">
        <v>100</v>
      </c>
      <c r="B17" s="327">
        <v>35034</v>
      </c>
      <c r="C17" s="328">
        <v>37221</v>
      </c>
      <c r="D17" s="328" t="s">
        <v>153</v>
      </c>
      <c r="E17" s="328" t="s">
        <v>170</v>
      </c>
      <c r="F17" s="329">
        <v>0.05</v>
      </c>
      <c r="G17" s="328">
        <v>45658</v>
      </c>
      <c r="H17" s="328">
        <v>38718</v>
      </c>
      <c r="I17" s="335">
        <v>102</v>
      </c>
      <c r="J17" s="328">
        <v>39448</v>
      </c>
      <c r="K17" s="336"/>
      <c r="L17" s="332">
        <v>100.517</v>
      </c>
      <c r="M17" s="339"/>
      <c r="AE17" s="18">
        <f t="shared" si="0"/>
        <v>0</v>
      </c>
    </row>
    <row r="18" spans="1:31" ht="15" customHeight="1" x14ac:dyDescent="0.25">
      <c r="A18" s="326">
        <v>100</v>
      </c>
      <c r="B18" s="337">
        <v>37165</v>
      </c>
      <c r="C18" s="328">
        <v>37221</v>
      </c>
      <c r="D18" s="328" t="s">
        <v>153</v>
      </c>
      <c r="E18" s="328" t="s">
        <v>171</v>
      </c>
      <c r="F18" s="329">
        <v>0.05</v>
      </c>
      <c r="G18" s="328">
        <v>45703</v>
      </c>
      <c r="H18" s="328">
        <v>40589</v>
      </c>
      <c r="I18" s="335">
        <v>100</v>
      </c>
      <c r="J18" s="328"/>
      <c r="K18" s="338"/>
      <c r="L18" s="332">
        <v>100.72799999999999</v>
      </c>
      <c r="M18" s="333"/>
      <c r="AE18" s="18">
        <f t="shared" si="0"/>
        <v>0</v>
      </c>
    </row>
    <row r="19" spans="1:31" ht="15" customHeight="1" x14ac:dyDescent="0.25">
      <c r="A19" s="326">
        <v>200</v>
      </c>
      <c r="B19" s="327">
        <v>37196</v>
      </c>
      <c r="C19" s="328">
        <v>37221</v>
      </c>
      <c r="D19" s="328" t="s">
        <v>153</v>
      </c>
      <c r="E19" s="328" t="s">
        <v>172</v>
      </c>
      <c r="F19" s="329">
        <v>0.05</v>
      </c>
      <c r="G19" s="328">
        <v>46327</v>
      </c>
      <c r="H19" s="328">
        <v>40848</v>
      </c>
      <c r="I19" s="335">
        <v>100</v>
      </c>
      <c r="J19" s="328"/>
      <c r="K19" s="331"/>
      <c r="L19" s="332">
        <v>100.919</v>
      </c>
      <c r="M19" s="333"/>
      <c r="AE19" s="18">
        <f t="shared" si="0"/>
        <v>0</v>
      </c>
    </row>
    <row r="20" spans="1:31" ht="15" customHeight="1" x14ac:dyDescent="0.25">
      <c r="A20" s="326">
        <v>200</v>
      </c>
      <c r="B20" s="327">
        <v>35735</v>
      </c>
      <c r="C20" s="328">
        <v>37221</v>
      </c>
      <c r="D20" s="328" t="s">
        <v>153</v>
      </c>
      <c r="E20" s="328" t="s">
        <v>173</v>
      </c>
      <c r="F20" s="329">
        <v>0.05</v>
      </c>
      <c r="G20" s="328">
        <v>46614</v>
      </c>
      <c r="H20" s="328">
        <v>39675</v>
      </c>
      <c r="I20" s="335">
        <v>100</v>
      </c>
      <c r="J20" s="328"/>
      <c r="K20" s="336"/>
      <c r="L20" s="339">
        <v>100.56100000000001</v>
      </c>
      <c r="M20" s="333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3010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37221</v>
      </c>
      <c r="D27" s="143"/>
      <c r="E27" s="230" t="s">
        <v>174</v>
      </c>
      <c r="G27" s="231">
        <v>1.538</v>
      </c>
      <c r="L27" s="136" t="s">
        <v>129</v>
      </c>
      <c r="M27" s="232"/>
    </row>
    <row r="28" spans="1:31" ht="15" customHeight="1" x14ac:dyDescent="0.25">
      <c r="B28" s="143"/>
      <c r="C28" s="254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Scott Neal Combined Muni Port</v>
      </c>
      <c r="B5" s="355">
        <f ca="1">NOW()</f>
        <v>37215.438395949073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3010000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4.5456242608107066E-2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136025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3031446.1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25105.138888888891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3056551.2388888891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13.550823039905318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>Volatility!H30</f>
        <v>5.805543265306266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4.4871323953277614E-2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>
        <f>Volatility!AV$29</f>
        <v>3.925242620796477E-2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100.71249501661129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A41" sqref="A41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37221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50</v>
      </c>
      <c r="B7" s="236" t="str">
        <f>Enter!D3</f>
        <v>AAA/AAA</v>
      </c>
      <c r="C7" s="261" t="str">
        <f>Enter!E3</f>
        <v>ALBUQUERQUE NM</v>
      </c>
      <c r="D7" s="237">
        <f>Enter!F3</f>
        <v>5.7500000000000002E-2</v>
      </c>
      <c r="E7" s="238">
        <f>Enter!G3</f>
        <v>41091</v>
      </c>
      <c r="F7" s="238">
        <f>Enter!H3</f>
        <v>37438</v>
      </c>
      <c r="G7" s="218">
        <f>Enter!I3</f>
        <v>102</v>
      </c>
      <c r="H7" s="238">
        <f>Enter!J3</f>
        <v>0</v>
      </c>
      <c r="I7" s="239" t="str">
        <f>Enter!K3</f>
        <v>Y=Yes</v>
      </c>
      <c r="J7" s="239">
        <f>Enter!L3</f>
        <v>104.042</v>
      </c>
      <c r="K7" s="162">
        <f>IF(J7=100,0,IF(BG7=BC7,0,BG7))</f>
        <v>2.2850258293493412E-2</v>
      </c>
      <c r="L7" s="162">
        <f>IF(A7=0,0,IF(R7=TRUE,0,BC7))</f>
        <v>0</v>
      </c>
      <c r="M7" s="163">
        <f>IF(AG7=0,0,AH7)</f>
        <v>5.5266142519367172E-2</v>
      </c>
      <c r="N7" s="162">
        <f>IF(A7=0,0,IF(K7=0,L7*Enter!G$27,K7*Enter!G$27))</f>
        <v>3.5143697255392868E-2</v>
      </c>
      <c r="R7" s="55" t="b">
        <f>IF(I7&gt;0,TRUE,FALSE)</f>
        <v>1</v>
      </c>
      <c r="S7" s="130">
        <f>IF(R7=TRUE,F7,E7)</f>
        <v>37438</v>
      </c>
      <c r="T7" s="69">
        <f>IF(R7=TRUE,G7*A7*10,100*A7)</f>
        <v>51000</v>
      </c>
      <c r="U7" s="53">
        <v>1</v>
      </c>
      <c r="V7" s="66">
        <f t="shared" ref="V7:V28" si="0">(A7*D7)*1000</f>
        <v>2875</v>
      </c>
      <c r="W7" s="61"/>
      <c r="X7" s="62">
        <f>Volatility!AS7/Volatility!AS$29</f>
        <v>1.7160456852589264E-2</v>
      </c>
      <c r="Y7" s="67"/>
      <c r="Z7" s="84">
        <f>S7</f>
        <v>37438</v>
      </c>
      <c r="AA7" s="56">
        <f>DAYS360(Enter!C3,Z7)</f>
        <v>218</v>
      </c>
      <c r="AB7" s="85">
        <f t="shared" ref="AB7:AB28" si="1">IF(A7=0,0,AA7)</f>
        <v>218</v>
      </c>
      <c r="AC7" s="56">
        <f t="shared" ref="AC7:AC28" si="2">X7*AB7</f>
        <v>3.7409795938644597</v>
      </c>
      <c r="AD7" s="62">
        <f t="shared" ref="AD7:AD28" si="3">IF(A7=0,0,AF7)</f>
        <v>3.9212087151601369E-4</v>
      </c>
      <c r="AE7" s="86">
        <f t="shared" ref="AE7:AE28" si="4">BG7</f>
        <v>2.2850258293493412E-2</v>
      </c>
      <c r="AF7" s="86">
        <f t="shared" ref="AF7:AF28" si="5">AE7*X7</f>
        <v>3.9212087151601369E-4</v>
      </c>
      <c r="AG7" s="55">
        <f t="shared" ref="AG7:AG28" si="6">IF(A7=0,0,D7)</f>
        <v>5.7500000000000002E-2</v>
      </c>
      <c r="AH7" s="87">
        <f t="shared" ref="AH7:AH28" si="7">D7/(J7/100)</f>
        <v>5.5266142519367172E-2</v>
      </c>
      <c r="AI7" s="62">
        <f t="shared" ref="AI7:AI28" si="8">A7*J7</f>
        <v>5202.1000000000004</v>
      </c>
      <c r="AJ7" s="56"/>
      <c r="AK7" s="56"/>
      <c r="AL7" s="56"/>
      <c r="AM7" s="88">
        <f t="shared" ref="AM7:AM28" si="9">(J7*10)*A7</f>
        <v>52021</v>
      </c>
      <c r="AN7" s="56"/>
      <c r="AO7" s="56"/>
      <c r="AP7" s="88">
        <f t="shared" ref="AP7:AP28" si="10">((D7/360)*180)*1000</f>
        <v>28.75</v>
      </c>
      <c r="AQ7" s="89">
        <f>DAYS360(Enter!C3,E7)/180</f>
        <v>21.211111111111112</v>
      </c>
      <c r="AR7" s="89">
        <f t="shared" ref="AR7:AR28" si="11">AQ7-INT(AQ7)</f>
        <v>0.21111111111111214</v>
      </c>
      <c r="AS7" s="90">
        <f>IF(AR7=0,0,AP7-(AP7)*AR7)</f>
        <v>22.680555555555525</v>
      </c>
      <c r="AT7" s="91">
        <f>IF(DAYS360(Enter!B3,Enter!C3)&lt;180,0,AS7*A7)</f>
        <v>1134.0277777777762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9.8672626902388265E-4</v>
      </c>
      <c r="AZ7" s="56"/>
      <c r="BA7" s="56"/>
      <c r="BB7" s="56"/>
      <c r="BC7" s="92">
        <f>IF(A7=0,0,IF(J7=100,D7,YIELD(Enter!C3,E7,D7,J7,100,2,0)))</f>
        <v>5.2474176675651546E-2</v>
      </c>
      <c r="BD7" s="94">
        <f>IF(A7=0,100,IF(F7=0,100,YIELD(Enter!C3,F7,D7,J7,G7,2,0)))</f>
        <v>2.2850258293493412E-2</v>
      </c>
      <c r="BE7" s="93">
        <f>IF(A7=0,1000,IF(H7=0,1000,YIELD(Enter!C3,H7,D7,J7,100,2,0)))</f>
        <v>1000</v>
      </c>
      <c r="BF7" s="93"/>
      <c r="BG7" s="131">
        <f>IF(R7=TRUE,BD7,MIN(BC7:BE7))</f>
        <v>2.2850258293493412E-2</v>
      </c>
      <c r="BH7" s="120">
        <f>IF(R7=TRUE,F7,IF(J7=100,E7,IF(MIN(BC7:BE7)=BC7,E7,IF(MIN(BC7:BE7)=BD7,F7,H7))))</f>
        <v>37438</v>
      </c>
      <c r="BI7" s="75"/>
    </row>
    <row r="8" spans="1:61" ht="15.75" x14ac:dyDescent="0.25">
      <c r="A8" s="223">
        <f>Enter!A4</f>
        <v>250</v>
      </c>
      <c r="B8" s="216" t="str">
        <f>Enter!D4</f>
        <v xml:space="preserve">AAA/ </v>
      </c>
      <c r="C8" s="262" t="str">
        <f>Enter!E4</f>
        <v>MIDWAY TX ISD PSF</v>
      </c>
      <c r="D8" s="217">
        <f>Enter!F4</f>
        <v>6.1249999999999999E-2</v>
      </c>
      <c r="E8" s="215">
        <f>Enter!G4</f>
        <v>39661</v>
      </c>
      <c r="F8" s="215">
        <f>Enter!H4</f>
        <v>37469</v>
      </c>
      <c r="G8" s="221">
        <f>Enter!I4</f>
        <v>100</v>
      </c>
      <c r="H8" s="215">
        <f>Enter!J4</f>
        <v>0</v>
      </c>
      <c r="I8" s="222" t="str">
        <f>Enter!K4</f>
        <v>Y=Yes</v>
      </c>
      <c r="J8" s="219">
        <f>Enter!L4</f>
        <v>102.633</v>
      </c>
      <c r="K8" s="162">
        <f t="shared" ref="K8:K28" si="13">IF(J8=100,0,IF(BG8=BC8,0,BG8))</f>
        <v>2.2459241045704379E-2</v>
      </c>
      <c r="L8" s="162">
        <f t="shared" ref="L8:L28" si="14">IF(A8=0,0,IF(R8=TRUE,0,BC8))</f>
        <v>0</v>
      </c>
      <c r="M8" s="162">
        <f t="shared" ref="M8:M28" si="15">IF(AG8=0,0,AH8)</f>
        <v>5.9678660859567585E-2</v>
      </c>
      <c r="N8" s="162">
        <f>IF(A8=0,0,IF(K8=0,L8*Enter!G$27,K8*Enter!G$27))</f>
        <v>3.4542312728293334E-2</v>
      </c>
      <c r="R8" s="55" t="b">
        <f>IF(I8&gt;0,TRUE,FALSE)</f>
        <v>1</v>
      </c>
      <c r="S8" s="68">
        <f t="shared" ref="S8:S28" si="16">IF(R8=TRUE,F8,E8)</f>
        <v>37469</v>
      </c>
      <c r="T8" s="69">
        <f t="shared" ref="T8:T28" si="17">IF(R8=TRUE,G8*A8*10,100*A8)</f>
        <v>250000</v>
      </c>
      <c r="U8" s="56">
        <v>2</v>
      </c>
      <c r="V8" s="66">
        <f t="shared" si="0"/>
        <v>15312.5</v>
      </c>
      <c r="W8" s="61"/>
      <c r="X8" s="62">
        <f>Volatility!AS8/Volatility!AS$29</f>
        <v>8.4640297579429175E-2</v>
      </c>
      <c r="Y8" s="67"/>
      <c r="Z8" s="96">
        <f t="shared" ref="Z8:Z28" si="18">S8</f>
        <v>37469</v>
      </c>
      <c r="AA8" s="56">
        <f>DAYS360(Enter!C4,Z8)</f>
        <v>248</v>
      </c>
      <c r="AB8" s="85">
        <f t="shared" si="1"/>
        <v>248</v>
      </c>
      <c r="AC8" s="56">
        <f t="shared" si="2"/>
        <v>20.990793799698434</v>
      </c>
      <c r="AD8" s="62">
        <f t="shared" si="3"/>
        <v>1.9009568455165488E-3</v>
      </c>
      <c r="AE8" s="86">
        <f t="shared" si="4"/>
        <v>2.2459241045704379E-2</v>
      </c>
      <c r="AF8" s="86">
        <f t="shared" si="5"/>
        <v>1.9009568455165488E-3</v>
      </c>
      <c r="AG8" s="55">
        <f t="shared" si="6"/>
        <v>6.1249999999999999E-2</v>
      </c>
      <c r="AH8" s="87">
        <f t="shared" si="7"/>
        <v>5.9678660859567585E-2</v>
      </c>
      <c r="AI8" s="62">
        <f t="shared" si="8"/>
        <v>25658.25</v>
      </c>
      <c r="AJ8" s="56"/>
      <c r="AK8" s="56"/>
      <c r="AL8" s="56"/>
      <c r="AM8" s="88">
        <f t="shared" si="9"/>
        <v>256582.49999999997</v>
      </c>
      <c r="AN8" s="56"/>
      <c r="AO8" s="56"/>
      <c r="AP8" s="88">
        <f t="shared" si="10"/>
        <v>30.625</v>
      </c>
      <c r="AQ8" s="89">
        <f>DAYS360(Enter!C4,E8)/180</f>
        <v>13.377777777777778</v>
      </c>
      <c r="AR8" s="89">
        <f t="shared" si="11"/>
        <v>0.37777777777777821</v>
      </c>
      <c r="AS8" s="97">
        <f t="shared" ref="AS8:AS28" si="19">IF(AR8=0,0,AP8-(AP8)*AR8)</f>
        <v>19.055555555555543</v>
      </c>
      <c r="AT8" s="91">
        <f>IF(DAYS360(Enter!B4,Enter!C4)&lt;180,0,AS8*A8)</f>
        <v>4763.888888888886</v>
      </c>
      <c r="AU8" s="69">
        <f>IF((DAYS360(Enter!B4,Enter!C4))&lt;180,(DAYS360(Enter!B4,Enter!C4))/180*AP8*A8,0)</f>
        <v>0</v>
      </c>
      <c r="AV8" s="89"/>
      <c r="AW8" s="89"/>
      <c r="AX8" s="56"/>
      <c r="AY8" s="62">
        <f t="shared" si="12"/>
        <v>5.1842182267400365E-3</v>
      </c>
      <c r="AZ8" s="56"/>
      <c r="BA8" s="56"/>
      <c r="BB8" s="56"/>
      <c r="BC8" s="92">
        <f>IF(A8=0,0,IF(J8=100,D8,YIELD(Enter!C4,E8,D8,J8,100,2,0)))</f>
        <v>5.6450922062392987E-2</v>
      </c>
      <c r="BD8" s="94">
        <f>IF(A8=0,100,IF(F8=0,100,YIELD(Enter!C4,F8,D8,J8,G8,2,0)))</f>
        <v>2.2459241045704379E-2</v>
      </c>
      <c r="BE8" s="94">
        <f>IF(A8=0,1000,IF(H8=0,1000,YIELD(Enter!C4,H8,D8,J8,100,2,0)))</f>
        <v>1000</v>
      </c>
      <c r="BF8" s="94"/>
      <c r="BG8" s="87">
        <f>IF(R8=TRUE,BD8,MIN(BC8:BE8))</f>
        <v>2.2459241045704379E-2</v>
      </c>
      <c r="BH8" s="95">
        <f>IF(R8=TRUE,F8,IF(J8=100,E8,IF(MIN(BC8:BE8)=BC8,E8,IF(MIN(BC8:BE8)=BD8,F8,H8))))</f>
        <v>37469</v>
      </c>
      <c r="BI8" s="75"/>
    </row>
    <row r="9" spans="1:61" ht="15.75" x14ac:dyDescent="0.25">
      <c r="A9" s="223">
        <f>Enter!A5</f>
        <v>50</v>
      </c>
      <c r="B9" s="216" t="str">
        <f>Enter!D5</f>
        <v>AAA/AAA</v>
      </c>
      <c r="C9" s="262" t="str">
        <f>Enter!E5</f>
        <v>JACKSONVILLE FLA</v>
      </c>
      <c r="D9" s="217">
        <f>Enter!F5</f>
        <v>4.3749999999999997E-2</v>
      </c>
      <c r="E9" s="215">
        <f>Enter!G5</f>
        <v>37530</v>
      </c>
      <c r="F9" s="215">
        <f>Enter!H5</f>
        <v>0</v>
      </c>
      <c r="G9" s="221">
        <f>Enter!I5</f>
        <v>0</v>
      </c>
      <c r="H9" s="215">
        <f>Enter!J5</f>
        <v>0</v>
      </c>
      <c r="I9" s="222">
        <f>Enter!K5</f>
        <v>0</v>
      </c>
      <c r="J9" s="219">
        <f>Enter!L5</f>
        <v>101.91800000000001</v>
      </c>
      <c r="K9" s="162">
        <f t="shared" si="13"/>
        <v>0</v>
      </c>
      <c r="L9" s="162">
        <f t="shared" si="14"/>
        <v>2.0984787320972816E-2</v>
      </c>
      <c r="M9" s="162">
        <f t="shared" si="15"/>
        <v>4.2926666535842539E-2</v>
      </c>
      <c r="N9" s="162">
        <f>IF(A9=0,0,IF(K9=0,L9*Enter!G$27,K9*Enter!G$27))</f>
        <v>3.2274602899656189E-2</v>
      </c>
      <c r="R9" s="55" t="b">
        <f t="shared" ref="R9:R28" si="20">IF(I9&gt;0,TRUE,FALSE)</f>
        <v>0</v>
      </c>
      <c r="S9" s="68">
        <f t="shared" si="16"/>
        <v>37530</v>
      </c>
      <c r="T9" s="69">
        <f t="shared" si="17"/>
        <v>5000</v>
      </c>
      <c r="U9" s="56">
        <v>3</v>
      </c>
      <c r="V9" s="66">
        <f t="shared" si="0"/>
        <v>2187.5</v>
      </c>
      <c r="W9" s="61"/>
      <c r="X9" s="62">
        <f>Volatility!AS9/Volatility!AS$29</f>
        <v>1.6810129000809221E-2</v>
      </c>
      <c r="Y9" s="67"/>
      <c r="Z9" s="96">
        <f t="shared" si="18"/>
        <v>37530</v>
      </c>
      <c r="AA9" s="56">
        <f>DAYS360(Enter!C5,Z9)</f>
        <v>308</v>
      </c>
      <c r="AB9" s="85">
        <f t="shared" si="1"/>
        <v>308</v>
      </c>
      <c r="AC9" s="56">
        <f t="shared" si="2"/>
        <v>5.1775197322492401</v>
      </c>
      <c r="AD9" s="62">
        <f t="shared" si="3"/>
        <v>3.5275698192009875E-4</v>
      </c>
      <c r="AE9" s="86">
        <f t="shared" si="4"/>
        <v>2.0984787320972816E-2</v>
      </c>
      <c r="AF9" s="86">
        <f t="shared" si="5"/>
        <v>3.5275698192009875E-4</v>
      </c>
      <c r="AG9" s="55">
        <f t="shared" si="6"/>
        <v>4.3749999999999997E-2</v>
      </c>
      <c r="AH9" s="87">
        <f t="shared" si="7"/>
        <v>4.2926666535842539E-2</v>
      </c>
      <c r="AI9" s="62">
        <f t="shared" si="8"/>
        <v>5095.9000000000005</v>
      </c>
      <c r="AJ9" s="56"/>
      <c r="AK9" s="56"/>
      <c r="AL9" s="56"/>
      <c r="AM9" s="88">
        <f t="shared" si="9"/>
        <v>50959</v>
      </c>
      <c r="AN9" s="56"/>
      <c r="AO9" s="56"/>
      <c r="AP9" s="88">
        <f t="shared" si="10"/>
        <v>21.875</v>
      </c>
      <c r="AQ9" s="89">
        <f>DAYS360(Enter!C5,E9)/180</f>
        <v>1.711111111111111</v>
      </c>
      <c r="AR9" s="89">
        <f t="shared" si="11"/>
        <v>0.71111111111111103</v>
      </c>
      <c r="AS9" s="97">
        <f t="shared" si="19"/>
        <v>6.3194444444444464</v>
      </c>
      <c r="AT9" s="91">
        <f>IF(DAYS360(Enter!B5,Enter!C5)&lt;180,0,AS9*A9)</f>
        <v>315.97222222222234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7.3544314378540341E-4</v>
      </c>
      <c r="AZ9" s="56"/>
      <c r="BA9" s="56"/>
      <c r="BB9" s="56"/>
      <c r="BC9" s="92">
        <f>IF(A9=0,0,IF(J9=100,D9,YIELD(Enter!C5,E9,D9,J9,100,2,0)))</f>
        <v>2.0984787320972816E-2</v>
      </c>
      <c r="BD9" s="94">
        <f>IF(A9=0,100,IF(F9=0,100,YIELD(Enter!C5,F9,D9,J9,G9,2,0)))</f>
        <v>100</v>
      </c>
      <c r="BE9" s="94">
        <f>IF(A9=0,1000,IF(H9=0,1000,YIELD(Enter!C5,H9,D9,J9,100,2,0)))</f>
        <v>1000</v>
      </c>
      <c r="BF9" s="94"/>
      <c r="BG9" s="87">
        <f>IF(R9=TRUE,BD9,MIN(BC9:BE9))</f>
        <v>2.0984787320972816E-2</v>
      </c>
      <c r="BH9" s="95">
        <f>IF(R9=TRUE,F9,IF(J9=100,E9,IF(MIN(BC9:BE9)=BC9,E9,IF(MIN(BC9:BE9)=BD9,F9,H9))))</f>
        <v>37530</v>
      </c>
      <c r="BI9" s="75"/>
    </row>
    <row r="10" spans="1:61" ht="15.75" x14ac:dyDescent="0.25">
      <c r="A10" s="223">
        <f>Enter!A6</f>
        <v>50</v>
      </c>
      <c r="B10" s="216" t="str">
        <f>Enter!D6</f>
        <v>AAA/AAA</v>
      </c>
      <c r="C10" s="262" t="str">
        <f>Enter!E6</f>
        <v>UTAH STATE</v>
      </c>
      <c r="D10" s="217">
        <f>Enter!F6</f>
        <v>0.05</v>
      </c>
      <c r="E10" s="215">
        <f>Enter!G6</f>
        <v>37803</v>
      </c>
      <c r="F10" s="215">
        <f>Enter!H6</f>
        <v>0</v>
      </c>
      <c r="G10" s="221">
        <f>Enter!I6</f>
        <v>0</v>
      </c>
      <c r="H10" s="215">
        <f>Enter!J6</f>
        <v>0</v>
      </c>
      <c r="I10" s="222">
        <f>Enter!K6</f>
        <v>0</v>
      </c>
      <c r="J10" s="219">
        <f>Enter!L6</f>
        <v>104.229</v>
      </c>
      <c r="K10" s="162">
        <f t="shared" si="13"/>
        <v>0</v>
      </c>
      <c r="L10" s="162">
        <f t="shared" si="14"/>
        <v>2.3004402102250725E-2</v>
      </c>
      <c r="M10" s="162">
        <f t="shared" si="15"/>
        <v>4.7971293977683759E-2</v>
      </c>
      <c r="N10" s="162">
        <f>IF(A10=0,0,IF(K10=0,L10*Enter!G$27,K10*Enter!G$27))</f>
        <v>3.538077043326162E-2</v>
      </c>
      <c r="R10" s="55" t="b">
        <f t="shared" si="20"/>
        <v>0</v>
      </c>
      <c r="S10" s="68">
        <f t="shared" si="16"/>
        <v>37803</v>
      </c>
      <c r="T10" s="69">
        <f t="shared" si="17"/>
        <v>5000</v>
      </c>
      <c r="U10" s="56">
        <v>4</v>
      </c>
      <c r="V10" s="66">
        <f t="shared" si="0"/>
        <v>2500</v>
      </c>
      <c r="W10" s="61"/>
      <c r="X10" s="62">
        <f>Volatility!AS10/Volatility!AS$29</f>
        <v>1.7191300218070839E-2</v>
      </c>
      <c r="Y10" s="67"/>
      <c r="Z10" s="96">
        <f t="shared" si="18"/>
        <v>37803</v>
      </c>
      <c r="AA10" s="56">
        <f>DAYS360(Enter!C6,Z10)</f>
        <v>578</v>
      </c>
      <c r="AB10" s="85">
        <f t="shared" si="1"/>
        <v>578</v>
      </c>
      <c r="AC10" s="56">
        <f t="shared" si="2"/>
        <v>9.9365715260449452</v>
      </c>
      <c r="AD10" s="62">
        <f t="shared" si="3"/>
        <v>3.9547558287701218E-4</v>
      </c>
      <c r="AE10" s="86">
        <f t="shared" si="4"/>
        <v>2.3004402102250725E-2</v>
      </c>
      <c r="AF10" s="86">
        <f t="shared" si="5"/>
        <v>3.9547558287701218E-4</v>
      </c>
      <c r="AG10" s="55">
        <f t="shared" si="6"/>
        <v>0.05</v>
      </c>
      <c r="AH10" s="87">
        <f t="shared" si="7"/>
        <v>4.7971293977683759E-2</v>
      </c>
      <c r="AI10" s="62">
        <f t="shared" si="8"/>
        <v>5211.45</v>
      </c>
      <c r="AJ10" s="56"/>
      <c r="AK10" s="56"/>
      <c r="AL10" s="56"/>
      <c r="AM10" s="88">
        <f t="shared" si="9"/>
        <v>52114.5</v>
      </c>
      <c r="AN10" s="56"/>
      <c r="AO10" s="56"/>
      <c r="AP10" s="88">
        <f t="shared" si="10"/>
        <v>25</v>
      </c>
      <c r="AQ10" s="89">
        <f>DAYS360(Enter!C6,E10)/180</f>
        <v>3.2111111111111112</v>
      </c>
      <c r="AR10" s="89">
        <f t="shared" si="11"/>
        <v>0.21111111111111125</v>
      </c>
      <c r="AS10" s="97">
        <f t="shared" si="19"/>
        <v>19.722222222222218</v>
      </c>
      <c r="AT10" s="91">
        <f>IF(DAYS360(Enter!B6,Enter!C6)&lt;180,0,AS10*A10)</f>
        <v>986.11111111111086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8.5956501090354203E-4</v>
      </c>
      <c r="AZ10" s="56"/>
      <c r="BA10" s="56"/>
      <c r="BB10" s="56"/>
      <c r="BC10" s="92">
        <f>IF(A10=0,0,IF(J10=100,D10,YIELD(Enter!C6,E10,D10,J10,100,2,0)))</f>
        <v>2.3004402102250725E-2</v>
      </c>
      <c r="BD10" s="94">
        <f>IF(A10=0,100,IF(F10=0,100,YIELD(Enter!C6,F10,D10,J10,G10,2,0)))</f>
        <v>100</v>
      </c>
      <c r="BE10" s="94">
        <f>IF(A10=0,1000,IF(H10=0,1000,YIELD(Enter!C6,H10,D10,J10,100,2,0)))</f>
        <v>1000</v>
      </c>
      <c r="BF10" s="94"/>
      <c r="BG10" s="87">
        <f>IF(R10=TRUE,BD10,MIN(BC10:BE10))</f>
        <v>2.3004402102250725E-2</v>
      </c>
      <c r="BH10" s="95">
        <f>IF(R10=TRUE,F10,IF(J10=100,E10,IF(MIN(BC10:BE10)=BC10,E10,IF(MIN(BC10:BE10)=BD10,F10,H10))))</f>
        <v>37803</v>
      </c>
      <c r="BI10" s="75"/>
    </row>
    <row r="11" spans="1:61" ht="15.75" x14ac:dyDescent="0.25">
      <c r="A11" s="223">
        <f>Enter!A7</f>
        <v>300</v>
      </c>
      <c r="B11" s="216" t="str">
        <f>Enter!D7</f>
        <v>AAA/AAA</v>
      </c>
      <c r="C11" s="262" t="str">
        <f>Enter!E7</f>
        <v>BUCKS CO PA</v>
      </c>
      <c r="D11" s="217">
        <f>Enter!F7</f>
        <v>4.65E-2</v>
      </c>
      <c r="E11" s="215">
        <f>Enter!G7</f>
        <v>37848</v>
      </c>
      <c r="F11" s="215">
        <f>Enter!H7</f>
        <v>0</v>
      </c>
      <c r="G11" s="221">
        <f>Enter!I7</f>
        <v>0</v>
      </c>
      <c r="H11" s="215">
        <f>Enter!J7</f>
        <v>0</v>
      </c>
      <c r="I11" s="222">
        <f>Enter!K7</f>
        <v>0</v>
      </c>
      <c r="J11" s="219">
        <f>Enter!L7</f>
        <v>104.123</v>
      </c>
      <c r="K11" s="162">
        <f t="shared" si="13"/>
        <v>0</v>
      </c>
      <c r="L11" s="162">
        <f t="shared" si="14"/>
        <v>2.2030042257806609E-2</v>
      </c>
      <c r="M11" s="162">
        <f t="shared" si="15"/>
        <v>4.4658720935816291E-2</v>
      </c>
      <c r="N11" s="162">
        <f>IF(A11=0,0,IF(K11=0,L11*Enter!G$27,K11*Enter!G$27))</f>
        <v>3.3882204992506562E-2</v>
      </c>
      <c r="R11" s="55" t="b">
        <f t="shared" si="20"/>
        <v>0</v>
      </c>
      <c r="S11" s="68">
        <f t="shared" si="16"/>
        <v>37848</v>
      </c>
      <c r="T11" s="69">
        <f t="shared" si="17"/>
        <v>30000</v>
      </c>
      <c r="U11" s="56">
        <v>5</v>
      </c>
      <c r="V11" s="66">
        <f t="shared" si="0"/>
        <v>13950</v>
      </c>
      <c r="W11" s="61"/>
      <c r="X11" s="62">
        <f>Volatility!AS11/Volatility!AS$29</f>
        <v>0.10304290087823102</v>
      </c>
      <c r="Y11" s="67"/>
      <c r="Z11" s="96">
        <f t="shared" si="18"/>
        <v>37848</v>
      </c>
      <c r="AA11" s="56">
        <f>DAYS360(Enter!C7,Z11)</f>
        <v>622</v>
      </c>
      <c r="AB11" s="85">
        <f t="shared" si="1"/>
        <v>622</v>
      </c>
      <c r="AC11" s="56">
        <f t="shared" si="2"/>
        <v>64.092684346259702</v>
      </c>
      <c r="AD11" s="62">
        <f t="shared" si="3"/>
        <v>2.2700394607144073E-3</v>
      </c>
      <c r="AE11" s="86">
        <f t="shared" si="4"/>
        <v>2.2030042257806609E-2</v>
      </c>
      <c r="AF11" s="86">
        <f t="shared" si="5"/>
        <v>2.2700394607144073E-3</v>
      </c>
      <c r="AG11" s="55">
        <f t="shared" si="6"/>
        <v>4.65E-2</v>
      </c>
      <c r="AH11" s="87">
        <f t="shared" si="7"/>
        <v>4.4658720935816291E-2</v>
      </c>
      <c r="AI11" s="62">
        <f t="shared" si="8"/>
        <v>31236.9</v>
      </c>
      <c r="AJ11" s="56"/>
      <c r="AK11" s="56"/>
      <c r="AL11" s="56"/>
      <c r="AM11" s="88">
        <f t="shared" si="9"/>
        <v>312369</v>
      </c>
      <c r="AN11" s="56"/>
      <c r="AO11" s="56"/>
      <c r="AP11" s="88">
        <f t="shared" si="10"/>
        <v>23.25</v>
      </c>
      <c r="AQ11" s="89">
        <f>DAYS360(Enter!C7,E11)/180</f>
        <v>3.4555555555555557</v>
      </c>
      <c r="AR11" s="89">
        <f t="shared" si="11"/>
        <v>0.45555555555555571</v>
      </c>
      <c r="AS11" s="97">
        <f t="shared" si="19"/>
        <v>12.65833333333333</v>
      </c>
      <c r="AT11" s="91">
        <f>IF(DAYS360(Enter!B7,Enter!C7)&lt;180,0,AS11*A11)</f>
        <v>3797.4999999999991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4.7914948908377424E-3</v>
      </c>
      <c r="AZ11" s="56"/>
      <c r="BA11" s="56"/>
      <c r="BB11" s="56"/>
      <c r="BC11" s="92">
        <f>IF(A11=0,0,IF(J11=100,D11,YIELD(Enter!C7,E11,D11,J11,100,2,0)))</f>
        <v>2.2030042257806609E-2</v>
      </c>
      <c r="BD11" s="94">
        <f>IF(A11=0,100,IF(F11=0,100,YIELD(Enter!C7,F11,D11,J11,G11,2,0)))</f>
        <v>100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2.2030042257806609E-2</v>
      </c>
      <c r="BH11" s="95">
        <f t="shared" ref="BH11:BH28" si="22">IF(R11=TRUE,F11,IF(J11=100,E11,IF(MIN(BC11:BE11)=BC11,E11,IF(MIN(BC11:BE11)=BD11,F11,H11))))</f>
        <v>37848</v>
      </c>
      <c r="BI11" s="75"/>
    </row>
    <row r="12" spans="1:61" ht="15.75" x14ac:dyDescent="0.25">
      <c r="A12" s="223">
        <f>Enter!A8</f>
        <v>50</v>
      </c>
      <c r="B12" s="216" t="str">
        <f>Enter!D8</f>
        <v>AAA/AAA</v>
      </c>
      <c r="C12" s="262" t="str">
        <f>Enter!E8</f>
        <v>CLEVELAND OHIO</v>
      </c>
      <c r="D12" s="217">
        <f>Enter!F8</f>
        <v>0.05</v>
      </c>
      <c r="E12" s="215">
        <f>Enter!G8</f>
        <v>37865</v>
      </c>
      <c r="F12" s="215">
        <f>Enter!H8</f>
        <v>0</v>
      </c>
      <c r="G12" s="221">
        <f>Enter!I8</f>
        <v>0</v>
      </c>
      <c r="H12" s="215">
        <f>Enter!J8</f>
        <v>0</v>
      </c>
      <c r="I12" s="222">
        <f>Enter!K8</f>
        <v>0</v>
      </c>
      <c r="J12" s="219">
        <f>Enter!L8</f>
        <v>104.47499999999999</v>
      </c>
      <c r="K12" s="162">
        <f t="shared" si="13"/>
        <v>0</v>
      </c>
      <c r="L12" s="162">
        <f t="shared" si="14"/>
        <v>2.403475432546771E-2</v>
      </c>
      <c r="M12" s="162">
        <f t="shared" si="15"/>
        <v>4.7858339315625754E-2</v>
      </c>
      <c r="N12" s="162">
        <f>IF(A12=0,0,IF(K12=0,L12*Enter!G$27,K12*Enter!G$27))</f>
        <v>3.6965452152569342E-2</v>
      </c>
      <c r="R12" s="55" t="b">
        <f t="shared" si="20"/>
        <v>0</v>
      </c>
      <c r="S12" s="68">
        <f t="shared" si="16"/>
        <v>37865</v>
      </c>
      <c r="T12" s="69">
        <f t="shared" si="17"/>
        <v>5000</v>
      </c>
      <c r="U12" s="56">
        <v>6</v>
      </c>
      <c r="V12" s="66">
        <f t="shared" si="0"/>
        <v>2500</v>
      </c>
      <c r="W12" s="61"/>
      <c r="X12" s="62">
        <f>Volatility!AS12/Volatility!AS$29</f>
        <v>1.7231874912768529E-2</v>
      </c>
      <c r="Y12" s="67"/>
      <c r="Z12" s="96">
        <f t="shared" si="18"/>
        <v>37865</v>
      </c>
      <c r="AA12" s="56">
        <f>DAYS360(Enter!C8,Z12)</f>
        <v>638</v>
      </c>
      <c r="AB12" s="85">
        <f t="shared" si="1"/>
        <v>638</v>
      </c>
      <c r="AC12" s="56">
        <f t="shared" si="2"/>
        <v>10.993936194346322</v>
      </c>
      <c r="AD12" s="62">
        <f t="shared" si="3"/>
        <v>4.1416388009558191E-4</v>
      </c>
      <c r="AE12" s="86">
        <f t="shared" si="4"/>
        <v>2.403475432546771E-2</v>
      </c>
      <c r="AF12" s="86">
        <f t="shared" si="5"/>
        <v>4.1416388009558191E-4</v>
      </c>
      <c r="AG12" s="55">
        <f t="shared" si="6"/>
        <v>0.05</v>
      </c>
      <c r="AH12" s="87">
        <f t="shared" si="7"/>
        <v>4.7858339315625754E-2</v>
      </c>
      <c r="AI12" s="62">
        <f t="shared" si="8"/>
        <v>5223.75</v>
      </c>
      <c r="AJ12" s="56"/>
      <c r="AK12" s="56"/>
      <c r="AL12" s="56"/>
      <c r="AM12" s="88">
        <f t="shared" si="9"/>
        <v>52237.5</v>
      </c>
      <c r="AN12" s="56"/>
      <c r="AO12" s="56"/>
      <c r="AP12" s="88">
        <f t="shared" si="10"/>
        <v>25</v>
      </c>
      <c r="AQ12" s="89">
        <f>DAYS360(Enter!C8,E12)/180</f>
        <v>3.5444444444444443</v>
      </c>
      <c r="AR12" s="89">
        <f t="shared" si="11"/>
        <v>0.54444444444444429</v>
      </c>
      <c r="AS12" s="97">
        <f t="shared" si="19"/>
        <v>11.388888888888893</v>
      </c>
      <c r="AT12" s="91">
        <f>IF(DAYS360(Enter!B8,Enter!C8)&lt;180,0,AS12*A12)</f>
        <v>569.44444444444468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8.6159374563842645E-4</v>
      </c>
      <c r="AZ12" s="56"/>
      <c r="BA12" s="56"/>
      <c r="BB12" s="56"/>
      <c r="BC12" s="92">
        <f>IF(A12=0,0,IF(J12=100,D12,YIELD(Enter!C8,E12,D12,J12,100,2,0)))</f>
        <v>2.403475432546771E-2</v>
      </c>
      <c r="BD12" s="94">
        <f>IF(A12=0,100,IF(F12=0,100,YIELD(Enter!C8,F12,D12,J12,G12,2,0)))</f>
        <v>100</v>
      </c>
      <c r="BE12" s="94">
        <f>IF(A12=0,1000,IF(H12=0,1000,YIELD(Enter!C8,H12,D12,J12,100,2,0)))</f>
        <v>1000</v>
      </c>
      <c r="BF12" s="94"/>
      <c r="BG12" s="87">
        <f t="shared" si="21"/>
        <v>2.403475432546771E-2</v>
      </c>
      <c r="BH12" s="95">
        <f t="shared" si="22"/>
        <v>37865</v>
      </c>
      <c r="BI12" s="75"/>
    </row>
    <row r="13" spans="1:61" ht="15.75" x14ac:dyDescent="0.25">
      <c r="A13" s="223">
        <f>Enter!A9</f>
        <v>260</v>
      </c>
      <c r="B13" s="216" t="str">
        <f>Enter!D9</f>
        <v>AA3/AA</v>
      </c>
      <c r="C13" s="262" t="str">
        <f>Enter!E9</f>
        <v>DELAWARE CO PA</v>
      </c>
      <c r="D13" s="217">
        <f>Enter!F9</f>
        <v>0</v>
      </c>
      <c r="E13" s="215">
        <f>Enter!G9</f>
        <v>37940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95.126000000000005</v>
      </c>
      <c r="K13" s="162">
        <f t="shared" si="13"/>
        <v>0</v>
      </c>
      <c r="L13" s="162">
        <f t="shared" si="14"/>
        <v>2.5424896619596914E-2</v>
      </c>
      <c r="M13" s="162">
        <f t="shared" si="15"/>
        <v>0</v>
      </c>
      <c r="N13" s="162">
        <f>IF(A13=0,0,IF(K13=0,L13*Enter!G$27,K13*Enter!G$27))</f>
        <v>3.9103491000940058E-2</v>
      </c>
      <c r="R13" s="55" t="b">
        <f t="shared" si="20"/>
        <v>0</v>
      </c>
      <c r="S13" s="68">
        <f t="shared" si="16"/>
        <v>37940</v>
      </c>
      <c r="T13" s="69">
        <f t="shared" si="17"/>
        <v>26000</v>
      </c>
      <c r="U13" s="56">
        <v>7</v>
      </c>
      <c r="V13" s="66">
        <f t="shared" si="0"/>
        <v>0</v>
      </c>
      <c r="W13" s="61"/>
      <c r="X13" s="62">
        <f>Volatility!AS13/Volatility!AS$29</f>
        <v>8.1587332197659734E-2</v>
      </c>
      <c r="Y13" s="67"/>
      <c r="Z13" s="96">
        <f t="shared" si="18"/>
        <v>37940</v>
      </c>
      <c r="AA13" s="56">
        <f>DAYS360(Enter!C9,Z13)</f>
        <v>712</v>
      </c>
      <c r="AB13" s="85">
        <f t="shared" si="1"/>
        <v>712</v>
      </c>
      <c r="AC13" s="56">
        <f t="shared" si="2"/>
        <v>58.090180524733732</v>
      </c>
      <c r="AD13" s="62">
        <f t="shared" si="3"/>
        <v>2.0743494865942094E-3</v>
      </c>
      <c r="AE13" s="86">
        <f t="shared" si="4"/>
        <v>2.5424896619596914E-2</v>
      </c>
      <c r="AF13" s="86">
        <f t="shared" si="5"/>
        <v>2.0743494865942094E-3</v>
      </c>
      <c r="AG13" s="55">
        <f t="shared" si="6"/>
        <v>0</v>
      </c>
      <c r="AH13" s="87">
        <f t="shared" si="7"/>
        <v>0</v>
      </c>
      <c r="AI13" s="62">
        <f t="shared" si="8"/>
        <v>24732.760000000002</v>
      </c>
      <c r="AJ13" s="56"/>
      <c r="AK13" s="56"/>
      <c r="AL13" s="56"/>
      <c r="AM13" s="88">
        <f t="shared" si="9"/>
        <v>247327.6</v>
      </c>
      <c r="AN13" s="56"/>
      <c r="AO13" s="56"/>
      <c r="AP13" s="88">
        <f t="shared" si="10"/>
        <v>0</v>
      </c>
      <c r="AQ13" s="89">
        <f>DAYS360(Enter!C9,E13)/180</f>
        <v>3.9555555555555557</v>
      </c>
      <c r="AR13" s="89">
        <f t="shared" si="11"/>
        <v>0.95555555555555571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2.5424896619596914E-2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2.5424896619596914E-2</v>
      </c>
      <c r="BH13" s="95">
        <f t="shared" si="22"/>
        <v>37940</v>
      </c>
      <c r="BI13" s="75"/>
    </row>
    <row r="14" spans="1:61" ht="15.75" x14ac:dyDescent="0.25">
      <c r="A14" s="223">
        <f>Enter!A10</f>
        <v>200</v>
      </c>
      <c r="B14" s="216" t="str">
        <f>Enter!D10</f>
        <v>AAA/AAA</v>
      </c>
      <c r="C14" s="262" t="str">
        <f>Enter!E10</f>
        <v>PORT HOUSTON</v>
      </c>
      <c r="D14" s="217">
        <f>Enter!F10</f>
        <v>4.6249999999999999E-2</v>
      </c>
      <c r="E14" s="215">
        <f>Enter!G10</f>
        <v>42644</v>
      </c>
      <c r="F14" s="215">
        <f>Enter!H10</f>
        <v>40817</v>
      </c>
      <c r="G14" s="221">
        <f>Enter!I10</f>
        <v>100</v>
      </c>
      <c r="H14" s="215">
        <f>Enter!J10</f>
        <v>0</v>
      </c>
      <c r="I14" s="222">
        <f>Enter!K10</f>
        <v>0</v>
      </c>
      <c r="J14" s="219">
        <f>Enter!L10</f>
        <v>100.979</v>
      </c>
      <c r="K14" s="162">
        <f t="shared" si="13"/>
        <v>4.5000394382730249E-2</v>
      </c>
      <c r="L14" s="162">
        <f t="shared" si="14"/>
        <v>4.5331208198289973E-2</v>
      </c>
      <c r="M14" s="162">
        <f t="shared" si="15"/>
        <v>4.5801602313352285E-2</v>
      </c>
      <c r="N14" s="162">
        <f>IF(A14=0,0,IF(K14=0,L14*Enter!G$27,K14*Enter!G$27))</f>
        <v>6.9210606560639126E-2</v>
      </c>
      <c r="R14" s="55" t="b">
        <f t="shared" si="20"/>
        <v>0</v>
      </c>
      <c r="S14" s="68">
        <f t="shared" si="16"/>
        <v>42644</v>
      </c>
      <c r="T14" s="69">
        <f t="shared" si="17"/>
        <v>20000</v>
      </c>
      <c r="U14" s="56">
        <v>8</v>
      </c>
      <c r="V14" s="66">
        <f t="shared" si="0"/>
        <v>9250</v>
      </c>
      <c r="W14" s="61"/>
      <c r="X14" s="62">
        <f>Volatility!AS14/Volatility!AS$29</f>
        <v>6.6621009689072155E-2</v>
      </c>
      <c r="Y14" s="67"/>
      <c r="Z14" s="96">
        <f t="shared" si="18"/>
        <v>42644</v>
      </c>
      <c r="AA14" s="56">
        <f>DAYS360(Enter!C10,Z14)</f>
        <v>5342</v>
      </c>
      <c r="AB14" s="85">
        <f t="shared" si="1"/>
        <v>5342</v>
      </c>
      <c r="AC14" s="56">
        <f t="shared" si="2"/>
        <v>355.88943375902346</v>
      </c>
      <c r="AD14" s="62">
        <f t="shared" si="3"/>
        <v>2.9979717101839402E-3</v>
      </c>
      <c r="AE14" s="86">
        <f t="shared" si="4"/>
        <v>4.5000394382730249E-2</v>
      </c>
      <c r="AF14" s="86">
        <f t="shared" si="5"/>
        <v>2.9979717101839402E-3</v>
      </c>
      <c r="AG14" s="55">
        <f t="shared" si="6"/>
        <v>4.6249999999999999E-2</v>
      </c>
      <c r="AH14" s="87">
        <f t="shared" si="7"/>
        <v>4.5801602313352285E-2</v>
      </c>
      <c r="AI14" s="62">
        <f t="shared" si="8"/>
        <v>20195.8</v>
      </c>
      <c r="AJ14" s="56"/>
      <c r="AK14" s="56"/>
      <c r="AL14" s="56"/>
      <c r="AM14" s="88">
        <f t="shared" si="9"/>
        <v>201958</v>
      </c>
      <c r="AN14" s="56"/>
      <c r="AO14" s="56"/>
      <c r="AP14" s="88">
        <f t="shared" si="10"/>
        <v>23.125000000000004</v>
      </c>
      <c r="AQ14" s="89">
        <f>DAYS360(Enter!C10,E14)/180</f>
        <v>29.677777777777777</v>
      </c>
      <c r="AR14" s="89">
        <f t="shared" si="11"/>
        <v>0.67777777777777715</v>
      </c>
      <c r="AS14" s="97">
        <f t="shared" si="19"/>
        <v>7.4513888888889053</v>
      </c>
      <c r="AT14" s="91">
        <f>IF(DAYS360(Enter!B10,Enter!C10)&lt;180,0,AS14*A14)</f>
        <v>0</v>
      </c>
      <c r="AU14" s="69">
        <f>IF((DAYS360(Enter!B10,Enter!C10))&lt;180,(DAYS360(Enter!B10,Enter!C10))/180*AP14*A14,0)</f>
        <v>719.44444444444457</v>
      </c>
      <c r="AV14" s="89"/>
      <c r="AW14" s="89"/>
      <c r="AX14" s="56"/>
      <c r="AY14" s="62">
        <f t="shared" si="12"/>
        <v>3.0812216981195872E-3</v>
      </c>
      <c r="AZ14" s="56"/>
      <c r="BA14" s="56"/>
      <c r="BB14" s="56"/>
      <c r="BC14" s="92">
        <f>IF(A14=0,0,IF(J14=100,D14,YIELD(Enter!C10,E14,D14,J14,100,2,0)))</f>
        <v>4.5331208198289973E-2</v>
      </c>
      <c r="BD14" s="94">
        <f>IF(A14=0,100,IF(F14=0,100,YIELD(Enter!C10,F14,D14,J14,G14,2,0)))</f>
        <v>4.5000394382730249E-2</v>
      </c>
      <c r="BE14" s="94">
        <f>IF(A14=0,1000,IF(H14=0,1000,YIELD(Enter!C10,H14,D14,J14,100,2,0)))</f>
        <v>1000</v>
      </c>
      <c r="BF14" s="94"/>
      <c r="BG14" s="87">
        <f t="shared" si="21"/>
        <v>4.5000394382730249E-2</v>
      </c>
      <c r="BH14" s="95">
        <f t="shared" si="22"/>
        <v>40817</v>
      </c>
      <c r="BI14" s="75"/>
    </row>
    <row r="15" spans="1:61" ht="15.75" x14ac:dyDescent="0.25">
      <c r="A15" s="223">
        <f>Enter!A11</f>
        <v>200</v>
      </c>
      <c r="B15" s="216" t="str">
        <f>Enter!D11</f>
        <v>AAA/AAA</v>
      </c>
      <c r="C15" s="262" t="str">
        <f>Enter!E11</f>
        <v>PORT HOUSTON</v>
      </c>
      <c r="D15" s="217">
        <f>Enter!F11</f>
        <v>4.7500000000000001E-2</v>
      </c>
      <c r="E15" s="215">
        <f>Enter!G11</f>
        <v>43009</v>
      </c>
      <c r="F15" s="215">
        <f>Enter!H11</f>
        <v>40817</v>
      </c>
      <c r="G15" s="221">
        <f>Enter!I11</f>
        <v>100</v>
      </c>
      <c r="H15" s="215">
        <f>Enter!J11</f>
        <v>0</v>
      </c>
      <c r="I15" s="222">
        <f>Enter!K11</f>
        <v>0</v>
      </c>
      <c r="J15" s="219">
        <f>Enter!L11</f>
        <v>101.566</v>
      </c>
      <c r="K15" s="162">
        <f t="shared" si="13"/>
        <v>4.5500440824577805E-2</v>
      </c>
      <c r="L15" s="162">
        <f t="shared" si="14"/>
        <v>4.6090725004782424E-2</v>
      </c>
      <c r="M15" s="162">
        <f t="shared" si="15"/>
        <v>4.6767619085126916E-2</v>
      </c>
      <c r="N15" s="162">
        <f>IF(A15=0,0,IF(K15=0,L15*Enter!G$27,K15*Enter!G$27))</f>
        <v>6.9979677988200664E-2</v>
      </c>
      <c r="R15" s="55" t="b">
        <f t="shared" si="20"/>
        <v>0</v>
      </c>
      <c r="S15" s="68">
        <f t="shared" si="16"/>
        <v>43009</v>
      </c>
      <c r="T15" s="69">
        <f t="shared" si="17"/>
        <v>20000</v>
      </c>
      <c r="U15" s="56">
        <v>9</v>
      </c>
      <c r="V15" s="66">
        <f t="shared" si="0"/>
        <v>9500</v>
      </c>
      <c r="W15" s="61"/>
      <c r="X15" s="62">
        <f>Volatility!AS15/Volatility!AS$29</f>
        <v>6.7008283604316765E-2</v>
      </c>
      <c r="Y15" s="67"/>
      <c r="Z15" s="96">
        <f t="shared" si="18"/>
        <v>43009</v>
      </c>
      <c r="AA15" s="56">
        <f>DAYS360(Enter!C11,Z15)</f>
        <v>5702</v>
      </c>
      <c r="AB15" s="85">
        <f t="shared" si="1"/>
        <v>5702</v>
      </c>
      <c r="AC15" s="56">
        <f t="shared" si="2"/>
        <v>382.08123311181419</v>
      </c>
      <c r="AD15" s="62">
        <f t="shared" si="3"/>
        <v>3.0489064428947422E-3</v>
      </c>
      <c r="AE15" s="86">
        <f t="shared" si="4"/>
        <v>4.5500440824577805E-2</v>
      </c>
      <c r="AF15" s="86">
        <f t="shared" si="5"/>
        <v>3.0489064428947422E-3</v>
      </c>
      <c r="AG15" s="55">
        <f t="shared" si="6"/>
        <v>4.7500000000000001E-2</v>
      </c>
      <c r="AH15" s="87">
        <f t="shared" si="7"/>
        <v>4.6767619085126916E-2</v>
      </c>
      <c r="AI15" s="62">
        <f t="shared" si="8"/>
        <v>20313.2</v>
      </c>
      <c r="AJ15" s="56"/>
      <c r="AK15" s="56"/>
      <c r="AL15" s="56"/>
      <c r="AM15" s="88">
        <f t="shared" si="9"/>
        <v>203132.00000000003</v>
      </c>
      <c r="AN15" s="56"/>
      <c r="AO15" s="56"/>
      <c r="AP15" s="88">
        <f t="shared" si="10"/>
        <v>23.750000000000004</v>
      </c>
      <c r="AQ15" s="89">
        <f>DAYS360(Enter!C11,E15)/180</f>
        <v>31.677777777777777</v>
      </c>
      <c r="AR15" s="89">
        <f t="shared" si="11"/>
        <v>0.67777777777777715</v>
      </c>
      <c r="AS15" s="97">
        <f t="shared" si="19"/>
        <v>7.6527777777777928</v>
      </c>
      <c r="AT15" s="91">
        <f>IF(DAYS360(Enter!B11,Enter!C11)&lt;180,0,AS15*A15)</f>
        <v>0</v>
      </c>
      <c r="AU15" s="69">
        <f>IF((DAYS360(Enter!B11,Enter!C11))&lt;180,(DAYS360(Enter!B11,Enter!C11))/180*AP15*A15,0)</f>
        <v>738.88888888888903</v>
      </c>
      <c r="AV15" s="89"/>
      <c r="AW15" s="89"/>
      <c r="AX15" s="56"/>
      <c r="AY15" s="62">
        <f t="shared" si="12"/>
        <v>3.1828934712050463E-3</v>
      </c>
      <c r="AZ15" s="56"/>
      <c r="BA15" s="56"/>
      <c r="BB15" s="56"/>
      <c r="BC15" s="92">
        <f>IF(A15=0,0,IF(J15=100,D15,YIELD(Enter!C11,E15,D15,J15,100,2,0)))</f>
        <v>4.6090725004782424E-2</v>
      </c>
      <c r="BD15" s="94">
        <f>IF(A15=0,100,IF(F15=0,100,YIELD(Enter!C11,F15,D15,J15,G15,2,0)))</f>
        <v>4.5500440824577805E-2</v>
      </c>
      <c r="BE15" s="94">
        <f>IF(A15=0,1000,IF(H15=0,1000,YIELD(Enter!C11,H15,D15,J15,100,2,0)))</f>
        <v>1000</v>
      </c>
      <c r="BF15" s="94"/>
      <c r="BG15" s="87">
        <f t="shared" si="21"/>
        <v>4.5500440824577805E-2</v>
      </c>
      <c r="BH15" s="95">
        <f t="shared" si="22"/>
        <v>40817</v>
      </c>
      <c r="BI15" s="75"/>
    </row>
    <row r="16" spans="1:61" ht="15.75" x14ac:dyDescent="0.25">
      <c r="A16" s="223">
        <f>Enter!A12</f>
        <v>200</v>
      </c>
      <c r="B16" s="216" t="str">
        <f>Enter!D12</f>
        <v>AAA/AAA</v>
      </c>
      <c r="C16" s="262" t="str">
        <f>Enter!E12</f>
        <v>MONROE WISC SCH</v>
      </c>
      <c r="D16" s="217">
        <f>Enter!F12</f>
        <v>4.8750000000000002E-2</v>
      </c>
      <c r="E16" s="215">
        <f>Enter!G12</f>
        <v>43191</v>
      </c>
      <c r="F16" s="215">
        <f>Enter!H12</f>
        <v>40634</v>
      </c>
      <c r="G16" s="221">
        <f>Enter!I12</f>
        <v>100</v>
      </c>
      <c r="H16" s="215">
        <f>Enter!J12</f>
        <v>0</v>
      </c>
      <c r="I16" s="222">
        <f>Enter!K12</f>
        <v>0</v>
      </c>
      <c r="J16" s="219">
        <f>Enter!L12</f>
        <v>101.309</v>
      </c>
      <c r="K16" s="162">
        <f t="shared" si="13"/>
        <v>4.6995418203832726E-2</v>
      </c>
      <c r="L16" s="162">
        <f t="shared" si="14"/>
        <v>4.7583430033765937E-2</v>
      </c>
      <c r="M16" s="162">
        <f t="shared" si="15"/>
        <v>4.8120107789041446E-2</v>
      </c>
      <c r="N16" s="162">
        <f>IF(A16=0,0,IF(K16=0,L16*Enter!G$27,K16*Enter!G$27))</f>
        <v>7.2278953197494736E-2</v>
      </c>
      <c r="R16" s="55" t="b">
        <f t="shared" si="20"/>
        <v>0</v>
      </c>
      <c r="S16" s="68">
        <f t="shared" si="16"/>
        <v>43191</v>
      </c>
      <c r="T16" s="69">
        <f t="shared" si="17"/>
        <v>20000</v>
      </c>
      <c r="U16" s="56">
        <v>10</v>
      </c>
      <c r="V16" s="66">
        <f t="shared" si="0"/>
        <v>9750</v>
      </c>
      <c r="W16" s="61"/>
      <c r="X16" s="62">
        <f>Volatility!AS16/Volatility!AS$29</f>
        <v>6.6838727563059752E-2</v>
      </c>
      <c r="Y16" s="67"/>
      <c r="Z16" s="96">
        <f t="shared" si="18"/>
        <v>43191</v>
      </c>
      <c r="AA16" s="56">
        <f>DAYS360(Enter!C12,Z16)</f>
        <v>5885</v>
      </c>
      <c r="AB16" s="85">
        <f t="shared" si="1"/>
        <v>5885</v>
      </c>
      <c r="AC16" s="56">
        <f t="shared" si="2"/>
        <v>393.34591170860665</v>
      </c>
      <c r="AD16" s="62">
        <f t="shared" si="3"/>
        <v>3.1411139540380344E-3</v>
      </c>
      <c r="AE16" s="86">
        <f t="shared" si="4"/>
        <v>4.6995418203832726E-2</v>
      </c>
      <c r="AF16" s="86">
        <f t="shared" si="5"/>
        <v>3.1411139540380344E-3</v>
      </c>
      <c r="AG16" s="55">
        <f t="shared" si="6"/>
        <v>4.8750000000000002E-2</v>
      </c>
      <c r="AH16" s="87">
        <f t="shared" si="7"/>
        <v>4.8120107789041446E-2</v>
      </c>
      <c r="AI16" s="62">
        <f t="shared" si="8"/>
        <v>20261.8</v>
      </c>
      <c r="AJ16" s="56"/>
      <c r="AK16" s="56"/>
      <c r="AL16" s="56"/>
      <c r="AM16" s="88">
        <f t="shared" si="9"/>
        <v>202617.99999999997</v>
      </c>
      <c r="AN16" s="56"/>
      <c r="AO16" s="56"/>
      <c r="AP16" s="88">
        <f t="shared" si="10"/>
        <v>24.374999999999996</v>
      </c>
      <c r="AQ16" s="89">
        <f>DAYS360(Enter!C12,E16)/180</f>
        <v>32.694444444444443</v>
      </c>
      <c r="AR16" s="89">
        <f t="shared" si="11"/>
        <v>0.69444444444444287</v>
      </c>
      <c r="AS16" s="97">
        <f t="shared" si="19"/>
        <v>7.4479166666667034</v>
      </c>
      <c r="AT16" s="91">
        <f>IF(DAYS360(Enter!B12,Enter!C12)&lt;180,0,AS16*A16)</f>
        <v>0</v>
      </c>
      <c r="AU16" s="69">
        <f>IF((DAYS360(Enter!B12,Enter!C12))&lt;180,(DAYS360(Enter!B12,Enter!C12))/180*AP16*A16,0)</f>
        <v>677.08333333333326</v>
      </c>
      <c r="AV16" s="89"/>
      <c r="AW16" s="89"/>
      <c r="AX16" s="56"/>
      <c r="AY16" s="62">
        <f t="shared" si="12"/>
        <v>3.2583879686991632E-3</v>
      </c>
      <c r="AZ16" s="56"/>
      <c r="BA16" s="56"/>
      <c r="BB16" s="56"/>
      <c r="BC16" s="92">
        <f>IF(A16=0,0,IF(J16=100,D16,YIELD(Enter!C12,E16,D16,J16,100,2,0)))</f>
        <v>4.7583430033765937E-2</v>
      </c>
      <c r="BD16" s="94">
        <f>IF(A16=0,100,IF(F16=0,100,YIELD(Enter!C12,F16,D16,J16,G16,2,0)))</f>
        <v>4.6995418203832726E-2</v>
      </c>
      <c r="BE16" s="94">
        <f>IF(A16=0,1000,IF(H16=0,1000,YIELD(Enter!C12,H16,D16,J16,100,2,0)))</f>
        <v>1000</v>
      </c>
      <c r="BF16" s="94"/>
      <c r="BG16" s="87">
        <f t="shared" si="21"/>
        <v>4.6995418203832726E-2</v>
      </c>
      <c r="BH16" s="95">
        <f t="shared" si="22"/>
        <v>40634</v>
      </c>
      <c r="BI16" s="75"/>
    </row>
    <row r="17" spans="1:61" ht="15.75" x14ac:dyDescent="0.25">
      <c r="A17" s="223">
        <f>Enter!A13</f>
        <v>200</v>
      </c>
      <c r="B17" s="216" t="str">
        <f>Enter!D13</f>
        <v>AAA/AA+</v>
      </c>
      <c r="C17" s="262" t="str">
        <f>Enter!E13</f>
        <v>TROY MICH</v>
      </c>
      <c r="D17" s="217">
        <f>Enter!F13</f>
        <v>4.5999999999999999E-2</v>
      </c>
      <c r="E17" s="215">
        <f>Enter!G13</f>
        <v>43739</v>
      </c>
      <c r="F17" s="215">
        <f>Enter!H13</f>
        <v>40452</v>
      </c>
      <c r="G17" s="221">
        <f>Enter!I13</f>
        <v>100.5</v>
      </c>
      <c r="H17" s="215">
        <f>Enter!J13</f>
        <v>41183</v>
      </c>
      <c r="I17" s="222">
        <f>Enter!K13</f>
        <v>0</v>
      </c>
      <c r="J17" s="219">
        <f>Enter!L13</f>
        <v>99.266999999999996</v>
      </c>
      <c r="K17" s="162">
        <f t="shared" si="13"/>
        <v>0</v>
      </c>
      <c r="L17" s="162">
        <f t="shared" si="14"/>
        <v>4.6604762367318475E-2</v>
      </c>
      <c r="M17" s="162">
        <f t="shared" si="15"/>
        <v>4.6339669779483617E-2</v>
      </c>
      <c r="N17" s="162">
        <f>IF(A17=0,0,IF(K17=0,L17*Enter!G$27,K17*Enter!G$27))</f>
        <v>7.1678124520935818E-2</v>
      </c>
      <c r="R17" s="55" t="b">
        <f t="shared" si="20"/>
        <v>0</v>
      </c>
      <c r="S17" s="68">
        <f t="shared" si="16"/>
        <v>43739</v>
      </c>
      <c r="T17" s="69">
        <f t="shared" si="17"/>
        <v>20000</v>
      </c>
      <c r="U17" s="56">
        <v>11</v>
      </c>
      <c r="V17" s="66">
        <f t="shared" si="0"/>
        <v>9200</v>
      </c>
      <c r="W17" s="61"/>
      <c r="X17" s="62">
        <f>Volatility!AS17/Volatility!AS$29</f>
        <v>6.5491515748869814E-2</v>
      </c>
      <c r="Y17" s="67"/>
      <c r="Z17" s="96">
        <f t="shared" si="18"/>
        <v>43739</v>
      </c>
      <c r="AA17" s="56">
        <f>DAYS360(Enter!C13,Z17)</f>
        <v>6425</v>
      </c>
      <c r="AB17" s="85">
        <f t="shared" si="1"/>
        <v>6425</v>
      </c>
      <c r="AC17" s="56">
        <f t="shared" si="2"/>
        <v>420.78298868648858</v>
      </c>
      <c r="AD17" s="62">
        <f t="shared" si="3"/>
        <v>3.0522165285515731E-3</v>
      </c>
      <c r="AE17" s="86">
        <f t="shared" si="4"/>
        <v>4.6604762367318475E-2</v>
      </c>
      <c r="AF17" s="86">
        <f t="shared" si="5"/>
        <v>3.0522165285515731E-3</v>
      </c>
      <c r="AG17" s="55">
        <f t="shared" si="6"/>
        <v>4.5999999999999999E-2</v>
      </c>
      <c r="AH17" s="87">
        <f t="shared" si="7"/>
        <v>4.6339669779483617E-2</v>
      </c>
      <c r="AI17" s="62">
        <f t="shared" si="8"/>
        <v>19853.399999999998</v>
      </c>
      <c r="AJ17" s="56"/>
      <c r="AK17" s="56"/>
      <c r="AL17" s="56"/>
      <c r="AM17" s="88">
        <f t="shared" si="9"/>
        <v>198534</v>
      </c>
      <c r="AN17" s="56"/>
      <c r="AO17" s="56"/>
      <c r="AP17" s="88">
        <f t="shared" si="10"/>
        <v>22.999999999999996</v>
      </c>
      <c r="AQ17" s="89">
        <f>DAYS360(Enter!C13,E17)/180</f>
        <v>35.694444444444443</v>
      </c>
      <c r="AR17" s="89">
        <f t="shared" si="11"/>
        <v>0.69444444444444287</v>
      </c>
      <c r="AS17" s="97">
        <f t="shared" si="19"/>
        <v>7.0277777777778123</v>
      </c>
      <c r="AT17" s="91">
        <f>IF(DAYS360(Enter!B13,Enter!C13)&lt;180,0,AS17*A17)</f>
        <v>0</v>
      </c>
      <c r="AU17" s="69">
        <f>IF((DAYS360(Enter!B13,Enter!C13))&lt;180,(DAYS360(Enter!B13,Enter!C13))/180*AP17*A17,0)</f>
        <v>638.8888888888888</v>
      </c>
      <c r="AV17" s="89"/>
      <c r="AW17" s="89"/>
      <c r="AX17" s="56"/>
      <c r="AY17" s="62">
        <f t="shared" si="12"/>
        <v>3.0126097244480114E-3</v>
      </c>
      <c r="AZ17" s="56"/>
      <c r="BA17" s="56"/>
      <c r="BB17" s="56"/>
      <c r="BC17" s="92">
        <f>IF(A17=0,0,IF(J17=100,D17,YIELD(Enter!C13,E17,D17,J17,100,2,0)))</f>
        <v>4.6604762367318475E-2</v>
      </c>
      <c r="BD17" s="94">
        <f>IF(A17=0,100,IF(F17=0,100,YIELD(Enter!C13,F17,D17,J17,G17,2,0)))</f>
        <v>4.7477652155472137E-2</v>
      </c>
      <c r="BE17" s="94">
        <f>IF(A17=0,1000,IF(H17=0,1000,YIELD(Enter!C13,H17,D17,J17,100,2,0)))</f>
        <v>4.6863015830883502E-2</v>
      </c>
      <c r="BF17" s="94"/>
      <c r="BG17" s="87">
        <f t="shared" si="21"/>
        <v>4.6604762367318475E-2</v>
      </c>
      <c r="BH17" s="95">
        <f t="shared" si="22"/>
        <v>43739</v>
      </c>
      <c r="BI17" s="75"/>
    </row>
    <row r="18" spans="1:61" ht="15.75" x14ac:dyDescent="0.25">
      <c r="A18" s="223">
        <f>Enter!A14</f>
        <v>200</v>
      </c>
      <c r="B18" s="216" t="str">
        <f>Enter!D14</f>
        <v>AAA/AAA</v>
      </c>
      <c r="C18" s="262" t="str">
        <f>Enter!E14</f>
        <v>PASADENA TX</v>
      </c>
      <c r="D18" s="217">
        <f>Enter!F14</f>
        <v>0.05</v>
      </c>
      <c r="E18" s="215">
        <f>Enter!G14</f>
        <v>43876</v>
      </c>
      <c r="F18" s="215">
        <f>Enter!H14</f>
        <v>40224</v>
      </c>
      <c r="G18" s="221">
        <f>Enter!I14</f>
        <v>100</v>
      </c>
      <c r="H18" s="215">
        <f>Enter!J14</f>
        <v>0</v>
      </c>
      <c r="I18" s="222">
        <f>Enter!K14</f>
        <v>0</v>
      </c>
      <c r="J18" s="219">
        <f>Enter!L14</f>
        <v>101.68</v>
      </c>
      <c r="K18" s="162">
        <f t="shared" si="13"/>
        <v>4.7496602147322292E-2</v>
      </c>
      <c r="L18" s="162">
        <f t="shared" si="14"/>
        <v>4.8593636673635893E-2</v>
      </c>
      <c r="M18" s="162">
        <f t="shared" si="15"/>
        <v>4.9173878835562547E-2</v>
      </c>
      <c r="N18" s="162">
        <f>IF(A18=0,0,IF(K18=0,L18*Enter!G$27,K18*Enter!G$27))</f>
        <v>7.3049774102581691E-2</v>
      </c>
      <c r="R18" s="55" t="b">
        <f t="shared" si="20"/>
        <v>0</v>
      </c>
      <c r="S18" s="68">
        <f t="shared" si="16"/>
        <v>43876</v>
      </c>
      <c r="T18" s="69">
        <f t="shared" si="17"/>
        <v>20000</v>
      </c>
      <c r="U18" s="56">
        <v>12</v>
      </c>
      <c r="V18" s="66">
        <f t="shared" si="0"/>
        <v>10000</v>
      </c>
      <c r="W18" s="61"/>
      <c r="X18" s="62">
        <f>Volatility!AS18/Volatility!AS$29</f>
        <v>6.708349523351248E-2</v>
      </c>
      <c r="Y18" s="67"/>
      <c r="Z18" s="96">
        <f t="shared" si="18"/>
        <v>43876</v>
      </c>
      <c r="AA18" s="56">
        <f>DAYS360(Enter!C14,Z18)</f>
        <v>6559</v>
      </c>
      <c r="AB18" s="85">
        <f t="shared" si="1"/>
        <v>6559</v>
      </c>
      <c r="AC18" s="56">
        <f t="shared" si="2"/>
        <v>440.00064523660836</v>
      </c>
      <c r="AD18" s="62">
        <f t="shared" si="3"/>
        <v>3.1862380837579334E-3</v>
      </c>
      <c r="AE18" s="86">
        <f t="shared" si="4"/>
        <v>4.7496602147322292E-2</v>
      </c>
      <c r="AF18" s="86">
        <f t="shared" si="5"/>
        <v>3.1862380837579334E-3</v>
      </c>
      <c r="AG18" s="55">
        <f t="shared" si="6"/>
        <v>0.05</v>
      </c>
      <c r="AH18" s="87">
        <f t="shared" si="7"/>
        <v>4.9173878835562547E-2</v>
      </c>
      <c r="AI18" s="62">
        <f t="shared" si="8"/>
        <v>20336</v>
      </c>
      <c r="AJ18" s="56"/>
      <c r="AK18" s="56"/>
      <c r="AL18" s="56"/>
      <c r="AM18" s="88">
        <f t="shared" si="9"/>
        <v>203360</v>
      </c>
      <c r="AN18" s="56"/>
      <c r="AO18" s="56"/>
      <c r="AP18" s="88">
        <f t="shared" si="10"/>
        <v>25</v>
      </c>
      <c r="AQ18" s="89">
        <f>DAYS360(Enter!C14,E18)/180</f>
        <v>36.43888888888889</v>
      </c>
      <c r="AR18" s="89">
        <f t="shared" si="11"/>
        <v>0.43888888888888999</v>
      </c>
      <c r="AS18" s="97">
        <f t="shared" si="19"/>
        <v>14.02777777777775</v>
      </c>
      <c r="AT18" s="91">
        <f>IF(DAYS360(Enter!B14,Enter!C14)&lt;180,0,AS18*A18)</f>
        <v>0</v>
      </c>
      <c r="AU18" s="69">
        <f>IF((DAYS360(Enter!B14,Enter!C14))&lt;180,(DAYS360(Enter!B14,Enter!C14))/180*AP18*A18,0)</f>
        <v>305.55555555555554</v>
      </c>
      <c r="AV18" s="89"/>
      <c r="AW18" s="89"/>
      <c r="AX18" s="56"/>
      <c r="AY18" s="62">
        <f t="shared" si="12"/>
        <v>3.3541747616756242E-3</v>
      </c>
      <c r="AZ18" s="56"/>
      <c r="BA18" s="56"/>
      <c r="BB18" s="56"/>
      <c r="BC18" s="92">
        <f>IF(A18=0,0,IF(J18=100,D18,YIELD(Enter!C14,E18,D18,J18,100,2,0)))</f>
        <v>4.8593636673635893E-2</v>
      </c>
      <c r="BD18" s="94">
        <f>IF(A18=0,100,IF(F18=0,100,YIELD(Enter!C14,F18,D18,J18,G18,2,0)))</f>
        <v>4.7496602147322292E-2</v>
      </c>
      <c r="BE18" s="94">
        <f>IF(A18=0,1000,IF(H18=0,1000,YIELD(Enter!C14,H18,D18,J18,100,2,0)))</f>
        <v>1000</v>
      </c>
      <c r="BF18" s="94"/>
      <c r="BG18" s="87">
        <f t="shared" si="21"/>
        <v>4.7496602147322292E-2</v>
      </c>
      <c r="BH18" s="95">
        <f t="shared" si="22"/>
        <v>40224</v>
      </c>
      <c r="BI18" s="75"/>
    </row>
    <row r="19" spans="1:61" ht="15.75" x14ac:dyDescent="0.25">
      <c r="A19" s="223">
        <f>Enter!A15</f>
        <v>200</v>
      </c>
      <c r="B19" s="216" t="str">
        <f>Enter!D15</f>
        <v>AAA/AAA</v>
      </c>
      <c r="C19" s="262" t="str">
        <f>Enter!E15</f>
        <v>N.HARRIS MONT CCD</v>
      </c>
      <c r="D19" s="217">
        <f>Enter!F15</f>
        <v>0.05</v>
      </c>
      <c r="E19" s="215">
        <f>Enter!G15</f>
        <v>44242</v>
      </c>
      <c r="F19" s="215">
        <f>Enter!H15</f>
        <v>40224</v>
      </c>
      <c r="G19" s="221">
        <f>Enter!I15</f>
        <v>100</v>
      </c>
      <c r="H19" s="215">
        <f>Enter!J15</f>
        <v>0</v>
      </c>
      <c r="I19" s="222">
        <f>Enter!K15</f>
        <v>0</v>
      </c>
      <c r="J19" s="219">
        <f>Enter!L15</f>
        <v>101.002</v>
      </c>
      <c r="K19" s="162">
        <f t="shared" si="13"/>
        <v>4.8496351822464444E-2</v>
      </c>
      <c r="L19" s="162">
        <f t="shared" si="14"/>
        <v>4.9182001218097786E-2</v>
      </c>
      <c r="M19" s="162">
        <f t="shared" si="15"/>
        <v>4.9503970218411526E-2</v>
      </c>
      <c r="N19" s="162">
        <f>IF(A19=0,0,IF(K19=0,L19*Enter!G$27,K19*Enter!G$27))</f>
        <v>7.4587389102950319E-2</v>
      </c>
      <c r="R19" s="55" t="b">
        <f t="shared" si="20"/>
        <v>0</v>
      </c>
      <c r="S19" s="68">
        <f t="shared" si="16"/>
        <v>44242</v>
      </c>
      <c r="T19" s="69">
        <f t="shared" si="17"/>
        <v>20000</v>
      </c>
      <c r="U19" s="56">
        <v>13</v>
      </c>
      <c r="V19" s="66">
        <f t="shared" si="0"/>
        <v>10000</v>
      </c>
      <c r="W19" s="61"/>
      <c r="X19" s="62">
        <f>Volatility!AS19/Volatility!AS$29</f>
        <v>6.6636183965137943E-2</v>
      </c>
      <c r="Y19" s="67"/>
      <c r="Z19" s="96">
        <f t="shared" si="18"/>
        <v>44242</v>
      </c>
      <c r="AA19" s="56">
        <f>DAYS360(Enter!C15,Z19)</f>
        <v>6919</v>
      </c>
      <c r="AB19" s="85">
        <f t="shared" si="1"/>
        <v>6919</v>
      </c>
      <c r="AC19" s="56">
        <f t="shared" si="2"/>
        <v>461.05575685478942</v>
      </c>
      <c r="AD19" s="62">
        <f t="shared" si="3"/>
        <v>3.2316118216797933E-3</v>
      </c>
      <c r="AE19" s="86">
        <f t="shared" si="4"/>
        <v>4.8496351822464444E-2</v>
      </c>
      <c r="AF19" s="86">
        <f t="shared" si="5"/>
        <v>3.2316118216797933E-3</v>
      </c>
      <c r="AG19" s="55">
        <f t="shared" si="6"/>
        <v>0.05</v>
      </c>
      <c r="AH19" s="87">
        <f t="shared" si="7"/>
        <v>4.9503970218411526E-2</v>
      </c>
      <c r="AI19" s="62">
        <f t="shared" si="8"/>
        <v>20200.399999999998</v>
      </c>
      <c r="AJ19" s="56"/>
      <c r="AK19" s="56"/>
      <c r="AL19" s="56"/>
      <c r="AM19" s="88">
        <f t="shared" si="9"/>
        <v>202004</v>
      </c>
      <c r="AN19" s="56"/>
      <c r="AO19" s="56"/>
      <c r="AP19" s="88">
        <f t="shared" si="10"/>
        <v>25</v>
      </c>
      <c r="AQ19" s="89">
        <f>DAYS360(Enter!C15,E19)/180</f>
        <v>38.43888888888889</v>
      </c>
      <c r="AR19" s="89">
        <f t="shared" si="11"/>
        <v>0.43888888888888999</v>
      </c>
      <c r="AS19" s="97">
        <f t="shared" si="19"/>
        <v>14.02777777777775</v>
      </c>
      <c r="AT19" s="91">
        <f>IF(DAYS360(Enter!B15,Enter!C15)&lt;180,0,AS19*A19)</f>
        <v>2805.5555555555502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3.3318091982568973E-3</v>
      </c>
      <c r="AZ19" s="56"/>
      <c r="BA19" s="56"/>
      <c r="BB19" s="56"/>
      <c r="BC19" s="92">
        <f>IF(A19=0,0,IF(J19=100,D19,YIELD(Enter!C15,E19,D19,J19,100,2,0)))</f>
        <v>4.9182001218097786E-2</v>
      </c>
      <c r="BD19" s="94">
        <f>IF(A19=0,100,IF(F19=0,100,YIELD(Enter!C15,F19,D19,J19,G19,2,0)))</f>
        <v>4.8496351822464444E-2</v>
      </c>
      <c r="BE19" s="94">
        <f>IF(A19=0,1000,IF(H19=0,1000,YIELD(Enter!C15,H19,D19,J19,100,2,0)))</f>
        <v>1000</v>
      </c>
      <c r="BF19" s="94"/>
      <c r="BG19" s="87">
        <f t="shared" si="21"/>
        <v>4.8496351822464444E-2</v>
      </c>
      <c r="BH19" s="95">
        <f t="shared" si="22"/>
        <v>40224</v>
      </c>
      <c r="BI19" s="75"/>
    </row>
    <row r="20" spans="1:61" ht="15.75" x14ac:dyDescent="0.25">
      <c r="A20" s="223">
        <f>Enter!A16</f>
        <v>200</v>
      </c>
      <c r="B20" s="216" t="str">
        <f>Enter!D16</f>
        <v>AAA/AAA</v>
      </c>
      <c r="C20" s="262" t="str">
        <f>Enter!E16</f>
        <v>PHILADELPHIA PA SCH</v>
      </c>
      <c r="D20" s="217">
        <f>Enter!F16</f>
        <v>4.4999999999999998E-2</v>
      </c>
      <c r="E20" s="215">
        <f>Enter!G16</f>
        <v>45017</v>
      </c>
      <c r="F20" s="215">
        <f>Enter!H16</f>
        <v>39904</v>
      </c>
      <c r="G20" s="221">
        <f>Enter!I16</f>
        <v>100</v>
      </c>
      <c r="H20" s="215">
        <f>Enter!J16</f>
        <v>0</v>
      </c>
      <c r="I20" s="222">
        <f>Enter!K16</f>
        <v>0</v>
      </c>
      <c r="J20" s="219">
        <f>Enter!L16</f>
        <v>96.012</v>
      </c>
      <c r="K20" s="162">
        <f t="shared" si="13"/>
        <v>0</v>
      </c>
      <c r="L20" s="162">
        <f t="shared" si="14"/>
        <v>4.8002236175001281E-2</v>
      </c>
      <c r="M20" s="162">
        <f t="shared" si="15"/>
        <v>4.6869141357330335E-2</v>
      </c>
      <c r="N20" s="162">
        <f>IF(A20=0,0,IF(K20=0,L20*Enter!G$27,K20*Enter!G$27))</f>
        <v>7.3827439237151973E-2</v>
      </c>
      <c r="R20" s="55" t="b">
        <f t="shared" si="20"/>
        <v>0</v>
      </c>
      <c r="S20" s="68">
        <f t="shared" si="16"/>
        <v>45017</v>
      </c>
      <c r="T20" s="69">
        <f t="shared" si="17"/>
        <v>20000</v>
      </c>
      <c r="U20" s="56">
        <v>14</v>
      </c>
      <c r="V20" s="66">
        <f t="shared" si="0"/>
        <v>9000</v>
      </c>
      <c r="W20" s="61"/>
      <c r="X20" s="62">
        <f>Volatility!AS20/Volatility!AS$29</f>
        <v>6.3344025809992127E-2</v>
      </c>
      <c r="Y20" s="67"/>
      <c r="Z20" s="96">
        <f t="shared" si="18"/>
        <v>45017</v>
      </c>
      <c r="AA20" s="56">
        <f>DAYS360(Enter!C16,Z20)</f>
        <v>7685</v>
      </c>
      <c r="AB20" s="85">
        <f t="shared" si="1"/>
        <v>7685</v>
      </c>
      <c r="AC20" s="56">
        <f>X20*AB20</f>
        <v>486.79883834978949</v>
      </c>
      <c r="AD20" s="62">
        <f t="shared" si="3"/>
        <v>3.0406548872066188E-3</v>
      </c>
      <c r="AE20" s="86">
        <f>BG20</f>
        <v>4.8002236175001281E-2</v>
      </c>
      <c r="AF20" s="86">
        <f>AE20*X20</f>
        <v>3.0406548872066188E-3</v>
      </c>
      <c r="AG20" s="55">
        <f t="shared" si="6"/>
        <v>4.4999999999999998E-2</v>
      </c>
      <c r="AH20" s="87">
        <f t="shared" si="7"/>
        <v>4.6869141357330335E-2</v>
      </c>
      <c r="AI20" s="62">
        <f t="shared" si="8"/>
        <v>19202.400000000001</v>
      </c>
      <c r="AJ20" s="56"/>
      <c r="AK20" s="56"/>
      <c r="AL20" s="56"/>
      <c r="AM20" s="88">
        <f t="shared" si="9"/>
        <v>192024</v>
      </c>
      <c r="AN20" s="56"/>
      <c r="AO20" s="56"/>
      <c r="AP20" s="88">
        <f>((D20/360)*180)*1000</f>
        <v>22.5</v>
      </c>
      <c r="AQ20" s="89">
        <f>DAYS360(Enter!C16,E20)/180</f>
        <v>42.694444444444443</v>
      </c>
      <c r="AR20" s="89">
        <f t="shared" si="11"/>
        <v>0.69444444444444287</v>
      </c>
      <c r="AS20" s="97">
        <f t="shared" si="19"/>
        <v>6.8750000000000355</v>
      </c>
      <c r="AT20" s="91">
        <f>IF(DAYS360(Enter!B16,Enter!C16)&lt;180,0,AS20*A20)</f>
        <v>1375.000000000007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2.8504811614496455E-3</v>
      </c>
      <c r="AZ20" s="56"/>
      <c r="BA20" s="56"/>
      <c r="BB20" s="56"/>
      <c r="BC20" s="92">
        <f>IF(A20=0,0,IF(J20=100,D20,YIELD(Enter!C16,E20,D20,J20,100,2,0)))</f>
        <v>4.8002236175001281E-2</v>
      </c>
      <c r="BD20" s="94">
        <f>IF(A20=0,100,IF(F20=0,100,YIELD(Enter!C16,F20,D20,J20,G20,2,0)))</f>
        <v>5.1580065769793612E-2</v>
      </c>
      <c r="BE20" s="94">
        <f>IF(A20=0,1000,IF(H20=0,1000,YIELD(Enter!C16,H20,D20,J20,100,2,0)))</f>
        <v>1000</v>
      </c>
      <c r="BF20" s="94"/>
      <c r="BG20" s="87">
        <f t="shared" si="21"/>
        <v>4.8002236175001281E-2</v>
      </c>
      <c r="BH20" s="95">
        <f t="shared" si="22"/>
        <v>45017</v>
      </c>
      <c r="BI20" s="75"/>
    </row>
    <row r="21" spans="1:61" ht="15.75" x14ac:dyDescent="0.25">
      <c r="A21" s="223">
        <f>Enter!A17</f>
        <v>100</v>
      </c>
      <c r="B21" s="216" t="str">
        <f>Enter!D17</f>
        <v>AAA/AAA</v>
      </c>
      <c r="C21" s="262" t="str">
        <f>Enter!E17</f>
        <v>TEXAS TURNPIKE</v>
      </c>
      <c r="D21" s="217">
        <f>Enter!F17</f>
        <v>0.05</v>
      </c>
      <c r="E21" s="215">
        <f>Enter!G17</f>
        <v>45658</v>
      </c>
      <c r="F21" s="215">
        <f>Enter!H17</f>
        <v>38718</v>
      </c>
      <c r="G21" s="221">
        <f>Enter!I17</f>
        <v>102</v>
      </c>
      <c r="H21" s="215">
        <f>Enter!J17</f>
        <v>39448</v>
      </c>
      <c r="I21" s="222">
        <f>Enter!K17</f>
        <v>0</v>
      </c>
      <c r="J21" s="219">
        <f>Enter!L17</f>
        <v>100.517</v>
      </c>
      <c r="K21" s="162">
        <f t="shared" si="13"/>
        <v>4.8999733527683248E-2</v>
      </c>
      <c r="L21" s="162">
        <f t="shared" si="14"/>
        <v>4.9617915593963197E-2</v>
      </c>
      <c r="M21" s="162">
        <f t="shared" si="15"/>
        <v>4.9742829571117329E-2</v>
      </c>
      <c r="N21" s="162">
        <f>IF(A21=0,0,IF(K21=0,L21*Enter!G$27,K21*Enter!G$27))</f>
        <v>7.5361590165576836E-2</v>
      </c>
      <c r="R21" s="55" t="b">
        <f t="shared" si="20"/>
        <v>0</v>
      </c>
      <c r="S21" s="68">
        <f t="shared" si="16"/>
        <v>45658</v>
      </c>
      <c r="T21" s="69">
        <f t="shared" si="17"/>
        <v>10000</v>
      </c>
      <c r="U21" s="56">
        <v>15</v>
      </c>
      <c r="V21" s="66">
        <f t="shared" si="0"/>
        <v>5000</v>
      </c>
      <c r="W21" s="61"/>
      <c r="X21" s="62">
        <f>Volatility!AS21/Volatility!AS$29</f>
        <v>3.315810233274475E-2</v>
      </c>
      <c r="Y21" s="67"/>
      <c r="Z21" s="96">
        <f t="shared" si="18"/>
        <v>45658</v>
      </c>
      <c r="AA21" s="56">
        <f>DAYS360(Enter!C17,Z21)</f>
        <v>8315</v>
      </c>
      <c r="AB21" s="85">
        <f t="shared" si="1"/>
        <v>8315</v>
      </c>
      <c r="AC21" s="56">
        <f>X21*AB21</f>
        <v>275.70962089677261</v>
      </c>
      <c r="AD21" s="62">
        <f t="shared" si="3"/>
        <v>1.6247381785881451E-3</v>
      </c>
      <c r="AE21" s="86">
        <f>BG21</f>
        <v>4.8999733527683248E-2</v>
      </c>
      <c r="AF21" s="86">
        <f>AE21*X21</f>
        <v>1.6247381785881451E-3</v>
      </c>
      <c r="AG21" s="55">
        <f t="shared" si="6"/>
        <v>0.05</v>
      </c>
      <c r="AH21" s="87">
        <f t="shared" si="7"/>
        <v>4.9742829571117329E-2</v>
      </c>
      <c r="AI21" s="62">
        <f t="shared" si="8"/>
        <v>10051.699999999999</v>
      </c>
      <c r="AJ21" s="56"/>
      <c r="AK21" s="56"/>
      <c r="AL21" s="56"/>
      <c r="AM21" s="88">
        <f t="shared" si="9"/>
        <v>100517</v>
      </c>
      <c r="AN21" s="56"/>
      <c r="AO21" s="56"/>
      <c r="AP21" s="88">
        <f>((D21/360)*180)*1000</f>
        <v>25</v>
      </c>
      <c r="AQ21" s="89">
        <f>DAYS360(Enter!C17,E21)/180</f>
        <v>46.194444444444443</v>
      </c>
      <c r="AR21" s="89">
        <f t="shared" si="11"/>
        <v>0.19444444444444287</v>
      </c>
      <c r="AS21" s="97">
        <f t="shared" si="19"/>
        <v>20.138888888888928</v>
      </c>
      <c r="AT21" s="91">
        <f>IF(DAYS360(Enter!B17,Enter!C17)&lt;180,0,AS21*A21)</f>
        <v>2013.8888888888928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1.6579051166372375E-3</v>
      </c>
      <c r="AZ21" s="56"/>
      <c r="BA21" s="56"/>
      <c r="BB21" s="56"/>
      <c r="BC21" s="92">
        <f>IF(A21=0,0,IF(J21=100,D21,YIELD(Enter!C17,E21,D21,J21,100,2,0)))</f>
        <v>4.9617915593963197E-2</v>
      </c>
      <c r="BD21" s="94">
        <f>IF(A21=0,100,IF(F21=0,100,YIELD(Enter!C17,F21,D21,J21,G21,2,0)))</f>
        <v>5.3000188846908318E-2</v>
      </c>
      <c r="BE21" s="94">
        <f>IF(A21=0,1000,IF(H21=0,1000,YIELD(Enter!C17,H21,D21,J21,100,2,0)))</f>
        <v>4.8999733527683248E-2</v>
      </c>
      <c r="BF21" s="94"/>
      <c r="BG21" s="87">
        <f t="shared" si="21"/>
        <v>4.8999733527683248E-2</v>
      </c>
      <c r="BH21" s="95">
        <f t="shared" si="22"/>
        <v>39448</v>
      </c>
      <c r="BI21" s="75"/>
    </row>
    <row r="22" spans="1:61" ht="15.75" x14ac:dyDescent="0.25">
      <c r="A22" s="223">
        <f>Enter!A18</f>
        <v>100</v>
      </c>
      <c r="B22" s="216" t="str">
        <f>Enter!D18</f>
        <v>AAA/AAA</v>
      </c>
      <c r="C22" s="262" t="str">
        <f>Enter!E18</f>
        <v>FRISCO TX CERT OBL</v>
      </c>
      <c r="D22" s="217">
        <f>Enter!F18</f>
        <v>0.05</v>
      </c>
      <c r="E22" s="215">
        <f>Enter!G18</f>
        <v>45703</v>
      </c>
      <c r="F22" s="215">
        <f>Enter!H18</f>
        <v>40589</v>
      </c>
      <c r="G22" s="221">
        <f>Enter!I18</f>
        <v>100</v>
      </c>
      <c r="H22" s="215">
        <f>Enter!J18</f>
        <v>0</v>
      </c>
      <c r="I22" s="222">
        <f>Enter!K18</f>
        <v>0</v>
      </c>
      <c r="J22" s="219">
        <f>Enter!L18</f>
        <v>100.72799999999999</v>
      </c>
      <c r="K22" s="162">
        <f t="shared" si="13"/>
        <v>4.8999005639341064E-2</v>
      </c>
      <c r="L22" s="162">
        <f t="shared" si="14"/>
        <v>4.9463737677634449E-2</v>
      </c>
      <c r="M22" s="162">
        <f t="shared" si="15"/>
        <v>4.9638630768008903E-2</v>
      </c>
      <c r="N22" s="162">
        <f>IF(A22=0,0,IF(K22=0,L22*Enter!G$27,K22*Enter!G$27))</f>
        <v>7.5360470673306562E-2</v>
      </c>
      <c r="R22" s="55" t="b">
        <f t="shared" si="20"/>
        <v>0</v>
      </c>
      <c r="S22" s="68">
        <f t="shared" si="16"/>
        <v>45703</v>
      </c>
      <c r="T22" s="69">
        <f t="shared" si="17"/>
        <v>10000</v>
      </c>
      <c r="U22" s="56">
        <v>16</v>
      </c>
      <c r="V22" s="66">
        <f t="shared" si="0"/>
        <v>5000</v>
      </c>
      <c r="W22" s="61"/>
      <c r="X22" s="62">
        <f>Volatility!AS22/Volatility!AS$29</f>
        <v>3.3227706077307462E-2</v>
      </c>
      <c r="Y22" s="67"/>
      <c r="Z22" s="96">
        <f t="shared" si="18"/>
        <v>45703</v>
      </c>
      <c r="AA22" s="56">
        <f>DAYS360(Enter!C18,Z22)</f>
        <v>8359</v>
      </c>
      <c r="AB22" s="85">
        <f t="shared" si="1"/>
        <v>8359</v>
      </c>
      <c r="AC22" s="56">
        <f>X22*AB22</f>
        <v>277.7503951002131</v>
      </c>
      <c r="AD22" s="62">
        <f t="shared" si="3"/>
        <v>1.6281245574643556E-3</v>
      </c>
      <c r="AE22" s="86">
        <f>BG22</f>
        <v>4.8999005639341064E-2</v>
      </c>
      <c r="AF22" s="86">
        <f>AE22*X22</f>
        <v>1.6281245574643556E-3</v>
      </c>
      <c r="AG22" s="55">
        <f t="shared" si="6"/>
        <v>0.05</v>
      </c>
      <c r="AH22" s="87">
        <f t="shared" si="7"/>
        <v>4.9638630768008903E-2</v>
      </c>
      <c r="AI22" s="62">
        <f t="shared" si="8"/>
        <v>10072.799999999999</v>
      </c>
      <c r="AJ22" s="56"/>
      <c r="AK22" s="56"/>
      <c r="AL22" s="56"/>
      <c r="AM22" s="88">
        <f t="shared" si="9"/>
        <v>100728</v>
      </c>
      <c r="AN22" s="56"/>
      <c r="AO22" s="56"/>
      <c r="AP22" s="88">
        <f>((D22/360)*180)*1000</f>
        <v>25</v>
      </c>
      <c r="AQ22" s="89">
        <f>DAYS360(Enter!C18,E22)/180</f>
        <v>46.43888888888889</v>
      </c>
      <c r="AR22" s="89">
        <f t="shared" si="11"/>
        <v>0.43888888888888999</v>
      </c>
      <c r="AS22" s="97">
        <f t="shared" si="19"/>
        <v>14.02777777777775</v>
      </c>
      <c r="AT22" s="91">
        <f>IF(DAYS360(Enter!B18,Enter!C18)&lt;180,0,AS22*A22)</f>
        <v>0</v>
      </c>
      <c r="AU22" s="69">
        <f>IF((DAYS360(Enter!B18,Enter!C18))&lt;180,(DAYS360(Enter!B18,Enter!C18))/180*AP22*A22,0)</f>
        <v>763.88888888888891</v>
      </c>
      <c r="AV22" s="89"/>
      <c r="AW22" s="89"/>
      <c r="AX22" s="56"/>
      <c r="AY22" s="62">
        <f t="shared" si="12"/>
        <v>1.6613853038653732E-3</v>
      </c>
      <c r="AZ22" s="56"/>
      <c r="BA22" s="56"/>
      <c r="BB22" s="56"/>
      <c r="BC22" s="92">
        <f>IF(A22=0,0,IF(J22=100,D22,YIELD(Enter!C18,E22,D22,J22,100,2,0)))</f>
        <v>4.9463737677634449E-2</v>
      </c>
      <c r="BD22" s="94">
        <f>IF(A22=0,100,IF(F22=0,100,YIELD(Enter!C18,F22,D22,J22,G22,2,0)))</f>
        <v>4.8999005639341064E-2</v>
      </c>
      <c r="BE22" s="94">
        <f>IF(A22=0,1000,IF(H22=0,1000,YIELD(Enter!C18,H22,D22,J22,100,2,0)))</f>
        <v>1000</v>
      </c>
      <c r="BF22" s="94"/>
      <c r="BG22" s="87">
        <f t="shared" si="21"/>
        <v>4.8999005639341064E-2</v>
      </c>
      <c r="BH22" s="95">
        <f t="shared" si="22"/>
        <v>40589</v>
      </c>
      <c r="BI22" s="75"/>
    </row>
    <row r="23" spans="1:61" ht="15.75" x14ac:dyDescent="0.25">
      <c r="A23" s="223">
        <f>Enter!A19</f>
        <v>200</v>
      </c>
      <c r="B23" s="216" t="str">
        <f>Enter!D19</f>
        <v>AAA/AAA</v>
      </c>
      <c r="C23" s="262" t="str">
        <f>Enter!E19</f>
        <v>SEATTLE WASH WTR</v>
      </c>
      <c r="D23" s="217">
        <f>Enter!F19</f>
        <v>0.05</v>
      </c>
      <c r="E23" s="215">
        <f>Enter!G19</f>
        <v>46327</v>
      </c>
      <c r="F23" s="215">
        <f>Enter!H19</f>
        <v>40848</v>
      </c>
      <c r="G23" s="221">
        <f>Enter!I19</f>
        <v>100</v>
      </c>
      <c r="H23" s="215">
        <f>Enter!J19</f>
        <v>0</v>
      </c>
      <c r="I23" s="222">
        <f>Enter!K19</f>
        <v>0</v>
      </c>
      <c r="J23" s="219">
        <f>Enter!L19</f>
        <v>100.919</v>
      </c>
      <c r="K23" s="162">
        <f t="shared" si="13"/>
        <v>4.8816563893446817E-2</v>
      </c>
      <c r="L23" s="162">
        <f t="shared" si="14"/>
        <v>4.9352675039922099E-2</v>
      </c>
      <c r="M23" s="162">
        <f t="shared" si="15"/>
        <v>4.9544684350816E-2</v>
      </c>
      <c r="N23" s="162">
        <f>IF(A23=0,0,IF(K23=0,L23*Enter!G$27,K23*Enter!G$27))</f>
        <v>7.507987526812121E-2</v>
      </c>
      <c r="R23" s="55" t="b">
        <f t="shared" si="20"/>
        <v>0</v>
      </c>
      <c r="S23" s="68">
        <f t="shared" si="16"/>
        <v>46327</v>
      </c>
      <c r="T23" s="69">
        <f t="shared" si="17"/>
        <v>20000</v>
      </c>
      <c r="U23" s="56">
        <v>17</v>
      </c>
      <c r="V23" s="66">
        <f t="shared" si="0"/>
        <v>10000</v>
      </c>
      <c r="W23" s="61"/>
      <c r="X23" s="62">
        <f>Volatility!AS23/Volatility!AS$29</f>
        <v>6.6581424621074414E-2</v>
      </c>
      <c r="Y23" s="67"/>
      <c r="Z23" s="96">
        <f t="shared" si="18"/>
        <v>46327</v>
      </c>
      <c r="AA23" s="56">
        <f>DAYS360(Enter!C19,Z23)</f>
        <v>8975</v>
      </c>
      <c r="AB23" s="85">
        <f t="shared" si="1"/>
        <v>8975</v>
      </c>
      <c r="AC23" s="56">
        <f>X23*AB23</f>
        <v>597.5682859741429</v>
      </c>
      <c r="AD23" s="62">
        <f t="shared" si="3"/>
        <v>3.250276369131392E-3</v>
      </c>
      <c r="AE23" s="86">
        <f>BG23</f>
        <v>4.8816563893446817E-2</v>
      </c>
      <c r="AF23" s="86">
        <f>AE23*X23</f>
        <v>3.250276369131392E-3</v>
      </c>
      <c r="AG23" s="55">
        <f t="shared" si="6"/>
        <v>0.05</v>
      </c>
      <c r="AH23" s="87">
        <f t="shared" si="7"/>
        <v>4.9544684350816E-2</v>
      </c>
      <c r="AI23" s="62">
        <f t="shared" si="8"/>
        <v>20183.8</v>
      </c>
      <c r="AJ23" s="56"/>
      <c r="AK23" s="56"/>
      <c r="AL23" s="56"/>
      <c r="AM23" s="88">
        <f t="shared" si="9"/>
        <v>201838</v>
      </c>
      <c r="AN23" s="56"/>
      <c r="AO23" s="56"/>
      <c r="AP23" s="88">
        <f>((D23/360)*180)*1000</f>
        <v>25</v>
      </c>
      <c r="AQ23" s="89">
        <f>DAYS360(Enter!C19,E23)/180</f>
        <v>49.861111111111114</v>
      </c>
      <c r="AR23" s="89">
        <f t="shared" si="11"/>
        <v>0.86111111111111427</v>
      </c>
      <c r="AS23" s="97">
        <f t="shared" si="19"/>
        <v>3.4722222222221433</v>
      </c>
      <c r="AT23" s="91">
        <f>IF(DAYS360(Enter!B19,Enter!C19)&lt;180,0,AS23*A23)</f>
        <v>0</v>
      </c>
      <c r="AU23" s="69">
        <f>IF((DAYS360(Enter!B19,Enter!C19))&lt;180,(DAYS360(Enter!B19,Enter!C19))/180*AP23*A23,0)</f>
        <v>694.44444444444446</v>
      </c>
      <c r="AV23" s="89"/>
      <c r="AW23" s="89"/>
      <c r="AX23" s="56"/>
      <c r="AY23" s="62">
        <f t="shared" si="12"/>
        <v>3.3290712310537207E-3</v>
      </c>
      <c r="AZ23" s="56"/>
      <c r="BA23" s="56"/>
      <c r="BB23" s="56"/>
      <c r="BC23" s="92">
        <f>IF(A23=0,0,IF(J23=100,D23,YIELD(Enter!C19,E23,D23,J23,100,2,0)))</f>
        <v>4.9352675039922099E-2</v>
      </c>
      <c r="BD23" s="94">
        <f>IF(A23=0,100,IF(F23=0,100,YIELD(Enter!C19,F23,D23,J23,G23,2,0)))</f>
        <v>4.8816563893446817E-2</v>
      </c>
      <c r="BE23" s="94">
        <f>IF(A23=0,1000,IF(H23=0,1000,YIELD(Enter!C19,H23,D23,J23,100,2,0)))</f>
        <v>1000</v>
      </c>
      <c r="BF23" s="94"/>
      <c r="BG23" s="87">
        <f t="shared" si="21"/>
        <v>4.8816563893446817E-2</v>
      </c>
      <c r="BH23" s="95">
        <f t="shared" si="22"/>
        <v>40848</v>
      </c>
      <c r="BI23" s="75"/>
    </row>
    <row r="24" spans="1:61" ht="15.75" x14ac:dyDescent="0.25">
      <c r="A24" s="223">
        <f>Enter!A20</f>
        <v>200</v>
      </c>
      <c r="B24" s="216" t="str">
        <f>Enter!D20</f>
        <v>AAA/AAA</v>
      </c>
      <c r="C24" s="262" t="str">
        <f>Enter!E20</f>
        <v>SAN ANTONIO ISD</v>
      </c>
      <c r="D24" s="217">
        <f>Enter!F20</f>
        <v>0.05</v>
      </c>
      <c r="E24" s="215">
        <f>Enter!G20</f>
        <v>46614</v>
      </c>
      <c r="F24" s="215">
        <f>Enter!H20</f>
        <v>39675</v>
      </c>
      <c r="G24" s="221">
        <f>Enter!I20</f>
        <v>100</v>
      </c>
      <c r="H24" s="215">
        <f>Enter!J20</f>
        <v>0</v>
      </c>
      <c r="I24" s="222">
        <f>Enter!K20</f>
        <v>0</v>
      </c>
      <c r="J24" s="219">
        <f>Enter!L20</f>
        <v>100.56100000000001</v>
      </c>
      <c r="K24" s="162">
        <f t="shared" si="13"/>
        <v>4.8996896735357405E-2</v>
      </c>
      <c r="L24" s="162">
        <f t="shared" si="14"/>
        <v>4.9606330960621739E-2</v>
      </c>
      <c r="M24" s="162">
        <f t="shared" si="15"/>
        <v>4.9721064826324317E-2</v>
      </c>
      <c r="N24" s="162">
        <f>IF(A24=0,0,IF(K24=0,L24*Enter!G$27,K24*Enter!G$27))</f>
        <v>7.5357227178979691E-2</v>
      </c>
      <c r="R24" s="55" t="b">
        <f t="shared" si="20"/>
        <v>0</v>
      </c>
      <c r="S24" s="68">
        <f t="shared" si="16"/>
        <v>46614</v>
      </c>
      <c r="T24" s="69">
        <f t="shared" si="17"/>
        <v>20000</v>
      </c>
      <c r="U24" s="56">
        <v>18</v>
      </c>
      <c r="V24" s="66">
        <f t="shared" si="0"/>
        <v>10000</v>
      </c>
      <c r="W24" s="61"/>
      <c r="X24" s="62">
        <f>Volatility!AS24/Volatility!AS$29</f>
        <v>6.6345233715354529E-2</v>
      </c>
      <c r="Y24" s="67"/>
      <c r="Z24" s="96">
        <f t="shared" si="18"/>
        <v>46614</v>
      </c>
      <c r="AA24" s="56">
        <f>DAYS360(Enter!C20,Z24)</f>
        <v>9259</v>
      </c>
      <c r="AB24" s="85">
        <f t="shared" si="1"/>
        <v>9259</v>
      </c>
      <c r="AC24" s="56">
        <f>X24*AB24</f>
        <v>614.29051897046759</v>
      </c>
      <c r="AD24" s="62">
        <f t="shared" si="3"/>
        <v>3.2507105652343784E-3</v>
      </c>
      <c r="AE24" s="86">
        <f>BG24</f>
        <v>4.8996896735357405E-2</v>
      </c>
      <c r="AF24" s="86">
        <f>AE24*X24</f>
        <v>3.2507105652343784E-3</v>
      </c>
      <c r="AG24" s="55">
        <f t="shared" si="6"/>
        <v>0.05</v>
      </c>
      <c r="AH24" s="87">
        <f t="shared" si="7"/>
        <v>4.9721064826324317E-2</v>
      </c>
      <c r="AI24" s="62">
        <f t="shared" si="8"/>
        <v>20112.2</v>
      </c>
      <c r="AJ24" s="56"/>
      <c r="AK24" s="56"/>
      <c r="AL24" s="56"/>
      <c r="AM24" s="88">
        <f t="shared" si="9"/>
        <v>201122.00000000003</v>
      </c>
      <c r="AN24" s="56"/>
      <c r="AO24" s="56"/>
      <c r="AP24" s="88">
        <f>((D24/360)*180)*1000</f>
        <v>25</v>
      </c>
      <c r="AQ24" s="89">
        <f>DAYS360(Enter!C20,E24)/180</f>
        <v>51.43888888888889</v>
      </c>
      <c r="AR24" s="89">
        <f t="shared" si="11"/>
        <v>0.43888888888888999</v>
      </c>
      <c r="AS24" s="97">
        <f t="shared" si="19"/>
        <v>14.02777777777775</v>
      </c>
      <c r="AT24" s="91">
        <f>IF(DAYS360(Enter!B20,Enter!C20)&lt;180,0,AS24*A24)</f>
        <v>2805.5555555555502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3.3172616857677266E-3</v>
      </c>
      <c r="AZ24" s="56"/>
      <c r="BA24" s="56"/>
      <c r="BB24" s="56"/>
      <c r="BC24" s="92">
        <f>IF(A24=0,0,IF(J24=100,D24,YIELD(Enter!C20,E24,D24,J24,100,2,0)))</f>
        <v>4.9606330960621739E-2</v>
      </c>
      <c r="BD24" s="94">
        <f>IF(A24=0,100,IF(F24=0,100,YIELD(Enter!C20,F24,D24,J24,G24,2,0)))</f>
        <v>4.8996896735357405E-2</v>
      </c>
      <c r="BE24" s="94">
        <f>IF(A24=0,1000,IF(H24=0,1000,YIELD(Enter!C20,H24,D24,J24,100,2,0)))</f>
        <v>1000</v>
      </c>
      <c r="BF24" s="94"/>
      <c r="BG24" s="87">
        <f t="shared" si="21"/>
        <v>4.8996896735357405E-2</v>
      </c>
      <c r="BH24" s="95">
        <f t="shared" si="22"/>
        <v>39675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3010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136025</v>
      </c>
      <c r="W29" s="61"/>
      <c r="X29" s="87">
        <f>SUM(X7:X28)</f>
        <v>0.99999999999999989</v>
      </c>
      <c r="Y29" s="61"/>
      <c r="Z29" s="56"/>
      <c r="AA29" s="56"/>
      <c r="AB29" s="56"/>
      <c r="AC29" s="112">
        <f>SUM(AC7:AC28)/360</f>
        <v>13.550823039905318</v>
      </c>
      <c r="AD29" s="56">
        <f>SUM(AD7:AD28)</f>
        <v>3.9252426207964777E-2</v>
      </c>
      <c r="AE29" s="56"/>
      <c r="AF29" s="56"/>
      <c r="AG29" s="56"/>
      <c r="AH29" s="56"/>
      <c r="AI29" s="56">
        <f>SUM(AI7:AI28)</f>
        <v>303144.61</v>
      </c>
      <c r="AJ29" s="56">
        <f>AI29/$A$29</f>
        <v>100.71249501661129</v>
      </c>
      <c r="AK29" s="56"/>
      <c r="AL29" s="56"/>
      <c r="AM29" s="91">
        <f>SUM(AM7:AM28)</f>
        <v>3031446.1</v>
      </c>
      <c r="AN29" s="56"/>
      <c r="AO29" s="56"/>
      <c r="AP29" s="56"/>
      <c r="AQ29" s="56"/>
      <c r="AR29" s="56"/>
      <c r="AS29" s="56"/>
      <c r="AT29" s="91">
        <f>SUM(AT7:AT28)</f>
        <v>20566.944444444445</v>
      </c>
      <c r="AU29" s="69">
        <f>SUM(AU7:AU28)</f>
        <v>4538.1944444444443</v>
      </c>
      <c r="AV29" s="113" t="s">
        <v>109</v>
      </c>
      <c r="AW29" s="91">
        <f>SUM(AT29:AV29)</f>
        <v>25105.138888888891</v>
      </c>
      <c r="AX29" s="56"/>
      <c r="AY29" s="94">
        <f>SUM(AY7:AY28)</f>
        <v>4.5456242608107066E-2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50</v>
      </c>
      <c r="B6" s="147" t="str">
        <f>Proposal!C7</f>
        <v>ALBUQUERQUE NM</v>
      </c>
      <c r="C6" s="255">
        <f>Proposal!D7</f>
        <v>5.7500000000000002E-2</v>
      </c>
      <c r="D6" s="258">
        <f>IF(Proposal!R7=TRUE,Proposal!F7,Proposal!E7)</f>
        <v>37438</v>
      </c>
      <c r="E6" s="148">
        <f t="shared" ref="E6:J15" si="0">IF(E$4=MONTH($D6),$A6*1000*$C6*0.5,0)+(IF(E$4+6=MONTH($D6),$A6*1000*$C6*0.5,0))</f>
        <v>1437.5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1437.5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2875</v>
      </c>
      <c r="U6" s="62">
        <f t="shared" ref="U6:U27" si="3">YEAR(D6)</f>
        <v>2002</v>
      </c>
      <c r="V6" s="56" t="s">
        <v>40</v>
      </c>
      <c r="W6" s="116">
        <f>Income!E$28</f>
        <v>5187.5</v>
      </c>
    </row>
    <row r="7" spans="1:23" s="5" customFormat="1" ht="15.75" x14ac:dyDescent="0.25">
      <c r="A7" s="146">
        <f>Proposal!A8</f>
        <v>250</v>
      </c>
      <c r="B7" s="150" t="str">
        <f>Proposal!C8</f>
        <v>MIDWAY TX ISD PSF</v>
      </c>
      <c r="C7" s="256">
        <f>Proposal!D8</f>
        <v>6.1249999999999999E-2</v>
      </c>
      <c r="D7" s="259">
        <f>IF(Proposal!R8=TRUE,Proposal!F8,Proposal!E8)</f>
        <v>37469</v>
      </c>
      <c r="E7" s="151">
        <f t="shared" si="0"/>
        <v>0</v>
      </c>
      <c r="F7" s="151">
        <f t="shared" si="0"/>
        <v>7656.25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7656.25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15312.5</v>
      </c>
      <c r="U7" s="62">
        <f t="shared" si="3"/>
        <v>2002</v>
      </c>
      <c r="V7" s="56" t="s">
        <v>41</v>
      </c>
      <c r="W7" s="116">
        <f>Income!F$28</f>
        <v>32131.25</v>
      </c>
    </row>
    <row r="8" spans="1:23" s="5" customFormat="1" ht="15.75" x14ac:dyDescent="0.25">
      <c r="A8" s="146">
        <f>Proposal!A9</f>
        <v>50</v>
      </c>
      <c r="B8" s="150" t="str">
        <f>Proposal!C9</f>
        <v>JACKSONVILLE FLA</v>
      </c>
      <c r="C8" s="256">
        <f>Proposal!D9</f>
        <v>4.3749999999999997E-2</v>
      </c>
      <c r="D8" s="259">
        <f>IF(Proposal!R9=TRUE,Proposal!F9,Proposal!E9)</f>
        <v>37530</v>
      </c>
      <c r="E8" s="151">
        <f t="shared" si="0"/>
        <v>0</v>
      </c>
      <c r="F8" s="151">
        <f t="shared" si="0"/>
        <v>0</v>
      </c>
      <c r="G8" s="151">
        <f t="shared" si="0"/>
        <v>0</v>
      </c>
      <c r="H8" s="151">
        <f t="shared" si="0"/>
        <v>1093.75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1">
        <f t="shared" si="1"/>
        <v>1093.75</v>
      </c>
      <c r="O8" s="151">
        <f t="shared" si="1"/>
        <v>0</v>
      </c>
      <c r="P8" s="151">
        <f t="shared" si="1"/>
        <v>0</v>
      </c>
      <c r="Q8" s="152">
        <f t="shared" si="2"/>
        <v>2187.5</v>
      </c>
      <c r="U8" s="62">
        <f t="shared" si="3"/>
        <v>2002</v>
      </c>
      <c r="V8" s="56" t="s">
        <v>42</v>
      </c>
      <c r="W8" s="116">
        <f>Income!G$28</f>
        <v>1250</v>
      </c>
    </row>
    <row r="9" spans="1:23" s="5" customFormat="1" ht="15.75" x14ac:dyDescent="0.25">
      <c r="A9" s="146">
        <f>Proposal!A10</f>
        <v>50</v>
      </c>
      <c r="B9" s="150" t="str">
        <f>Proposal!C10</f>
        <v>UTAH STATE</v>
      </c>
      <c r="C9" s="256">
        <f>Proposal!D10</f>
        <v>0.05</v>
      </c>
      <c r="D9" s="259">
        <f>IF(Proposal!R10=TRUE,Proposal!F10,Proposal!E10)</f>
        <v>37803</v>
      </c>
      <c r="E9" s="151">
        <f t="shared" si="0"/>
        <v>1250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1250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2500</v>
      </c>
      <c r="U9" s="62">
        <f t="shared" si="3"/>
        <v>2003</v>
      </c>
      <c r="V9" s="56" t="s">
        <v>43</v>
      </c>
      <c r="W9" s="116">
        <f>Income!H$28</f>
        <v>24443.75</v>
      </c>
    </row>
    <row r="10" spans="1:23" s="5" customFormat="1" ht="15.75" x14ac:dyDescent="0.25">
      <c r="A10" s="146">
        <f>Proposal!A11</f>
        <v>300</v>
      </c>
      <c r="B10" s="150" t="str">
        <f>Proposal!C11</f>
        <v>BUCKS CO PA</v>
      </c>
      <c r="C10" s="256">
        <f>Proposal!D11</f>
        <v>4.65E-2</v>
      </c>
      <c r="D10" s="259">
        <f>IF(Proposal!R11=TRUE,Proposal!F11,Proposal!E11)</f>
        <v>37848</v>
      </c>
      <c r="E10" s="151">
        <f t="shared" si="0"/>
        <v>0</v>
      </c>
      <c r="F10" s="151">
        <f t="shared" si="0"/>
        <v>6975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0</v>
      </c>
      <c r="L10" s="151">
        <f t="shared" si="1"/>
        <v>6975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13950</v>
      </c>
      <c r="U10" s="62">
        <f t="shared" si="3"/>
        <v>2003</v>
      </c>
      <c r="V10" s="56" t="s">
        <v>44</v>
      </c>
      <c r="W10" s="116">
        <f>Income!I$28</f>
        <v>5000</v>
      </c>
    </row>
    <row r="11" spans="1:23" s="5" customFormat="1" ht="15.75" x14ac:dyDescent="0.25">
      <c r="A11" s="146">
        <f>Proposal!A12</f>
        <v>50</v>
      </c>
      <c r="B11" s="150" t="str">
        <f>Proposal!C12</f>
        <v>CLEVELAND OHIO</v>
      </c>
      <c r="C11" s="256">
        <f>Proposal!D12</f>
        <v>0.05</v>
      </c>
      <c r="D11" s="259">
        <f>IF(Proposal!R12=TRUE,Proposal!F12,Proposal!E12)</f>
        <v>37865</v>
      </c>
      <c r="E11" s="151">
        <f t="shared" si="0"/>
        <v>0</v>
      </c>
      <c r="F11" s="151">
        <f t="shared" si="0"/>
        <v>0</v>
      </c>
      <c r="G11" s="151">
        <f t="shared" si="0"/>
        <v>1250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1250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2500</v>
      </c>
      <c r="U11" s="62">
        <f t="shared" si="3"/>
        <v>2003</v>
      </c>
      <c r="V11" s="56" t="s">
        <v>45</v>
      </c>
      <c r="W11" s="116">
        <f>Income!J$28</f>
        <v>0</v>
      </c>
    </row>
    <row r="12" spans="1:23" s="5" customFormat="1" ht="15.75" x14ac:dyDescent="0.25">
      <c r="A12" s="146">
        <f>Proposal!A13</f>
        <v>260</v>
      </c>
      <c r="B12" s="150" t="str">
        <f>Proposal!C13</f>
        <v>DELAWARE CO PA</v>
      </c>
      <c r="C12" s="256">
        <f>Proposal!D13</f>
        <v>0</v>
      </c>
      <c r="D12" s="259">
        <f>IF(Proposal!R13=TRUE,Proposal!F13,Proposal!E13)</f>
        <v>37940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2003</v>
      </c>
      <c r="V12" s="56" t="s">
        <v>46</v>
      </c>
      <c r="W12" s="116">
        <f>Income!K$28</f>
        <v>5187.5</v>
      </c>
    </row>
    <row r="13" spans="1:23" s="5" customFormat="1" ht="15.75" x14ac:dyDescent="0.25">
      <c r="A13" s="146">
        <f>Proposal!A14</f>
        <v>200</v>
      </c>
      <c r="B13" s="150" t="str">
        <f>Proposal!C14</f>
        <v>PORT HOUSTON</v>
      </c>
      <c r="C13" s="256">
        <f>Proposal!D14</f>
        <v>4.6249999999999999E-2</v>
      </c>
      <c r="D13" s="259">
        <f>IF(Proposal!R14=TRUE,Proposal!F14,Proposal!E14)</f>
        <v>42644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4625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4625</v>
      </c>
      <c r="O13" s="151">
        <f t="shared" si="1"/>
        <v>0</v>
      </c>
      <c r="P13" s="151">
        <f t="shared" si="1"/>
        <v>0</v>
      </c>
      <c r="Q13" s="152">
        <f t="shared" si="2"/>
        <v>9250</v>
      </c>
      <c r="U13" s="62">
        <f t="shared" si="3"/>
        <v>2016</v>
      </c>
      <c r="V13" s="56" t="s">
        <v>47</v>
      </c>
      <c r="W13" s="116">
        <f>Income!L$28</f>
        <v>32131.25</v>
      </c>
    </row>
    <row r="14" spans="1:23" s="5" customFormat="1" ht="15.75" x14ac:dyDescent="0.25">
      <c r="A14" s="146">
        <f>Proposal!A15</f>
        <v>200</v>
      </c>
      <c r="B14" s="150" t="str">
        <f>Proposal!C15</f>
        <v>PORT HOUSTON</v>
      </c>
      <c r="C14" s="256">
        <f>Proposal!D15</f>
        <v>4.7500000000000001E-2</v>
      </c>
      <c r="D14" s="259">
        <f>IF(Proposal!R15=TRUE,Proposal!F15,Proposal!E15)</f>
        <v>43009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4750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4750</v>
      </c>
      <c r="O14" s="151">
        <f t="shared" si="1"/>
        <v>0</v>
      </c>
      <c r="P14" s="151">
        <f t="shared" si="1"/>
        <v>0</v>
      </c>
      <c r="Q14" s="152">
        <f t="shared" si="2"/>
        <v>9500</v>
      </c>
      <c r="U14" s="62">
        <f t="shared" si="3"/>
        <v>2017</v>
      </c>
      <c r="V14" s="56" t="s">
        <v>48</v>
      </c>
      <c r="W14" s="116">
        <f>Income!M$28</f>
        <v>1250</v>
      </c>
    </row>
    <row r="15" spans="1:23" s="5" customFormat="1" ht="15.75" x14ac:dyDescent="0.25">
      <c r="A15" s="146">
        <f>Proposal!A16</f>
        <v>200</v>
      </c>
      <c r="B15" s="150" t="str">
        <f>Proposal!C16</f>
        <v>MONROE WISC SCH</v>
      </c>
      <c r="C15" s="256">
        <f>Proposal!D16</f>
        <v>4.8750000000000002E-2</v>
      </c>
      <c r="D15" s="259">
        <f>IF(Proposal!R16=TRUE,Proposal!F16,Proposal!E16)</f>
        <v>43191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4875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4875</v>
      </c>
      <c r="O15" s="151">
        <f t="shared" si="1"/>
        <v>0</v>
      </c>
      <c r="P15" s="151">
        <f t="shared" si="1"/>
        <v>0</v>
      </c>
      <c r="Q15" s="152">
        <f t="shared" si="2"/>
        <v>9750</v>
      </c>
      <c r="U15" s="62">
        <f t="shared" si="3"/>
        <v>2018</v>
      </c>
      <c r="V15" s="56" t="s">
        <v>49</v>
      </c>
      <c r="W15" s="116">
        <f>Income!N$28</f>
        <v>24443.75</v>
      </c>
    </row>
    <row r="16" spans="1:23" s="5" customFormat="1" ht="15.75" x14ac:dyDescent="0.25">
      <c r="A16" s="146">
        <f>Proposal!A17</f>
        <v>200</v>
      </c>
      <c r="B16" s="150" t="str">
        <f>Proposal!C17</f>
        <v>TROY MICH</v>
      </c>
      <c r="C16" s="256">
        <f>Proposal!D17</f>
        <v>4.5999999999999999E-2</v>
      </c>
      <c r="D16" s="259">
        <f>IF(Proposal!R17=TRUE,Proposal!F17,Proposal!E17)</f>
        <v>43739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4600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4600</v>
      </c>
      <c r="O16" s="151">
        <f t="shared" si="5"/>
        <v>0</v>
      </c>
      <c r="P16" s="151">
        <f t="shared" si="5"/>
        <v>0</v>
      </c>
      <c r="Q16" s="152">
        <f t="shared" si="2"/>
        <v>9200</v>
      </c>
      <c r="U16" s="62">
        <f t="shared" si="3"/>
        <v>2019</v>
      </c>
      <c r="V16" s="56" t="s">
        <v>50</v>
      </c>
      <c r="W16" s="116">
        <f>Income!O$28</f>
        <v>5000</v>
      </c>
    </row>
    <row r="17" spans="1:23" s="5" customFormat="1" ht="15.75" x14ac:dyDescent="0.25">
      <c r="A17" s="146">
        <f>Proposal!A18</f>
        <v>200</v>
      </c>
      <c r="B17" s="150" t="str">
        <f>Proposal!C18</f>
        <v>PASADENA TX</v>
      </c>
      <c r="C17" s="256">
        <f>Proposal!D18</f>
        <v>0.05</v>
      </c>
      <c r="D17" s="259">
        <f>IF(Proposal!R18=TRUE,Proposal!F18,Proposal!E18)</f>
        <v>43876</v>
      </c>
      <c r="E17" s="151">
        <f t="shared" si="4"/>
        <v>0</v>
      </c>
      <c r="F17" s="151">
        <f t="shared" si="4"/>
        <v>5000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5000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10000</v>
      </c>
      <c r="U17" s="62">
        <f t="shared" si="3"/>
        <v>2020</v>
      </c>
      <c r="V17" s="56" t="s">
        <v>51</v>
      </c>
      <c r="W17" s="116">
        <f>Income!P$28</f>
        <v>0</v>
      </c>
    </row>
    <row r="18" spans="1:23" s="5" customFormat="1" ht="15.75" x14ac:dyDescent="0.25">
      <c r="A18" s="146">
        <f>Proposal!A19</f>
        <v>200</v>
      </c>
      <c r="B18" s="150" t="str">
        <f>Proposal!C19</f>
        <v>N.HARRIS MONT CCD</v>
      </c>
      <c r="C18" s="256">
        <f>Proposal!D19</f>
        <v>0.05</v>
      </c>
      <c r="D18" s="259">
        <f>IF(Proposal!R19=TRUE,Proposal!F19,Proposal!E19)</f>
        <v>44242</v>
      </c>
      <c r="E18" s="151">
        <f t="shared" si="4"/>
        <v>0</v>
      </c>
      <c r="F18" s="151">
        <f t="shared" si="4"/>
        <v>5000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5000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10000</v>
      </c>
      <c r="U18" s="62">
        <f t="shared" si="3"/>
        <v>2021</v>
      </c>
      <c r="V18" s="56"/>
      <c r="W18" s="67"/>
    </row>
    <row r="19" spans="1:23" s="5" customFormat="1" ht="15.75" x14ac:dyDescent="0.25">
      <c r="A19" s="146">
        <f>Proposal!A20</f>
        <v>200</v>
      </c>
      <c r="B19" s="150" t="str">
        <f>Proposal!C20</f>
        <v>PHILADELPHIA PA SCH</v>
      </c>
      <c r="C19" s="256">
        <f>Proposal!D20</f>
        <v>4.4999999999999998E-2</v>
      </c>
      <c r="D19" s="259">
        <f>IF(Proposal!R20=TRUE,Proposal!F20,Proposal!E20)</f>
        <v>45017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4500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4500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9000</v>
      </c>
      <c r="U19" s="62">
        <f t="shared" si="3"/>
        <v>2023</v>
      </c>
      <c r="V19" s="56"/>
      <c r="W19" s="67"/>
    </row>
    <row r="20" spans="1:23" s="5" customFormat="1" ht="15.75" x14ac:dyDescent="0.25">
      <c r="A20" s="146">
        <f>Proposal!A21</f>
        <v>100</v>
      </c>
      <c r="B20" s="150" t="str">
        <f>Proposal!C21</f>
        <v>TEXAS TURNPIKE</v>
      </c>
      <c r="C20" s="256">
        <f>Proposal!D21</f>
        <v>0.05</v>
      </c>
      <c r="D20" s="259">
        <f>IF(Proposal!R21=TRUE,Proposal!F21,Proposal!E21)</f>
        <v>45658</v>
      </c>
      <c r="E20" s="151">
        <f t="shared" si="4"/>
        <v>2500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2500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5000</v>
      </c>
      <c r="U20" s="62">
        <f t="shared" si="3"/>
        <v>2025</v>
      </c>
      <c r="V20" s="56"/>
      <c r="W20" s="67"/>
    </row>
    <row r="21" spans="1:23" s="5" customFormat="1" ht="15.75" x14ac:dyDescent="0.25">
      <c r="A21" s="146">
        <f>Proposal!A22</f>
        <v>100</v>
      </c>
      <c r="B21" s="150" t="str">
        <f>Proposal!C22</f>
        <v>FRISCO TX CERT OBL</v>
      </c>
      <c r="C21" s="256">
        <f>Proposal!D22</f>
        <v>0.05</v>
      </c>
      <c r="D21" s="259">
        <f>IF(Proposal!R22=TRUE,Proposal!F22,Proposal!E22)</f>
        <v>45703</v>
      </c>
      <c r="E21" s="151">
        <f t="shared" si="4"/>
        <v>0</v>
      </c>
      <c r="F21" s="151">
        <f t="shared" si="4"/>
        <v>2500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2500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5000</v>
      </c>
      <c r="U21" s="62">
        <f t="shared" si="3"/>
        <v>2025</v>
      </c>
      <c r="V21" s="56"/>
      <c r="W21" s="67"/>
    </row>
    <row r="22" spans="1:23" s="5" customFormat="1" ht="15.75" x14ac:dyDescent="0.25">
      <c r="A22" s="146">
        <f>Proposal!A23</f>
        <v>200</v>
      </c>
      <c r="B22" s="150" t="str">
        <f>Proposal!C23</f>
        <v>SEATTLE WASH WTR</v>
      </c>
      <c r="C22" s="256">
        <f>Proposal!D23</f>
        <v>0.05</v>
      </c>
      <c r="D22" s="259">
        <f>IF(Proposal!R23=TRUE,Proposal!F23,Proposal!E23)</f>
        <v>46327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5000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5000</v>
      </c>
      <c r="P22" s="151">
        <f t="shared" si="5"/>
        <v>0</v>
      </c>
      <c r="Q22" s="152">
        <f t="shared" si="6"/>
        <v>10000</v>
      </c>
      <c r="U22" s="62">
        <f t="shared" si="3"/>
        <v>2026</v>
      </c>
      <c r="V22" s="56"/>
      <c r="W22" s="67"/>
    </row>
    <row r="23" spans="1:23" s="5" customFormat="1" ht="15.75" x14ac:dyDescent="0.25">
      <c r="A23" s="146">
        <f>Proposal!A24</f>
        <v>200</v>
      </c>
      <c r="B23" s="150" t="str">
        <f>Proposal!C24</f>
        <v>SAN ANTONIO ISD</v>
      </c>
      <c r="C23" s="256">
        <f>Proposal!D24</f>
        <v>0.05</v>
      </c>
      <c r="D23" s="259">
        <f>IF(Proposal!R24=TRUE,Proposal!F24,Proposal!E24)</f>
        <v>46614</v>
      </c>
      <c r="E23" s="151">
        <f t="shared" si="4"/>
        <v>0</v>
      </c>
      <c r="F23" s="151">
        <f t="shared" si="4"/>
        <v>5000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5000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10000</v>
      </c>
      <c r="U23" s="62">
        <f t="shared" si="3"/>
        <v>2027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3010</v>
      </c>
      <c r="B28" s="18" t="s">
        <v>52</v>
      </c>
      <c r="C28" s="158"/>
      <c r="D28" s="143"/>
      <c r="E28" s="159">
        <f t="shared" ref="E28:P28" si="9">SUM(E6:E27)</f>
        <v>5187.5</v>
      </c>
      <c r="F28" s="159">
        <f t="shared" si="9"/>
        <v>32131.25</v>
      </c>
      <c r="G28" s="159">
        <f t="shared" si="9"/>
        <v>1250</v>
      </c>
      <c r="H28" s="159">
        <f t="shared" si="9"/>
        <v>24443.75</v>
      </c>
      <c r="I28" s="159">
        <f t="shared" si="9"/>
        <v>5000</v>
      </c>
      <c r="J28" s="159">
        <f t="shared" si="9"/>
        <v>0</v>
      </c>
      <c r="K28" s="159">
        <f t="shared" si="9"/>
        <v>5187.5</v>
      </c>
      <c r="L28" s="159">
        <f t="shared" si="9"/>
        <v>32131.25</v>
      </c>
      <c r="M28" s="159">
        <f t="shared" si="9"/>
        <v>1250</v>
      </c>
      <c r="N28" s="159">
        <f t="shared" si="9"/>
        <v>24443.75</v>
      </c>
      <c r="O28" s="159">
        <f t="shared" si="9"/>
        <v>5000</v>
      </c>
      <c r="P28" s="159">
        <f t="shared" si="9"/>
        <v>0</v>
      </c>
      <c r="Q28" s="159">
        <f>SUM(E28:P28)</f>
        <v>136025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3.8136371990442931E-2</v>
      </c>
      <c r="F29" s="161">
        <f t="shared" ref="F29:P29" si="10">F28/$Q$28</f>
        <v>0.23621576916008086</v>
      </c>
      <c r="G29" s="161">
        <f t="shared" si="10"/>
        <v>9.1894872266127543E-3</v>
      </c>
      <c r="H29" s="161">
        <f t="shared" si="10"/>
        <v>0.17970042271641243</v>
      </c>
      <c r="I29" s="161">
        <f t="shared" si="10"/>
        <v>3.6757948906451017E-2</v>
      </c>
      <c r="J29" s="161">
        <f t="shared" si="10"/>
        <v>0</v>
      </c>
      <c r="K29" s="161">
        <f t="shared" si="10"/>
        <v>3.8136371990442931E-2</v>
      </c>
      <c r="L29" s="161">
        <f t="shared" si="10"/>
        <v>0.23621576916008086</v>
      </c>
      <c r="M29" s="161">
        <f t="shared" si="10"/>
        <v>9.1894872266127543E-3</v>
      </c>
      <c r="N29" s="161">
        <f t="shared" si="10"/>
        <v>0.17970042271641243</v>
      </c>
      <c r="O29" s="161">
        <f t="shared" si="10"/>
        <v>3.6757948906451017E-2</v>
      </c>
      <c r="P29" s="161">
        <f t="shared" si="10"/>
        <v>0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2002</v>
      </c>
      <c r="C61" s="38">
        <f t="shared" ref="C61:C78" si="12">A6/A$28</f>
        <v>1.6611295681063124E-2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2002</v>
      </c>
      <c r="C62" s="38">
        <f t="shared" si="12"/>
        <v>8.3056478405315617E-2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2002</v>
      </c>
      <c r="C63" s="38">
        <f t="shared" si="12"/>
        <v>1.6611295681063124E-2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2003</v>
      </c>
      <c r="C64" s="38">
        <f t="shared" si="12"/>
        <v>1.6611295681063124E-2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2003</v>
      </c>
      <c r="C65" s="38">
        <f t="shared" si="12"/>
        <v>9.9667774086378738E-2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2003</v>
      </c>
      <c r="C66" s="38">
        <f t="shared" si="12"/>
        <v>1.6611295681063124E-2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8.6378737541528236E-2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6.6445182724252497E-2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6.6445182724252497E-2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6.6445182724252497E-2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6.6445182724252497E-2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6.6445182724252497E-2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6.6445182724252497E-2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6.6445182724252497E-2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3.3222591362126248E-2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3.3222591362126248E-2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6.6445182724252497E-2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6.6445182724252497E-2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2002</v>
      </c>
      <c r="Q4" s="56">
        <f>IF(P4=1900,0,P4)</f>
        <v>2002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2002</v>
      </c>
      <c r="Q5" s="56">
        <f t="shared" ref="Q5:Q21" si="0">IF(P5=1900,0,P5)</f>
        <v>2002</v>
      </c>
      <c r="R5" s="245">
        <f>IF(Proposal!I8="y",Proposal!A8*Proposal!G8*10,Proposal!A8*1000)</f>
        <v>250000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2002</v>
      </c>
      <c r="Q6" s="56">
        <f t="shared" si="0"/>
        <v>2002</v>
      </c>
      <c r="R6" s="245">
        <f>IF(Proposal!I9="y",Proposal!A9*Proposal!G9*10,Proposal!A9*1000)</f>
        <v>50000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200</v>
      </c>
      <c r="I7" s="268">
        <f t="shared" si="2"/>
        <v>6.6445182724252497E-2</v>
      </c>
      <c r="J7" s="20"/>
      <c r="K7" s="5"/>
      <c r="L7" s="5"/>
      <c r="M7" s="5"/>
      <c r="N7" s="5"/>
      <c r="P7" s="62">
        <f>YEAR(Income!D9)</f>
        <v>2003</v>
      </c>
      <c r="Q7" s="56">
        <f t="shared" si="0"/>
        <v>2003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350</v>
      </c>
      <c r="D8" s="268">
        <f t="shared" si="1"/>
        <v>0.11627906976744186</v>
      </c>
      <c r="E8" s="265"/>
      <c r="F8" s="265"/>
      <c r="G8" s="267">
        <v>2017</v>
      </c>
      <c r="H8" s="267">
        <f>DSUM($Q$3:$R$25,"Value",U15:U16)/1000</f>
        <v>200</v>
      </c>
      <c r="I8" s="268">
        <f t="shared" si="2"/>
        <v>6.6445182724252497E-2</v>
      </c>
      <c r="J8" s="20"/>
      <c r="K8" s="5"/>
      <c r="L8" s="5"/>
      <c r="M8" s="5"/>
      <c r="N8" s="5"/>
      <c r="P8" s="62">
        <f>YEAR(Income!D10)</f>
        <v>2003</v>
      </c>
      <c r="Q8" s="56">
        <f t="shared" si="0"/>
        <v>2003</v>
      </c>
      <c r="R8" s="245">
        <f>IF(Proposal!I11="y",Proposal!A11*Proposal!G11*10,Proposal!A11*1000)</f>
        <v>300000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660</v>
      </c>
      <c r="D9" s="268">
        <f t="shared" si="1"/>
        <v>0.21926910299003322</v>
      </c>
      <c r="E9" s="265"/>
      <c r="F9" s="265"/>
      <c r="G9" s="267">
        <v>2018</v>
      </c>
      <c r="H9" s="267">
        <f>DSUM($Q$3:$R$25,"Value",U17:U18)/1000</f>
        <v>200</v>
      </c>
      <c r="I9" s="268">
        <f t="shared" si="2"/>
        <v>6.6445182724252497E-2</v>
      </c>
      <c r="J9" s="20"/>
      <c r="K9" s="5"/>
      <c r="L9" s="5"/>
      <c r="M9" s="5"/>
      <c r="N9" s="5"/>
      <c r="P9" s="62">
        <f>YEAR(Income!D11)</f>
        <v>2003</v>
      </c>
      <c r="Q9" s="56">
        <f t="shared" si="0"/>
        <v>2003</v>
      </c>
      <c r="R9" s="245">
        <f>IF(Proposal!I12="y",Proposal!A12*Proposal!G12*10,Proposal!A12*1000)</f>
        <v>50000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200</v>
      </c>
      <c r="I10" s="268">
        <f t="shared" si="2"/>
        <v>6.6445182724252497E-2</v>
      </c>
      <c r="J10" s="20"/>
      <c r="K10" s="5"/>
      <c r="L10" s="5"/>
      <c r="M10" s="5"/>
      <c r="N10" s="5"/>
      <c r="P10" s="62">
        <f>YEAR(Income!D12)</f>
        <v>2003</v>
      </c>
      <c r="Q10" s="56">
        <f t="shared" si="0"/>
        <v>2003</v>
      </c>
      <c r="R10" s="245">
        <f>IF(Proposal!I13="y",Proposal!A13*Proposal!G13*10,Proposal!A13*1000)</f>
        <v>260000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200</v>
      </c>
      <c r="I11" s="268">
        <f t="shared" si="2"/>
        <v>6.6445182724252497E-2</v>
      </c>
      <c r="J11" s="20"/>
      <c r="K11" s="5"/>
      <c r="L11" s="5"/>
      <c r="M11" s="5"/>
      <c r="N11" s="5"/>
      <c r="P11" s="62">
        <f>YEAR(Income!D13)</f>
        <v>2016</v>
      </c>
      <c r="Q11" s="56">
        <f t="shared" si="0"/>
        <v>2016</v>
      </c>
      <c r="R11" s="245">
        <f>IF(Proposal!I14="y",Proposal!A14*Proposal!G14*10,Proposal!A14*1000)</f>
        <v>200000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200</v>
      </c>
      <c r="I12" s="268">
        <f t="shared" si="2"/>
        <v>6.6445182724252497E-2</v>
      </c>
      <c r="J12" s="20"/>
      <c r="K12" s="5"/>
      <c r="L12" s="5"/>
      <c r="M12" s="5"/>
      <c r="N12" s="5"/>
      <c r="P12" s="62">
        <f>YEAR(Income!D14)</f>
        <v>2017</v>
      </c>
      <c r="Q12" s="56">
        <f t="shared" si="0"/>
        <v>2017</v>
      </c>
      <c r="R12" s="245">
        <f>IF(Proposal!I15="y",Proposal!A15*Proposal!G15*10,Proposal!A15*1000)</f>
        <v>200000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2018</v>
      </c>
      <c r="Q13" s="56">
        <f t="shared" si="0"/>
        <v>2018</v>
      </c>
      <c r="R13" s="245">
        <f>IF(Proposal!I16="y",Proposal!A16*Proposal!G16*10,Proposal!A16*1000)</f>
        <v>200000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200</v>
      </c>
      <c r="I14" s="268">
        <f t="shared" si="2"/>
        <v>6.6445182724252497E-2</v>
      </c>
      <c r="J14" s="20"/>
      <c r="K14" s="5"/>
      <c r="L14" s="5"/>
      <c r="M14" s="5"/>
      <c r="N14" s="5"/>
      <c r="P14" s="62">
        <f>YEAR(Income!D16)</f>
        <v>2019</v>
      </c>
      <c r="Q14" s="56">
        <f t="shared" si="0"/>
        <v>2019</v>
      </c>
      <c r="R14" s="245">
        <f>IF(Proposal!I17="y",Proposal!A17*Proposal!G17*10,Proposal!A17*1000)</f>
        <v>200000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2020</v>
      </c>
      <c r="Q15" s="56">
        <f t="shared" si="0"/>
        <v>2020</v>
      </c>
      <c r="R15" s="245">
        <f>IF(Proposal!I18="y",Proposal!A18*Proposal!G18*10,Proposal!A18*1000)</f>
        <v>200000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200</v>
      </c>
      <c r="I16" s="268">
        <f t="shared" si="2"/>
        <v>6.6445182724252497E-2</v>
      </c>
      <c r="J16" s="20"/>
      <c r="K16" s="5"/>
      <c r="L16" s="5"/>
      <c r="M16" s="5"/>
      <c r="N16" s="5"/>
      <c r="P16" s="62">
        <f>YEAR(Income!D18)</f>
        <v>2021</v>
      </c>
      <c r="Q16" s="56">
        <f t="shared" si="0"/>
        <v>2021</v>
      </c>
      <c r="R16" s="245">
        <f>IF(Proposal!I19="y",Proposal!A19*Proposal!G19*10,Proposal!A19*1000)</f>
        <v>200000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200</v>
      </c>
      <c r="I17" s="268">
        <f t="shared" si="2"/>
        <v>6.6445182724252497E-2</v>
      </c>
      <c r="J17" s="20"/>
      <c r="K17" s="5"/>
      <c r="L17" s="5"/>
      <c r="M17" s="5"/>
      <c r="N17" s="5"/>
      <c r="P17" s="62">
        <f>YEAR(Income!D19)</f>
        <v>2023</v>
      </c>
      <c r="Q17" s="56">
        <f t="shared" si="0"/>
        <v>2023</v>
      </c>
      <c r="R17" s="245">
        <f>IF(Proposal!I20="y",Proposal!A20*Proposal!G20*10,Proposal!A20*1000)</f>
        <v>200000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200</v>
      </c>
      <c r="I18" s="268">
        <f t="shared" si="2"/>
        <v>6.6445182724252497E-2</v>
      </c>
      <c r="J18" s="18"/>
      <c r="K18" s="5"/>
      <c r="L18" s="5"/>
      <c r="M18" s="5"/>
      <c r="N18" s="5"/>
      <c r="P18" s="62">
        <f>YEAR(Income!D20)</f>
        <v>2025</v>
      </c>
      <c r="Q18" s="56">
        <f t="shared" si="0"/>
        <v>2025</v>
      </c>
      <c r="R18" s="245">
        <f>IF(Proposal!I21="y",Proposal!A21*Proposal!G21*10,Proposal!A21*1000)</f>
        <v>100000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2025</v>
      </c>
      <c r="Q19" s="56">
        <f t="shared" si="0"/>
        <v>2025</v>
      </c>
      <c r="R19" s="245">
        <f>IF(Proposal!I22="y",Proposal!A22*Proposal!G22*10,Proposal!A22*1000)</f>
        <v>100000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2026</v>
      </c>
      <c r="Q20" s="56">
        <f t="shared" si="0"/>
        <v>2026</v>
      </c>
      <c r="R20" s="245">
        <f>IF(Proposal!I23="y",Proposal!A23*Proposal!G23*10,Proposal!A23*1000)</f>
        <v>200000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2027</v>
      </c>
      <c r="Q21" s="56">
        <f t="shared" si="0"/>
        <v>2027</v>
      </c>
      <c r="R21" s="245">
        <f>IF(Proposal!I24="y",Proposal!A24*Proposal!G24*10,Proposal!A24*1000)</f>
        <v>200000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3010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50</v>
      </c>
      <c r="B7" s="18" t="str">
        <f>Proposal!B7</f>
        <v>AAA/AAA</v>
      </c>
      <c r="C7" s="42" t="str">
        <f>Proposal!C7</f>
        <v>ALBUQUERQUE NM</v>
      </c>
      <c r="D7" s="161">
        <f>Proposal!D7</f>
        <v>5.7500000000000002E-2</v>
      </c>
      <c r="E7" s="249">
        <f>Income!D6</f>
        <v>37438</v>
      </c>
      <c r="F7" s="248">
        <f>Proposal!BG7</f>
        <v>2.2850258293493412E-2</v>
      </c>
      <c r="G7" s="220">
        <f>Proposal!J7</f>
        <v>104.042</v>
      </c>
      <c r="H7" s="124">
        <f t="shared" ref="H7:H28" si="0">IF($T7=TRUE,0,S7)</f>
        <v>0.58512599790324615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>
        <f>MDURATION(BF7,Proposal!BH7,D7,F7,2,0)</f>
        <v>0.58512599790324615</v>
      </c>
      <c r="T7" s="168" t="b">
        <f t="shared" ref="T7:T28" si="6">ISERR(S7)</f>
        <v>0</v>
      </c>
      <c r="U7" s="188">
        <f t="shared" ref="U7:U28" si="7">D7*A7*1000</f>
        <v>2875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1000</v>
      </c>
      <c r="Z7" s="197">
        <f t="shared" ref="Z7:Z28" ca="1" si="8">IF(MIN(W7:Y7)=1000,0,(MIN(W7:Y7)*$A7*10+$U7)/($G7*$A7*10)-1)</f>
        <v>0</v>
      </c>
      <c r="AA7" s="198">
        <f ca="1">IF(Proposal!$F7=0,1000,IF(DAYS360(Summary!$B$5,Proposal!$F7)&lt;360,1000,PRICE($BF7+360,Proposal!$F7,$D7,$F7+AA$4,Proposal!$G7,2,0)))</f>
        <v>1000</v>
      </c>
      <c r="AB7" s="194">
        <f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1000</v>
      </c>
      <c r="AD7" s="169">
        <f t="shared" ref="AD7:AD28" ca="1" si="9">IF(MIN(AA7:AC7)=1000,0,(MIN(AA7:AC7)*$A7*10+$U7)/($G7*$A7*10)-1)</f>
        <v>0</v>
      </c>
      <c r="AE7" s="198">
        <f ca="1">IF(Proposal!$F7=0,1000,IF(DAYS360(Summary!$B$5,Proposal!$F7)&lt;360,1000,PRICE($BF7+360,Proposal!$F7,$D7,$F7+AE$4,Proposal!$G7,2,0)))</f>
        <v>1000</v>
      </c>
      <c r="AF7" s="194">
        <f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1000</v>
      </c>
      <c r="AH7" s="169">
        <f t="shared" ref="AH7:AH28" ca="1" si="10">IF(MIN(AE7:AG7)=1000,0,(MIN(AE7:AG7)*$A7*10+$U7)/($G7*$A7*10)-1)</f>
        <v>0</v>
      </c>
      <c r="AI7" s="198">
        <f ca="1">IF(Proposal!$F7=0,1000,IF(DAYS360(Summary!$B$5,Proposal!$F7)&lt;360,1000,PRICE($BF7+360,Proposal!$F7,$D7,$F7+AI$4,Proposal!$G7,2,0)))</f>
        <v>1000</v>
      </c>
      <c r="AJ7" s="194">
        <f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1000</v>
      </c>
      <c r="AL7" s="169">
        <f t="shared" ref="AL7:AL28" ca="1" si="11">IF(MIN(AI7:AK7)=1000,0,(MIN(AI7:AK7)*$A7*10+$U7)/($G7*$A7*10)-1)</f>
        <v>0</v>
      </c>
      <c r="AM7" s="198">
        <f ca="1">IF(Proposal!$F7=0,1000,IF(DAYS360(Summary!$B$5,Proposal!$F7)&lt;360,1000,PRICE($BF7+360,Proposal!$F7,$D7,$F7+AM$4,Proposal!$G7,2,0)))</f>
        <v>1000</v>
      </c>
      <c r="AN7" s="194">
        <f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1000</v>
      </c>
      <c r="AP7" s="169">
        <f t="shared" ref="AP7:AP28" ca="1" si="12">IF(MIN(AM7:AO7)=1000,0,(MIN(AM7:AO7)*$A7*10+$U7)/($G7*$A7*10)-1)</f>
        <v>0</v>
      </c>
      <c r="AQ7" s="168"/>
      <c r="AR7" s="170"/>
      <c r="AS7" s="189">
        <f t="shared" ref="AS7:AS28" si="13">A7*G7*10</f>
        <v>52021</v>
      </c>
      <c r="AT7" s="192">
        <f t="shared" ref="AT7:AT28" si="14">AS7*D7/AS$29</f>
        <v>9.8672626902388265E-4</v>
      </c>
      <c r="AU7" s="193">
        <f t="shared" ref="AU7:AU28" si="15">AS7*E7/AS$29</f>
        <v>642.45318364723687</v>
      </c>
      <c r="AV7" s="193">
        <f>AS7*F7/AS$29</f>
        <v>3.9212087151601369E-4</v>
      </c>
      <c r="AW7" s="190">
        <f>AS7*Proposal!M7/AS$29</f>
        <v>9.4839225411264927E-4</v>
      </c>
      <c r="AX7" s="194">
        <f>AS7*H7/AS$29</f>
        <v>1.0041029440346891E-2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33848</v>
      </c>
      <c r="BF7" s="209">
        <f>Enter!C3</f>
        <v>37218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250</v>
      </c>
      <c r="B8" s="18" t="str">
        <f>Proposal!B8</f>
        <v xml:space="preserve">AAA/ </v>
      </c>
      <c r="C8" s="42" t="str">
        <f>Proposal!C8</f>
        <v>MIDWAY TX ISD PSF</v>
      </c>
      <c r="D8" s="161">
        <f>Proposal!D8</f>
        <v>6.1249999999999999E-2</v>
      </c>
      <c r="E8" s="249">
        <f>Income!D7</f>
        <v>37469</v>
      </c>
      <c r="F8" s="211">
        <f>Proposal!BG8</f>
        <v>2.2459241045704379E-2</v>
      </c>
      <c r="G8" s="220">
        <f>Proposal!J8</f>
        <v>102.633</v>
      </c>
      <c r="H8" s="126">
        <f t="shared" si="0"/>
        <v>0.66681476983110233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>
        <f>MDURATION(BF8,Proposal!BH8,D8,F8,2,0)</f>
        <v>0.66681476983110233</v>
      </c>
      <c r="T8" s="168" t="b">
        <f t="shared" si="6"/>
        <v>0</v>
      </c>
      <c r="U8" s="196">
        <f t="shared" si="7"/>
        <v>15312.5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1000</v>
      </c>
      <c r="Z8" s="197">
        <f t="shared" ca="1" si="8"/>
        <v>0</v>
      </c>
      <c r="AA8" s="198">
        <f ca="1">IF(Proposal!$F8=0,1000,IF(DAYS360(Summary!$B$5,Proposal!$F8)&lt;360,1000,PRICE($BF8+360,Proposal!$F8,$D8,$F8+AA$4,Proposal!$G8,2,0)))</f>
        <v>1000</v>
      </c>
      <c r="AB8" s="194">
        <f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1000</v>
      </c>
      <c r="AD8" s="169">
        <f t="shared" ca="1" si="9"/>
        <v>0</v>
      </c>
      <c r="AE8" s="198">
        <f ca="1">IF(Proposal!$F8=0,1000,IF(DAYS360(Summary!$B$5,Proposal!$F8)&lt;360,1000,PRICE($BF8+360,Proposal!$F8,$D8,$F8+AE$4,Proposal!$G8,2,0)))</f>
        <v>1000</v>
      </c>
      <c r="AF8" s="194">
        <f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1000</v>
      </c>
      <c r="AH8" s="169">
        <f t="shared" ca="1" si="10"/>
        <v>0</v>
      </c>
      <c r="AI8" s="198">
        <f ca="1">IF(Proposal!$F8=0,1000,IF(DAYS360(Summary!$B$5,Proposal!$F8)&lt;360,1000,PRICE($BF8+360,Proposal!$F8,$D8,$F8+AI$4,Proposal!$G8,2,0)))</f>
        <v>1000</v>
      </c>
      <c r="AJ8" s="194">
        <f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1000</v>
      </c>
      <c r="AL8" s="169">
        <f t="shared" ca="1" si="11"/>
        <v>0</v>
      </c>
      <c r="AM8" s="198">
        <f ca="1">IF(Proposal!$F8=0,1000,IF(DAYS360(Summary!$B$5,Proposal!$F8)&lt;360,1000,PRICE($BF8+360,Proposal!$F8,$D8,$F8+AM$4,Proposal!$G8,2,0)))</f>
        <v>1000</v>
      </c>
      <c r="AN8" s="194">
        <f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1000</v>
      </c>
      <c r="AP8" s="169">
        <f t="shared" ca="1" si="12"/>
        <v>0</v>
      </c>
      <c r="AQ8" s="168"/>
      <c r="AR8" s="170"/>
      <c r="AS8" s="189">
        <f t="shared" si="13"/>
        <v>256582.5</v>
      </c>
      <c r="AT8" s="192">
        <f t="shared" si="14"/>
        <v>5.1842182267400365E-3</v>
      </c>
      <c r="AU8" s="193">
        <f t="shared" si="15"/>
        <v>3171.3873100036317</v>
      </c>
      <c r="AV8" s="193">
        <f t="shared" ref="AV8:AV28" si="17">AS8*F8/AS$29</f>
        <v>1.9009568455165484E-3</v>
      </c>
      <c r="AW8" s="193">
        <f>AS8*Proposal!M8/AS$29</f>
        <v>5.0512196142956326E-3</v>
      </c>
      <c r="AX8" s="194">
        <f>AS8*H8/AS$29</f>
        <v>5.6439400548863074E-2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33739</v>
      </c>
      <c r="BF8" s="209">
        <f>Enter!C4</f>
        <v>37218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50</v>
      </c>
      <c r="B9" s="18" t="str">
        <f>Proposal!B9</f>
        <v>AAA/AAA</v>
      </c>
      <c r="C9" s="42" t="str">
        <f>Proposal!C9</f>
        <v>JACKSONVILLE FLA</v>
      </c>
      <c r="D9" s="161">
        <f>Proposal!D9</f>
        <v>4.3749999999999997E-2</v>
      </c>
      <c r="E9" s="249">
        <f>Income!D8</f>
        <v>37530</v>
      </c>
      <c r="F9" s="211">
        <f>Proposal!BG9</f>
        <v>2.0984787320972816E-2</v>
      </c>
      <c r="G9" s="220">
        <f>Proposal!J9</f>
        <v>101.91800000000001</v>
      </c>
      <c r="H9" s="126">
        <f t="shared" si="0"/>
        <v>0.83619520218050725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>
        <f>MDURATION(BF9,Proposal!BH9,D9,F9,2,0)</f>
        <v>0.83619520218050725</v>
      </c>
      <c r="T9" s="168" t="b">
        <f t="shared" si="6"/>
        <v>0</v>
      </c>
      <c r="U9" s="196">
        <f t="shared" si="7"/>
        <v>2187.5</v>
      </c>
      <c r="V9" s="189"/>
      <c r="W9" s="198">
        <f>IF(Proposal!$F9=0,1000,IF(DAYS360(Summary!$B$5,Proposal!$F9)&lt;360,1000,PRICE($BF9+360,Proposal!$F9,$D9,$F9,Proposal!$G9,2,0)))</f>
        <v>1000</v>
      </c>
      <c r="X9" s="194">
        <f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1000</v>
      </c>
      <c r="Z9" s="197">
        <f t="shared" ca="1" si="8"/>
        <v>0</v>
      </c>
      <c r="AA9" s="198">
        <f>IF(Proposal!$F9=0,1000,IF(DAYS360(Summary!$B$5,Proposal!$F9)&lt;360,1000,PRICE($BF9+360,Proposal!$F9,$D9,$F9+AA$4,Proposal!$G9,2,0)))</f>
        <v>1000</v>
      </c>
      <c r="AB9" s="194">
        <f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1000</v>
      </c>
      <c r="AD9" s="169">
        <f t="shared" ca="1" si="9"/>
        <v>0</v>
      </c>
      <c r="AE9" s="198">
        <f>IF(Proposal!$F9=0,1000,IF(DAYS360(Summary!$B$5,Proposal!$F9)&lt;360,1000,PRICE($BF9+360,Proposal!$F9,$D9,$F9+AE$4,Proposal!$G9,2,0)))</f>
        <v>1000</v>
      </c>
      <c r="AF9" s="194">
        <f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1000</v>
      </c>
      <c r="AH9" s="169">
        <f t="shared" ca="1" si="10"/>
        <v>0</v>
      </c>
      <c r="AI9" s="198">
        <f>IF(Proposal!$F9=0,1000,IF(DAYS360(Summary!$B$5,Proposal!$F9)&lt;360,1000,PRICE($BF9+360,Proposal!$F9,$D9,$F9+AI$4,Proposal!$G9,2,0)))</f>
        <v>1000</v>
      </c>
      <c r="AJ9" s="194">
        <f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1000</v>
      </c>
      <c r="AL9" s="169">
        <f t="shared" ca="1" si="11"/>
        <v>0</v>
      </c>
      <c r="AM9" s="198">
        <f>IF(Proposal!$F9=0,1000,IF(DAYS360(Summary!$B$5,Proposal!$F9)&lt;360,1000,PRICE($BF9+360,Proposal!$F9,$D9,$F9+AM$4,Proposal!$G9,2,0)))</f>
        <v>1000</v>
      </c>
      <c r="AN9" s="194">
        <f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1000</v>
      </c>
      <c r="AP9" s="169">
        <f t="shared" ca="1" si="12"/>
        <v>0</v>
      </c>
      <c r="AQ9" s="168"/>
      <c r="AR9" s="170"/>
      <c r="AS9" s="189">
        <f t="shared" si="13"/>
        <v>50959.000000000007</v>
      </c>
      <c r="AT9" s="192">
        <f t="shared" si="14"/>
        <v>7.354431437854033E-4</v>
      </c>
      <c r="AU9" s="193">
        <f t="shared" si="15"/>
        <v>630.88414140037003</v>
      </c>
      <c r="AV9" s="193">
        <f t="shared" si="17"/>
        <v>3.5275698192009875E-4</v>
      </c>
      <c r="AW9" s="193">
        <f>AS9*Proposal!M9/AS$29</f>
        <v>7.2160280204223342E-4</v>
      </c>
      <c r="AX9" s="194">
        <f t="shared" ref="AX9:AX28" si="22">AS9*H9/AS$29</f>
        <v>1.4056549218512075E-2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35034</v>
      </c>
      <c r="BF9" s="209">
        <f>Enter!C5</f>
        <v>37218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50</v>
      </c>
      <c r="B10" s="18" t="str">
        <f>Proposal!B10</f>
        <v>AAA/AAA</v>
      </c>
      <c r="C10" s="42" t="str">
        <f>Proposal!C10</f>
        <v>UTAH STATE</v>
      </c>
      <c r="D10" s="161">
        <f>Proposal!D10</f>
        <v>0.05</v>
      </c>
      <c r="E10" s="249">
        <f>Income!D9</f>
        <v>37803</v>
      </c>
      <c r="F10" s="211">
        <f>Proposal!BG10</f>
        <v>2.3004402102250725E-2</v>
      </c>
      <c r="G10" s="220">
        <f>Proposal!J10</f>
        <v>104.229</v>
      </c>
      <c r="H10" s="126">
        <f t="shared" si="0"/>
        <v>1.5181754017368414</v>
      </c>
      <c r="I10" s="127">
        <f t="shared" ca="1" si="1"/>
        <v>2.9211001468164577E-2</v>
      </c>
      <c r="J10" s="127">
        <f t="shared" ca="1" si="2"/>
        <v>2.6203171643336187E-2</v>
      </c>
      <c r="K10" s="127">
        <f t="shared" ca="1" si="3"/>
        <v>2.3211945945099011E-2</v>
      </c>
      <c r="L10" s="127">
        <f t="shared" ca="1" si="4"/>
        <v>2.0237191928700771E-2</v>
      </c>
      <c r="M10" s="127">
        <f t="shared" ca="1" si="5"/>
        <v>1.7278778529155492E-2</v>
      </c>
      <c r="N10" s="18"/>
      <c r="O10" s="18"/>
      <c r="P10" s="18"/>
      <c r="Q10" s="18"/>
      <c r="S10" s="195">
        <f>MDURATION(BF10,Proposal!BH10,D10,F10,2,0)</f>
        <v>1.5181754017368414</v>
      </c>
      <c r="T10" s="168" t="b">
        <f t="shared" si="6"/>
        <v>0</v>
      </c>
      <c r="U10" s="196">
        <f t="shared" si="7"/>
        <v>2500</v>
      </c>
      <c r="V10" s="189"/>
      <c r="W10" s="198">
        <f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101.64835791391174</v>
      </c>
      <c r="Z10" s="197">
        <f t="shared" ca="1" si="8"/>
        <v>2.3211945945099011E-2</v>
      </c>
      <c r="AA10" s="198">
        <f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102.27363347202534</v>
      </c>
      <c r="AD10" s="169">
        <f t="shared" ca="1" si="9"/>
        <v>2.9211001468164577E-2</v>
      </c>
      <c r="AE10" s="198">
        <f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101.96013037721329</v>
      </c>
      <c r="AH10" s="169">
        <f t="shared" ca="1" si="10"/>
        <v>2.6203171643336187E-2</v>
      </c>
      <c r="AI10" s="198">
        <f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101.33830227753654</v>
      </c>
      <c r="AL10" s="169">
        <f t="shared" ca="1" si="11"/>
        <v>2.0237191928700771E-2</v>
      </c>
      <c r="AM10" s="198">
        <f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101.02994980731535</v>
      </c>
      <c r="AP10" s="169">
        <f t="shared" ca="1" si="12"/>
        <v>1.7278778529155492E-2</v>
      </c>
      <c r="AQ10" s="168"/>
      <c r="AR10" s="170"/>
      <c r="AS10" s="189">
        <f t="shared" si="13"/>
        <v>52114.5</v>
      </c>
      <c r="AT10" s="192">
        <f t="shared" si="14"/>
        <v>8.5956501090354214E-4</v>
      </c>
      <c r="AU10" s="193">
        <f t="shared" si="15"/>
        <v>649.88272214373194</v>
      </c>
      <c r="AV10" s="193">
        <f t="shared" si="17"/>
        <v>3.9547558287701218E-4</v>
      </c>
      <c r="AW10" s="193">
        <f>AS10*Proposal!M10/AS$29</f>
        <v>8.2468891661969526E-4</v>
      </c>
      <c r="AX10" s="194">
        <f t="shared" si="22"/>
        <v>2.6099409114948346E-2</v>
      </c>
      <c r="AY10" s="168">
        <f t="shared" ca="1" si="16"/>
        <v>3.8558049742689384E-4</v>
      </c>
      <c r="AZ10" s="168">
        <f t="shared" ca="1" si="18"/>
        <v>4.8523258252765078E-4</v>
      </c>
      <c r="BA10" s="168">
        <f t="shared" ca="1" si="19"/>
        <v>4.352686319491061E-4</v>
      </c>
      <c r="BB10" s="168">
        <f t="shared" ca="1" si="20"/>
        <v>3.361659788820726E-4</v>
      </c>
      <c r="BC10" s="168">
        <f t="shared" ca="1" si="21"/>
        <v>2.8702289915540682E-4</v>
      </c>
      <c r="BD10" s="168"/>
      <c r="BE10" s="209">
        <f>Enter!B6</f>
        <v>35961</v>
      </c>
      <c r="BF10" s="209">
        <f>Enter!C6</f>
        <v>37218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300</v>
      </c>
      <c r="B11" s="18" t="str">
        <f>Proposal!B11</f>
        <v>AAA/AAA</v>
      </c>
      <c r="C11" s="42" t="str">
        <f>Proposal!C11</f>
        <v>BUCKS CO PA</v>
      </c>
      <c r="D11" s="161">
        <f>Proposal!D11</f>
        <v>4.65E-2</v>
      </c>
      <c r="E11" s="249">
        <f>Income!D10</f>
        <v>37848</v>
      </c>
      <c r="F11" s="211">
        <f>Proposal!BG11</f>
        <v>2.2030042257806609E-2</v>
      </c>
      <c r="G11" s="220">
        <f>Proposal!J11</f>
        <v>104.123</v>
      </c>
      <c r="H11" s="126">
        <f t="shared" si="0"/>
        <v>1.6442889028450074</v>
      </c>
      <c r="I11" s="127">
        <f t="shared" ca="1" si="1"/>
        <v>2.9415398675533444E-2</v>
      </c>
      <c r="J11" s="127">
        <f t="shared" ca="1" si="2"/>
        <v>2.5809325360505619E-2</v>
      </c>
      <c r="K11" s="127">
        <f t="shared" ca="1" si="3"/>
        <v>2.22253167472235E-2</v>
      </c>
      <c r="L11" s="127">
        <f t="shared" ca="1" si="4"/>
        <v>1.8663183605079015E-2</v>
      </c>
      <c r="M11" s="127">
        <f t="shared" ca="1" si="5"/>
        <v>1.51227387882793E-2</v>
      </c>
      <c r="N11" s="18"/>
      <c r="O11" s="18"/>
      <c r="P11" s="18"/>
      <c r="Q11" s="18"/>
      <c r="S11" s="195">
        <f>MDURATION(BF11,Proposal!BH11,D11,F11,2,0)</f>
        <v>1.6442889028450074</v>
      </c>
      <c r="T11" s="168" t="b">
        <f t="shared" si="6"/>
        <v>0</v>
      </c>
      <c r="U11" s="196">
        <f t="shared" si="7"/>
        <v>13950</v>
      </c>
      <c r="V11" s="189"/>
      <c r="W11" s="198">
        <f>IF(Proposal!$F11=0,1000,IF(DAYS360(Summary!$B$5,Proposal!$F11)&lt;360,1000,PRICE($BF11+360,Proposal!$F11,$D11,$F11,Proposal!$G11,2,0)))</f>
        <v>1000</v>
      </c>
      <c r="X11" s="194">
        <f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101.78716665567114</v>
      </c>
      <c r="Z11" s="197">
        <f t="shared" ca="1" si="8"/>
        <v>2.22253167472235E-2</v>
      </c>
      <c r="AA11" s="198">
        <f>IF(Proposal!$F11=0,1000,IF(DAYS360(Summary!$B$5,Proposal!$F11)&lt;360,1000,PRICE($BF11+360,Proposal!$F11,$D11,$F11+AA$4,Proposal!$G11,2,0)))</f>
        <v>1000</v>
      </c>
      <c r="AB11" s="194">
        <f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102.53581955629257</v>
      </c>
      <c r="AD11" s="169">
        <f t="shared" ca="1" si="9"/>
        <v>2.9415398675533444E-2</v>
      </c>
      <c r="AE11" s="198">
        <f>IF(Proposal!$F11=0,1000,IF(DAYS360(Summary!$B$5,Proposal!$F11)&lt;360,1000,PRICE($BF11+360,Proposal!$F11,$D11,$F11+AE$4,Proposal!$G11,2,0)))</f>
        <v>1000</v>
      </c>
      <c r="AF11" s="194">
        <f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102.16034438451193</v>
      </c>
      <c r="AH11" s="169">
        <f t="shared" ca="1" si="10"/>
        <v>2.5809325360505619E-2</v>
      </c>
      <c r="AI11" s="198">
        <f>IF(Proposal!$F11=0,1000,IF(DAYS360(Summary!$B$5,Proposal!$F11)&lt;360,1000,PRICE($BF11+360,Proposal!$F11,$D11,$F11+AI$4,Proposal!$G11,2,0)))</f>
        <v>1000</v>
      </c>
      <c r="AJ11" s="194">
        <f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101.41626666651163</v>
      </c>
      <c r="AL11" s="169">
        <f t="shared" ca="1" si="11"/>
        <v>1.8663183605079015E-2</v>
      </c>
      <c r="AM11" s="198">
        <f>IF(Proposal!$F11=0,1000,IF(DAYS360(Summary!$B$5,Proposal!$F11)&lt;360,1000,PRICE($BF11+360,Proposal!$F11,$D11,$F11+AM$4,Proposal!$G11,2,0)))</f>
        <v>1000</v>
      </c>
      <c r="AN11" s="194">
        <f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101.04762493085202</v>
      </c>
      <c r="AP11" s="169">
        <f t="shared" ca="1" si="12"/>
        <v>1.51227387882793E-2</v>
      </c>
      <c r="AQ11" s="168"/>
      <c r="AR11" s="170"/>
      <c r="AS11" s="189">
        <f t="shared" si="13"/>
        <v>312369</v>
      </c>
      <c r="AT11" s="192">
        <f t="shared" si="14"/>
        <v>4.7914948908377424E-3</v>
      </c>
      <c r="AU11" s="193">
        <f t="shared" si="15"/>
        <v>3899.9677124392874</v>
      </c>
      <c r="AV11" s="193">
        <f t="shared" si="17"/>
        <v>2.2700394607144069E-3</v>
      </c>
      <c r="AW11" s="193">
        <f>AS11*Proposal!M11/AS$29</f>
        <v>4.6017641547378991E-3</v>
      </c>
      <c r="AX11" s="194">
        <f t="shared" si="22"/>
        <v>0.16943229843103333</v>
      </c>
      <c r="AY11" s="168">
        <f t="shared" ca="1" si="16"/>
        <v>2.2151478485604816E-3</v>
      </c>
      <c r="AZ11" s="168">
        <f t="shared" ca="1" si="18"/>
        <v>2.9317673098538314E-3</v>
      </c>
      <c r="BA11" s="168">
        <f t="shared" ca="1" si="19"/>
        <v>2.5723580093527194E-3</v>
      </c>
      <c r="BB11" s="168">
        <f t="shared" ca="1" si="20"/>
        <v>1.8601179672836227E-3</v>
      </c>
      <c r="BC11" s="168">
        <f t="shared" ca="1" si="21"/>
        <v>1.5072497131175381E-3</v>
      </c>
      <c r="BD11" s="168"/>
      <c r="BE11" s="209">
        <f>Enter!B7</f>
        <v>35048</v>
      </c>
      <c r="BF11" s="209">
        <f>Enter!C7</f>
        <v>37218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50</v>
      </c>
      <c r="B12" s="18" t="str">
        <f>Proposal!B12</f>
        <v>AAA/AAA</v>
      </c>
      <c r="C12" s="42" t="str">
        <f>Proposal!C12</f>
        <v>CLEVELAND OHIO</v>
      </c>
      <c r="D12" s="161">
        <f>Proposal!D12</f>
        <v>0.05</v>
      </c>
      <c r="E12" s="249">
        <f>Income!D11</f>
        <v>37865</v>
      </c>
      <c r="F12" s="211">
        <f>Proposal!BG12</f>
        <v>2.403475432546771E-2</v>
      </c>
      <c r="G12" s="220">
        <f>Proposal!J12</f>
        <v>104.47499999999999</v>
      </c>
      <c r="H12" s="126">
        <f t="shared" si="0"/>
        <v>1.68201268320331</v>
      </c>
      <c r="I12" s="127">
        <f t="shared" ca="1" si="1"/>
        <v>3.1824107894827369E-2</v>
      </c>
      <c r="J12" s="127">
        <f t="shared" ca="1" si="2"/>
        <v>2.8014864482391211E-2</v>
      </c>
      <c r="K12" s="127">
        <f t="shared" ca="1" si="3"/>
        <v>2.4229725369119715E-2</v>
      </c>
      <c r="L12" s="127">
        <f t="shared" ca="1" si="4"/>
        <v>2.0468478842694093E-2</v>
      </c>
      <c r="M12" s="127">
        <f t="shared" ca="1" si="5"/>
        <v>1.6730915566580462E-2</v>
      </c>
      <c r="N12" s="18"/>
      <c r="O12" s="18"/>
      <c r="P12" s="18"/>
      <c r="Q12" s="18"/>
      <c r="S12" s="195">
        <f>MDURATION(BF12,Proposal!BH12,D12,F12,2,0)</f>
        <v>1.68201268320331</v>
      </c>
      <c r="T12" s="168" t="b">
        <f t="shared" si="6"/>
        <v>0</v>
      </c>
      <c r="U12" s="196">
        <f t="shared" si="7"/>
        <v>2500</v>
      </c>
      <c r="V12" s="189"/>
      <c r="W12" s="198">
        <f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102.00640055793878</v>
      </c>
      <c r="Z12" s="197">
        <f t="shared" ca="1" si="8"/>
        <v>2.4229725369119715E-2</v>
      </c>
      <c r="AA12" s="198">
        <f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102.79982367231209</v>
      </c>
      <c r="AD12" s="169">
        <f t="shared" ca="1" si="9"/>
        <v>3.1824107894827369E-2</v>
      </c>
      <c r="AE12" s="198">
        <f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102.40185296679783</v>
      </c>
      <c r="AH12" s="169">
        <f t="shared" ca="1" si="10"/>
        <v>2.8014864482391211E-2</v>
      </c>
      <c r="AI12" s="198">
        <f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101.61344432709048</v>
      </c>
      <c r="AL12" s="169">
        <f t="shared" ca="1" si="11"/>
        <v>2.0468478842694093E-2</v>
      </c>
      <c r="AM12" s="198">
        <f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101.2229624038185</v>
      </c>
      <c r="AP12" s="169">
        <f t="shared" ca="1" si="12"/>
        <v>1.6730915566580462E-2</v>
      </c>
      <c r="AQ12" s="168"/>
      <c r="AR12" s="170"/>
      <c r="AS12" s="189">
        <f t="shared" si="13"/>
        <v>52237.5</v>
      </c>
      <c r="AT12" s="192">
        <f t="shared" si="14"/>
        <v>8.6159374563842645E-4</v>
      </c>
      <c r="AU12" s="193">
        <f t="shared" si="15"/>
        <v>652.48494357198035</v>
      </c>
      <c r="AV12" s="193">
        <f t="shared" si="17"/>
        <v>4.1416388009558197E-4</v>
      </c>
      <c r="AW12" s="193">
        <f>AS12*Proposal!M12/AS$29</f>
        <v>8.2468891661969526E-4</v>
      </c>
      <c r="AX12" s="194">
        <f t="shared" si="22"/>
        <v>2.8984232158649596E-2</v>
      </c>
      <c r="AY12" s="168">
        <f t="shared" ca="1" si="16"/>
        <v>4.0248713237740389E-4</v>
      </c>
      <c r="AZ12" s="168">
        <f t="shared" ca="1" si="18"/>
        <v>5.286396660270327E-4</v>
      </c>
      <c r="BA12" s="168">
        <f t="shared" ca="1" si="19"/>
        <v>4.6536319738191382E-4</v>
      </c>
      <c r="BB12" s="168">
        <f t="shared" ca="1" si="20"/>
        <v>3.4000795419757629E-4</v>
      </c>
      <c r="BC12" s="168">
        <f t="shared" ca="1" si="21"/>
        <v>2.7792218549136982E-4</v>
      </c>
      <c r="BD12" s="168"/>
      <c r="BE12" s="209">
        <f>Enter!B8</f>
        <v>34060</v>
      </c>
      <c r="BF12" s="209">
        <f>Enter!C8</f>
        <v>37218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260</v>
      </c>
      <c r="B13" s="18" t="str">
        <f>Proposal!B13</f>
        <v>AA3/AA</v>
      </c>
      <c r="C13" s="42" t="str">
        <f>Proposal!C13</f>
        <v>DELAWARE CO PA</v>
      </c>
      <c r="D13" s="161">
        <f>Proposal!D13</f>
        <v>0</v>
      </c>
      <c r="E13" s="249">
        <f>Income!D12</f>
        <v>37940</v>
      </c>
      <c r="F13" s="211">
        <f>Proposal!BG13</f>
        <v>2.5424896619596914E-2</v>
      </c>
      <c r="G13" s="220">
        <f>Proposal!J13</f>
        <v>95.126000000000005</v>
      </c>
      <c r="H13" s="126">
        <f t="shared" si="0"/>
        <v>1.9529509892750487</v>
      </c>
      <c r="I13" s="127">
        <f t="shared" ca="1" si="1"/>
        <v>3.5340322002074043E-2</v>
      </c>
      <c r="J13" s="127">
        <f t="shared" ca="1" si="2"/>
        <v>3.026483898075516E-2</v>
      </c>
      <c r="K13" s="127">
        <f t="shared" ca="1" si="3"/>
        <v>2.5226690030991428E-2</v>
      </c>
      <c r="L13" s="127">
        <f t="shared" ca="1" si="4"/>
        <v>2.0225509382431728E-2</v>
      </c>
      <c r="M13" s="127">
        <f t="shared" ca="1" si="5"/>
        <v>1.5260935736890024E-2</v>
      </c>
      <c r="N13" s="18"/>
      <c r="O13" s="18"/>
      <c r="P13" s="18"/>
      <c r="Q13" s="18"/>
      <c r="S13" s="195">
        <f>MDURATION(BF13,Proposal!BH13,D13,F13,2,0)</f>
        <v>1.9529509892750487</v>
      </c>
      <c r="T13" s="168" t="b">
        <f t="shared" si="6"/>
        <v>0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97.525714115888107</v>
      </c>
      <c r="Z13" s="197">
        <f t="shared" ca="1" si="8"/>
        <v>2.5226690030991428E-2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98.487783470769301</v>
      </c>
      <c r="AD13" s="169">
        <f t="shared" ca="1" si="9"/>
        <v>3.5340322002074043E-2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98.004973072883331</v>
      </c>
      <c r="AH13" s="169">
        <f t="shared" ca="1" si="10"/>
        <v>3.026483898075516E-2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97.049971805513209</v>
      </c>
      <c r="AL13" s="169">
        <f t="shared" ca="1" si="11"/>
        <v>2.0225509382431728E-2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96.577711772907421</v>
      </c>
      <c r="AP13" s="169">
        <f t="shared" ca="1" si="12"/>
        <v>1.5260935736890024E-2</v>
      </c>
      <c r="AQ13" s="168"/>
      <c r="AR13" s="170"/>
      <c r="AS13" s="189">
        <f t="shared" si="13"/>
        <v>247327.60000000003</v>
      </c>
      <c r="AT13" s="192">
        <f t="shared" si="14"/>
        <v>0</v>
      </c>
      <c r="AU13" s="193">
        <f t="shared" si="15"/>
        <v>3095.4233835792106</v>
      </c>
      <c r="AV13" s="193">
        <f t="shared" si="17"/>
        <v>2.0743494865942094E-3</v>
      </c>
      <c r="AW13" s="193">
        <f>AS13*Proposal!M13/AS$29</f>
        <v>0</v>
      </c>
      <c r="AX13" s="194">
        <f t="shared" si="22"/>
        <v>0.15933606112773163</v>
      </c>
      <c r="AY13" s="168">
        <f t="shared" ca="1" si="16"/>
        <v>2.1790496372284954E-3</v>
      </c>
      <c r="AZ13" s="168">
        <f t="shared" ca="1" si="18"/>
        <v>3.0526523988502496E-3</v>
      </c>
      <c r="BA13" s="168">
        <f t="shared" ca="1" si="19"/>
        <v>2.614238583055263E-3</v>
      </c>
      <c r="BB13" s="168">
        <f t="shared" ca="1" si="20"/>
        <v>1.747053966588787E-3</v>
      </c>
      <c r="BC13" s="168">
        <f t="shared" ca="1" si="21"/>
        <v>1.3182203626549522E-3</v>
      </c>
      <c r="BD13" s="168"/>
      <c r="BE13" s="209">
        <f>Enter!B9</f>
        <v>33829</v>
      </c>
      <c r="BF13" s="209">
        <f>Enter!C9</f>
        <v>37218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200</v>
      </c>
      <c r="B14" s="18" t="str">
        <f>Proposal!B14</f>
        <v>AAA/AAA</v>
      </c>
      <c r="C14" s="42" t="str">
        <f>Proposal!C14</f>
        <v>PORT HOUSTON</v>
      </c>
      <c r="D14" s="161">
        <f>Proposal!D14</f>
        <v>4.6249999999999999E-2</v>
      </c>
      <c r="E14" s="249">
        <f>Income!D13</f>
        <v>42644</v>
      </c>
      <c r="F14" s="211">
        <f>Proposal!BG14</f>
        <v>4.5000394382730249E-2</v>
      </c>
      <c r="G14" s="220">
        <f>Proposal!J14</f>
        <v>100.979</v>
      </c>
      <c r="H14" s="126">
        <f t="shared" si="0"/>
        <v>7.7925946526862759</v>
      </c>
      <c r="I14" s="127">
        <f t="shared" ca="1" si="1"/>
        <v>0.12024703263316416</v>
      </c>
      <c r="J14" s="127">
        <f t="shared" ca="1" si="2"/>
        <v>8.1818843962305321E-2</v>
      </c>
      <c r="K14" s="127">
        <f t="shared" ca="1" si="3"/>
        <v>4.5008095565274298E-2</v>
      </c>
      <c r="L14" s="127">
        <f t="shared" ca="1" si="4"/>
        <v>-7.5567620991068285E-4</v>
      </c>
      <c r="M14" s="127">
        <f t="shared" ca="1" si="5"/>
        <v>-4.7209386657724117E-2</v>
      </c>
      <c r="N14" s="18"/>
      <c r="O14" s="18"/>
      <c r="P14" s="18"/>
      <c r="Q14" s="18"/>
      <c r="S14" s="195">
        <f>MDURATION(BF14,Proposal!BH14,D14,F14,2,0)</f>
        <v>7.7925946526862759</v>
      </c>
      <c r="T14" s="168" t="b">
        <f t="shared" si="6"/>
        <v>0</v>
      </c>
      <c r="U14" s="196">
        <f t="shared" si="7"/>
        <v>9250</v>
      </c>
      <c r="V14" s="189"/>
      <c r="W14" s="198">
        <f ca="1">IF(Proposal!$F14=0,1000,IF(DAYS360(Summary!$B$5,Proposal!$F14)&lt;360,1000,PRICE($BF14+360,Proposal!$F14,$D14,$F14,Proposal!$G14,2,0)))</f>
        <v>100.89887248208582</v>
      </c>
      <c r="X14" s="194">
        <f>IF(Proposal!$H14=0,1000,IF(DAYS360(Summary!$B$5,Proposal!$H14)&lt;360,1000,PRICE($BF14+360,Proposal!$H14,$D14,$F14,100,2,0)))</f>
        <v>1000</v>
      </c>
      <c r="Y14" s="191">
        <f ca="1">IF($E14=0,1000,IF(DAYS360(Summary!$B$5,$E14)&lt;360,1000,PRICE($BF14+360,$E14,$D14,$F14,100,2,0)))</f>
        <v>101.27245365312736</v>
      </c>
      <c r="Z14" s="197">
        <f t="shared" ca="1" si="8"/>
        <v>4.5008095565274298E-2</v>
      </c>
      <c r="AA14" s="198">
        <f ca="1">IF(Proposal!$F14=0,1000,IF(DAYS360(Summary!$B$5,Proposal!$F14)&lt;360,1000,PRICE($BF14+360,Proposal!$F14,$D14,$F14+AA$4,Proposal!$G14,2,0)))</f>
        <v>108.49642510826429</v>
      </c>
      <c r="AB14" s="194">
        <f>IF(Proposal!$H14=0,1000,IF(DAYS360(Summary!$B$5,Proposal!$H14)&lt;360,1000,PRICE($BF14+360,Proposal!$H14,$D14,$F14+AA$4,100,2,0)))</f>
        <v>1000</v>
      </c>
      <c r="AC14" s="191">
        <f ca="1">IF($E14=0,1000,IF(DAYS360(Summary!$B$5,$E14)&lt;360,1000,PRICE($BF14+360,$E14,$D14,$F14+AA$4,100,2,0)))</f>
        <v>112.26176389198021</v>
      </c>
      <c r="AD14" s="169">
        <f t="shared" ca="1" si="9"/>
        <v>0.12024703263316416</v>
      </c>
      <c r="AE14" s="198">
        <f ca="1">IF(Proposal!$F14=0,1000,IF(DAYS360(Summary!$B$5,Proposal!$F14)&lt;360,1000,PRICE($BF14+360,Proposal!$F14,$D14,$F14+AE$4,Proposal!$G14,2,0)))</f>
        <v>104.61598504446962</v>
      </c>
      <c r="AF14" s="194">
        <f>IF(Proposal!$H14=0,1000,IF(DAYS360(Summary!$B$5,Proposal!$H14)&lt;360,1000,PRICE($BF14+360,Proposal!$H14,$D14,$F14+AE$4,100,2,0)))</f>
        <v>1000</v>
      </c>
      <c r="AG14" s="191">
        <f ca="1">IF($E14=0,1000,IF(DAYS360(Summary!$B$5,$E14)&lt;360,1000,PRICE($BF14+360,$E14,$D14,$F14+AE$4,100,2,0)))</f>
        <v>106.5927325460804</v>
      </c>
      <c r="AH14" s="169">
        <f t="shared" ca="1" si="10"/>
        <v>8.1818843962305321E-2</v>
      </c>
      <c r="AI14" s="198">
        <f ca="1">IF(Proposal!$F14=0,1000,IF(DAYS360(Summary!$B$5,Proposal!$F14)&lt;360,1000,PRICE($BF14+360,Proposal!$F14,$D14,$F14+AI$4,Proposal!$G14,2,0)))</f>
        <v>97.337638007440646</v>
      </c>
      <c r="AJ14" s="194">
        <f>IF(Proposal!$H14=0,1000,IF(DAYS360(Summary!$B$5,Proposal!$H14)&lt;360,1000,PRICE($BF14+360,Proposal!$H14,$D14,$F14+AI$4,100,2,0)))</f>
        <v>1000</v>
      </c>
      <c r="AK14" s="191">
        <f ca="1">IF($E14=0,1000,IF(DAYS360(Summary!$B$5,$E14)&lt;360,1000,PRICE($BF14+360,$E14,$D14,$F14+AI$4,100,2,0)))</f>
        <v>96.277692571999424</v>
      </c>
      <c r="AL14" s="169">
        <f t="shared" ca="1" si="11"/>
        <v>-7.5567620991068285E-4</v>
      </c>
      <c r="AM14" s="198">
        <f ca="1">IF(Proposal!$F14=0,1000,IF(DAYS360(Summary!$B$5,Proposal!$F14)&lt;360,1000,PRICE($BF14+360,Proposal!$F14,$D14,$F14+AM$4,Proposal!$G14,2,0)))</f>
        <v>93.925192889870061</v>
      </c>
      <c r="AN14" s="194">
        <f>IF(Proposal!$H14=0,1000,IF(DAYS360(Summary!$B$5,Proposal!$H14)&lt;360,1000,PRICE($BF14+360,Proposal!$H14,$D14,$F14+AM$4,100,2,0)))</f>
        <v>1000</v>
      </c>
      <c r="AO14" s="191">
        <f ca="1">IF($E14=0,1000,IF(DAYS360(Summary!$B$5,$E14)&lt;360,1000,PRICE($BF14+360,$E14,$D14,$F14+AM$4,100,2,0)))</f>
        <v>91.586843344689683</v>
      </c>
      <c r="AP14" s="169">
        <f t="shared" ca="1" si="12"/>
        <v>-4.7209386657724117E-2</v>
      </c>
      <c r="AQ14" s="168"/>
      <c r="AR14" s="170"/>
      <c r="AS14" s="189">
        <f t="shared" si="13"/>
        <v>201958</v>
      </c>
      <c r="AT14" s="192">
        <f t="shared" si="14"/>
        <v>3.0812216981195868E-3</v>
      </c>
      <c r="AU14" s="193">
        <f t="shared" si="15"/>
        <v>2840.9863371807928</v>
      </c>
      <c r="AV14" s="193">
        <f t="shared" si="17"/>
        <v>2.9979717101839398E-3</v>
      </c>
      <c r="AW14" s="193">
        <f>AS14*Proposal!M14/AS$29</f>
        <v>3.0513489914928719E-3</v>
      </c>
      <c r="AX14" s="194">
        <f t="shared" si="22"/>
        <v>0.51915052385962424</v>
      </c>
      <c r="AY14" s="168">
        <f t="shared" ca="1" si="16"/>
        <v>2.9905711339052688E-3</v>
      </c>
      <c r="AZ14" s="168">
        <f t="shared" ca="1" si="18"/>
        <v>7.9898360553597447E-3</v>
      </c>
      <c r="BA14" s="168">
        <f t="shared" ca="1" si="19"/>
        <v>5.4364680373624802E-3</v>
      </c>
      <c r="BB14" s="168">
        <f t="shared" ca="1" si="20"/>
        <v>-5.0211043847885905E-5</v>
      </c>
      <c r="BC14" s="168">
        <f t="shared" ca="1" si="21"/>
        <v>-3.1368363227723666E-3</v>
      </c>
      <c r="BD14" s="168"/>
      <c r="BE14" s="209">
        <f>Enter!B10</f>
        <v>37196</v>
      </c>
      <c r="BF14" s="209">
        <f>Enter!C10</f>
        <v>37224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200</v>
      </c>
      <c r="B15" s="18" t="str">
        <f>Proposal!B15</f>
        <v>AAA/AAA</v>
      </c>
      <c r="C15" s="42" t="str">
        <f>Proposal!C15</f>
        <v>PORT HOUSTON</v>
      </c>
      <c r="D15" s="161">
        <f>Proposal!D15</f>
        <v>4.7500000000000001E-2</v>
      </c>
      <c r="E15" s="249">
        <f>Income!D14</f>
        <v>43009</v>
      </c>
      <c r="F15" s="211">
        <f>Proposal!BG15</f>
        <v>4.5500440824577805E-2</v>
      </c>
      <c r="G15" s="220">
        <f>Proposal!J15</f>
        <v>101.566</v>
      </c>
      <c r="H15" s="126">
        <f t="shared" si="0"/>
        <v>7.7552339232072152</v>
      </c>
      <c r="I15" s="127">
        <f t="shared" ca="1" si="1"/>
        <v>0.12038615841167744</v>
      </c>
      <c r="J15" s="127">
        <f t="shared" ca="1" si="2"/>
        <v>8.2144527570881642E-2</v>
      </c>
      <c r="K15" s="127">
        <f t="shared" ca="1" si="3"/>
        <v>4.5509634632166618E-2</v>
      </c>
      <c r="L15" s="127">
        <f t="shared" ca="1" si="4"/>
        <v>6.7961711347330755E-4</v>
      </c>
      <c r="M15" s="127">
        <f t="shared" ca="1" si="5"/>
        <v>-4.7703417664744063E-2</v>
      </c>
      <c r="N15" s="18"/>
      <c r="O15" s="18"/>
      <c r="P15" s="18"/>
      <c r="Q15" s="18"/>
      <c r="S15" s="195">
        <f>MDURATION(BF15,Proposal!BH15,D15,F15,2,0)</f>
        <v>7.7552339232072152</v>
      </c>
      <c r="T15" s="168" t="b">
        <f t="shared" si="6"/>
        <v>0</v>
      </c>
      <c r="U15" s="196">
        <f t="shared" si="7"/>
        <v>9500</v>
      </c>
      <c r="V15" s="189"/>
      <c r="W15" s="198">
        <f ca="1">IF(Proposal!$F15=0,1000,IF(DAYS360(Summary!$B$5,Proposal!$F15)&lt;360,1000,PRICE($BF15+360,Proposal!$F15,$D15,$F15,Proposal!$G15,2,0)))</f>
        <v>101.43823155105065</v>
      </c>
      <c r="X15" s="194">
        <f>IF(Proposal!$H15=0,1000,IF(DAYS360(Summary!$B$5,Proposal!$H15)&lt;360,1000,PRICE($BF15+360,Proposal!$H15,$D15,$F15,100,2,0)))</f>
        <v>1000</v>
      </c>
      <c r="Y15" s="191">
        <f ca="1">IF($E15=0,1000,IF(DAYS360(Summary!$B$5,$E15)&lt;360,1000,PRICE($BF15+360,$E15,$D15,$F15,100,2,0)))</f>
        <v>102.13632894749358</v>
      </c>
      <c r="Z15" s="197">
        <f t="shared" ca="1" si="8"/>
        <v>4.5509634632166618E-2</v>
      </c>
      <c r="AA15" s="198">
        <f ca="1">IF(Proposal!$F15=0,1000,IF(DAYS360(Summary!$B$5,Proposal!$F15)&lt;360,1000,PRICE($BF15+360,Proposal!$F15,$D15,$F15+AA$4,Proposal!$G15,2,0)))</f>
        <v>109.04314056524044</v>
      </c>
      <c r="AB15" s="194">
        <f>IF(Proposal!$H15=0,1000,IF(DAYS360(Summary!$B$5,Proposal!$H15)&lt;360,1000,PRICE($BF15+360,Proposal!$H15,$D15,$F15+AA$4,100,2,0)))</f>
        <v>1000</v>
      </c>
      <c r="AC15" s="191">
        <f ca="1">IF($E15=0,1000,IF(DAYS360(Summary!$B$5,$E15)&lt;360,1000,PRICE($BF15+360,$E15,$D15,$F15+AA$4,100,2,0)))</f>
        <v>113.7546241948509</v>
      </c>
      <c r="AD15" s="169">
        <f t="shared" ca="1" si="9"/>
        <v>0.12038615841167744</v>
      </c>
      <c r="AE15" s="198">
        <f ca="1">IF(Proposal!$F15=0,1000,IF(DAYS360(Summary!$B$5,Proposal!$F15)&lt;360,1000,PRICE($BF15+360,Proposal!$F15,$D15,$F15+AE$4,Proposal!$G15,2,0)))</f>
        <v>105.15909108726417</v>
      </c>
      <c r="AF15" s="194">
        <f>IF(Proposal!$H15=0,1000,IF(DAYS360(Summary!$B$5,Proposal!$H15)&lt;360,1000,PRICE($BF15+360,Proposal!$H15,$D15,$F15+AE$4,100,2,0)))</f>
        <v>1000</v>
      </c>
      <c r="AG15" s="191">
        <f ca="1">IF($E15=0,1000,IF(DAYS360(Summary!$B$5,$E15)&lt;360,1000,PRICE($BF15+360,$E15,$D15,$F15+AE$4,100,2,0)))</f>
        <v>107.75035128587344</v>
      </c>
      <c r="AH15" s="169">
        <f t="shared" ca="1" si="10"/>
        <v>8.2144527570881642E-2</v>
      </c>
      <c r="AI15" s="198">
        <f ca="1">IF(Proposal!$F15=0,1000,IF(DAYS360(Summary!$B$5,Proposal!$F15)&lt;360,1000,PRICE($BF15+360,Proposal!$F15,$D15,$F15+AI$4,Proposal!$G15,2,0)))</f>
        <v>97.87312661196458</v>
      </c>
      <c r="AJ15" s="194">
        <f>IF(Proposal!$H15=0,1000,IF(DAYS360(Summary!$B$5,Proposal!$H15)&lt;360,1000,PRICE($BF15+360,Proposal!$H15,$D15,$F15+AI$4,100,2,0)))</f>
        <v>1000</v>
      </c>
      <c r="AK15" s="191">
        <f ca="1">IF($E15=0,1000,IF(DAYS360(Summary!$B$5,$E15)&lt;360,1000,PRICE($BF15+360,$E15,$D15,$F15+AI$4,100,2,0)))</f>
        <v>96.885025991747028</v>
      </c>
      <c r="AL15" s="169">
        <f t="shared" ca="1" si="11"/>
        <v>6.7961711347330755E-4</v>
      </c>
      <c r="AM15" s="198">
        <f ca="1">IF(Proposal!$F15=0,1000,IF(DAYS360(Summary!$B$5,Proposal!$F15)&lt;360,1000,PRICE($BF15+360,Proposal!$F15,$D15,$F15+AM$4,Proposal!$G15,2,0)))</f>
        <v>94.45670066227575</v>
      </c>
      <c r="AN15" s="194">
        <f>IF(Proposal!$H15=0,1000,IF(DAYS360(Summary!$B$5,Proposal!$H15)&lt;360,1000,PRICE($BF15+360,Proposal!$H15,$D15,$F15+AM$4,100,2,0)))</f>
        <v>1000</v>
      </c>
      <c r="AO15" s="191">
        <f ca="1">IF($E15=0,1000,IF(DAYS360(Summary!$B$5,$E15)&lt;360,1000,PRICE($BF15+360,$E15,$D15,$F15+AM$4,100,2,0)))</f>
        <v>91.970954681462601</v>
      </c>
      <c r="AP15" s="169">
        <f t="shared" ca="1" si="12"/>
        <v>-4.7703417664744063E-2</v>
      </c>
      <c r="AQ15" s="168"/>
      <c r="AR15" s="170"/>
      <c r="AS15" s="189">
        <f t="shared" si="13"/>
        <v>203132</v>
      </c>
      <c r="AT15" s="192">
        <f t="shared" si="14"/>
        <v>3.1828934712050463E-3</v>
      </c>
      <c r="AU15" s="193">
        <f t="shared" si="15"/>
        <v>2881.9592695380597</v>
      </c>
      <c r="AV15" s="193">
        <f t="shared" si="17"/>
        <v>3.0489064428947418E-3</v>
      </c>
      <c r="AW15" s="193">
        <f>AS15*Proposal!M15/AS$29</f>
        <v>3.1338178831548415E-3</v>
      </c>
      <c r="AX15" s="194">
        <f t="shared" si="22"/>
        <v>0.51966491414408722</v>
      </c>
      <c r="AY15" s="168">
        <f t="shared" ca="1" si="16"/>
        <v>3.0238959888482801E-3</v>
      </c>
      <c r="AZ15" s="168">
        <f t="shared" ca="1" si="18"/>
        <v>7.9990802931347131E-3</v>
      </c>
      <c r="BA15" s="168">
        <f t="shared" ca="1" si="19"/>
        <v>5.4581081442446272E-3</v>
      </c>
      <c r="BB15" s="168">
        <f t="shared" ca="1" si="20"/>
        <v>4.5157283287262959E-5</v>
      </c>
      <c r="BC15" s="168">
        <f t="shared" ca="1" si="21"/>
        <v>-3.169662303305253E-3</v>
      </c>
      <c r="BD15" s="168"/>
      <c r="BE15" s="209">
        <f>Enter!B11</f>
        <v>37196</v>
      </c>
      <c r="BF15" s="209">
        <f>Enter!C11</f>
        <v>37224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200</v>
      </c>
      <c r="B16" s="18" t="str">
        <f>Proposal!B16</f>
        <v>AAA/AAA</v>
      </c>
      <c r="C16" s="42" t="str">
        <f>Proposal!C16</f>
        <v>MONROE WISC SCH</v>
      </c>
      <c r="D16" s="161">
        <f>Proposal!D16</f>
        <v>4.8750000000000002E-2</v>
      </c>
      <c r="E16" s="249">
        <f>Income!D15</f>
        <v>43191</v>
      </c>
      <c r="F16" s="211">
        <f>Proposal!BG16</f>
        <v>4.6995418203832726E-2</v>
      </c>
      <c r="G16" s="220">
        <f>Proposal!J16</f>
        <v>101.309</v>
      </c>
      <c r="H16" s="126">
        <f t="shared" si="0"/>
        <v>7.402808903699488</v>
      </c>
      <c r="I16" s="127">
        <f t="shared" ca="1" si="1"/>
        <v>0.11794560447743985</v>
      </c>
      <c r="J16" s="127">
        <f t="shared" ca="1" si="2"/>
        <v>8.1752827099966341E-2</v>
      </c>
      <c r="K16" s="127">
        <f t="shared" ca="1" si="3"/>
        <v>4.7004389044053019E-2</v>
      </c>
      <c r="L16" s="127">
        <f t="shared" ca="1" si="4"/>
        <v>1.5302326192399018E-3</v>
      </c>
      <c r="M16" s="127">
        <f t="shared" ca="1" si="5"/>
        <v>-4.743749440007039E-2</v>
      </c>
      <c r="N16" s="18"/>
      <c r="O16" s="18"/>
      <c r="P16" s="18"/>
      <c r="Q16" s="18"/>
      <c r="S16" s="195">
        <f>MDURATION(BF16,Proposal!BH16,D16,F16,2,0)</f>
        <v>7.402808903699488</v>
      </c>
      <c r="T16" s="168" t="b">
        <f t="shared" si="6"/>
        <v>0</v>
      </c>
      <c r="U16" s="196">
        <f t="shared" si="7"/>
        <v>9750</v>
      </c>
      <c r="V16" s="189"/>
      <c r="W16" s="198">
        <f ca="1">IF(Proposal!$F16=0,1000,IF(DAYS360(Summary!$B$5,Proposal!$F16)&lt;360,1000,PRICE($BF16+360,Proposal!$F16,$D16,$F16,Proposal!$G16,2,0)))</f>
        <v>101.19596764966398</v>
      </c>
      <c r="X16" s="194">
        <f>IF(Proposal!$H16=0,1000,IF(DAYS360(Summary!$B$5,Proposal!$H16)&lt;360,1000,PRICE($BF16+360,Proposal!$H16,$D16,$F16,100,2,0)))</f>
        <v>1000</v>
      </c>
      <c r="Y16" s="191">
        <f ca="1">IF($E16=0,1000,IF(DAYS360(Summary!$B$5,$E16)&lt;360,1000,PRICE($BF16+360,$E16,$D16,$F16,100,2,0)))</f>
        <v>101.89879224007549</v>
      </c>
      <c r="Z16" s="197">
        <f t="shared" ca="1" si="8"/>
        <v>4.7004389044053019E-2</v>
      </c>
      <c r="AA16" s="198">
        <f ca="1">IF(Proposal!$F16=0,1000,IF(DAYS360(Summary!$B$5,Proposal!$F16)&lt;360,1000,PRICE($BF16+360,Proposal!$F16,$D16,$F16+AA$4,Proposal!$G16,2,0)))</f>
        <v>108.38295124400496</v>
      </c>
      <c r="AB16" s="194">
        <f>IF(Proposal!$H16=0,1000,IF(DAYS360(Summary!$B$5,Proposal!$H16)&lt;360,1000,PRICE($BF16+360,Proposal!$H16,$D16,$F16+AA$4,100,2,0)))</f>
        <v>1000</v>
      </c>
      <c r="AC16" s="191">
        <f ca="1">IF($E16=0,1000,IF(DAYS360(Summary!$B$5,$E16)&lt;360,1000,PRICE($BF16+360,$E16,$D16,$F16+AA$4,100,2,0)))</f>
        <v>113.67568112430325</v>
      </c>
      <c r="AD16" s="169">
        <f t="shared" ca="1" si="9"/>
        <v>0.11794560447743985</v>
      </c>
      <c r="AE16" s="198">
        <f ca="1">IF(Proposal!$F16=0,1000,IF(DAYS360(Summary!$B$5,Proposal!$F16)&lt;360,1000,PRICE($BF16+360,Proposal!$F16,$D16,$F16+AE$4,Proposal!$G16,2,0)))</f>
        <v>104.71629716067049</v>
      </c>
      <c r="AF16" s="194">
        <f>IF(Proposal!$H16=0,1000,IF(DAYS360(Summary!$B$5,Proposal!$H16)&lt;360,1000,PRICE($BF16+360,Proposal!$H16,$D16,$F16+AE$4,100,2,0)))</f>
        <v>1000</v>
      </c>
      <c r="AG16" s="191">
        <f ca="1">IF($E16=0,1000,IF(DAYS360(Summary!$B$5,$E16)&lt;360,1000,PRICE($BF16+360,$E16,$D16,$F16+AE$4,100,2,0)))</f>
        <v>107.58456194267482</v>
      </c>
      <c r="AH16" s="169">
        <f t="shared" ca="1" si="10"/>
        <v>8.1752827099966341E-2</v>
      </c>
      <c r="AI16" s="198">
        <f ca="1">IF(Proposal!$F16=0,1000,IF(DAYS360(Summary!$B$5,Proposal!$F16)&lt;360,1000,PRICE($BF16+360,Proposal!$F16,$D16,$F16+AI$4,Proposal!$G16,2,0)))</f>
        <v>97.815618598632994</v>
      </c>
      <c r="AJ16" s="194">
        <f>IF(Proposal!$H16=0,1000,IF(DAYS360(Summary!$B$5,Proposal!$H16)&lt;360,1000,PRICE($BF16+360,Proposal!$H16,$D16,$F16+AI$4,100,2,0)))</f>
        <v>1000</v>
      </c>
      <c r="AK16" s="191">
        <f ca="1">IF($E16=0,1000,IF(DAYS360(Summary!$B$5,$E16)&lt;360,1000,PRICE($BF16+360,$E16,$D16,$F16+AI$4,100,2,0)))</f>
        <v>96.589026336422577</v>
      </c>
      <c r="AL16" s="169">
        <f t="shared" ca="1" si="11"/>
        <v>1.5302326192399018E-3</v>
      </c>
      <c r="AM16" s="198">
        <f ca="1">IF(Proposal!$F16=0,1000,IF(DAYS360(Summary!$B$5,Proposal!$F16)&lt;360,1000,PRICE($BF16+360,Proposal!$F16,$D16,$F16+AM$4,Proposal!$G16,2,0)))</f>
        <v>94.569198593974406</v>
      </c>
      <c r="AN16" s="194">
        <f>IF(Proposal!$H16=0,1000,IF(DAYS360(Summary!$B$5,Proposal!$H16)&lt;360,1000,PRICE($BF16+360,Proposal!$H16,$D16,$F16+AM$4,100,2,0)))</f>
        <v>1000</v>
      </c>
      <c r="AO16" s="191">
        <f ca="1">IF($E16=0,1000,IF(DAYS360(Summary!$B$5,$E16)&lt;360,1000,PRICE($BF16+360,$E16,$D16,$F16+AM$4,100,2,0)))</f>
        <v>91.628154879823271</v>
      </c>
      <c r="AP16" s="169">
        <f t="shared" ca="1" si="12"/>
        <v>-4.743749440007039E-2</v>
      </c>
      <c r="AQ16" s="168"/>
      <c r="AR16" s="170"/>
      <c r="AS16" s="189">
        <f t="shared" si="13"/>
        <v>202618</v>
      </c>
      <c r="AT16" s="192">
        <f t="shared" si="14"/>
        <v>3.2583879686991632E-3</v>
      </c>
      <c r="AU16" s="193">
        <f t="shared" si="15"/>
        <v>2886.8314821761137</v>
      </c>
      <c r="AV16" s="193">
        <f t="shared" si="17"/>
        <v>3.1411139540380344E-3</v>
      </c>
      <c r="AW16" s="193">
        <f>AS16*Proposal!M16/AS$29</f>
        <v>3.216286774816811E-3</v>
      </c>
      <c r="AX16" s="194">
        <f t="shared" si="22"/>
        <v>0.49479432751576319</v>
      </c>
      <c r="AY16" s="168">
        <f t="shared" ca="1" si="16"/>
        <v>3.1232152188739549E-3</v>
      </c>
      <c r="AZ16" s="168">
        <f t="shared" ca="1" si="18"/>
        <v>7.8369172410259029E-3</v>
      </c>
      <c r="BA16" s="168">
        <f t="shared" ca="1" si="19"/>
        <v>5.4320815348814838E-3</v>
      </c>
      <c r="BB16" s="168">
        <f t="shared" ca="1" si="20"/>
        <v>1.0167658599600677E-4</v>
      </c>
      <c r="BC16" s="168">
        <f t="shared" ca="1" si="21"/>
        <v>-3.1519929833933812E-3</v>
      </c>
      <c r="BD16" s="168"/>
      <c r="BE16" s="209">
        <f>Enter!B12</f>
        <v>37196</v>
      </c>
      <c r="BF16" s="209">
        <f>Enter!C12</f>
        <v>37221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200</v>
      </c>
      <c r="B17" s="18" t="str">
        <f>Proposal!B17</f>
        <v>AAA/AA+</v>
      </c>
      <c r="C17" s="42" t="str">
        <f>Proposal!C17</f>
        <v>TROY MICH</v>
      </c>
      <c r="D17" s="161">
        <f>Proposal!D17</f>
        <v>4.5999999999999999E-2</v>
      </c>
      <c r="E17" s="249">
        <f>Income!D16</f>
        <v>43739</v>
      </c>
      <c r="F17" s="211">
        <f>Proposal!BG17</f>
        <v>4.6604762367318475E-2</v>
      </c>
      <c r="G17" s="220">
        <f>Proposal!J17</f>
        <v>99.266999999999996</v>
      </c>
      <c r="H17" s="126">
        <f t="shared" si="0"/>
        <v>11.975846174812096</v>
      </c>
      <c r="I17" s="127">
        <f t="shared" ca="1" si="1"/>
        <v>0.1216183860551292</v>
      </c>
      <c r="J17" s="127">
        <f t="shared" ca="1" si="2"/>
        <v>8.6749751646467477E-2</v>
      </c>
      <c r="K17" s="127">
        <f t="shared" ca="1" si="3"/>
        <v>4.6609764294944789E-2</v>
      </c>
      <c r="L17" s="127">
        <f t="shared" ca="1" si="4"/>
        <v>-9.4052093125412961E-3</v>
      </c>
      <c r="M17" s="127">
        <f t="shared" ca="1" si="5"/>
        <v>-6.1433966798643325E-2</v>
      </c>
      <c r="N17" s="18"/>
      <c r="O17" s="18"/>
      <c r="P17" s="18"/>
      <c r="Q17" s="18"/>
      <c r="S17" s="195">
        <f>MDURATION(BF17,Proposal!BH17,D17,F17,2,0)</f>
        <v>11.975846174812096</v>
      </c>
      <c r="T17" s="168" t="b">
        <f t="shared" si="6"/>
        <v>0</v>
      </c>
      <c r="U17" s="196">
        <f t="shared" si="7"/>
        <v>9200</v>
      </c>
      <c r="V17" s="189"/>
      <c r="W17" s="198">
        <f ca="1">IF(Proposal!$F17=0,1000,IF(DAYS360(Summary!$B$5,Proposal!$F17)&lt;360,1000,PRICE($BF17+360,Proposal!$F17,$D17,$F17,Proposal!$G17,2,0)))</f>
        <v>99.948517026701467</v>
      </c>
      <c r="X17" s="194">
        <f ca="1">IF(Proposal!$H17=0,1000,IF(DAYS360(Summary!$B$5,Proposal!$H17)&lt;360,1000,PRICE($BF17+360,Proposal!$H17,$D17,$F17,100,2,0)))</f>
        <v>99.520914443789266</v>
      </c>
      <c r="Y17" s="191">
        <f ca="1">IF($E17=0,1000,IF(DAYS360(Summary!$B$5,$E17)&lt;360,1000,PRICE($BF17+360,$E17,$D17,$F17,100,2,0)))</f>
        <v>99.29381147226627</v>
      </c>
      <c r="Z17" s="197">
        <f t="shared" ca="1" si="8"/>
        <v>4.6609764294944789E-2</v>
      </c>
      <c r="AA17" s="198">
        <f ca="1">IF(Proposal!$F17=0,1000,IF(DAYS360(Summary!$B$5,Proposal!$F17)&lt;360,1000,PRICE($BF17+360,Proposal!$F17,$D17,$F17+AA$4,Proposal!$G17,2,0)))</f>
        <v>106.73969232853449</v>
      </c>
      <c r="AB17" s="194">
        <f ca="1">IF(Proposal!$H17=0,1000,IF(DAYS360(Summary!$B$5,Proposal!$H17)&lt;360,1000,PRICE($BF17+360,Proposal!$H17,$D17,$F17+AA$4,100,2,0)))</f>
        <v>107.71424378774175</v>
      </c>
      <c r="AC17" s="191">
        <f ca="1">IF($E17=0,1000,IF(DAYS360(Summary!$B$5,$E17)&lt;360,1000,PRICE($BF17+360,$E17,$D17,$F17+AA$4,100,2,0)))</f>
        <v>111.73903196394103</v>
      </c>
      <c r="AD17" s="169">
        <f t="shared" ca="1" si="9"/>
        <v>0.1216183860551292</v>
      </c>
      <c r="AE17" s="198">
        <f ca="1">IF(Proposal!$F17=0,1000,IF(DAYS360(Summary!$B$5,Proposal!$F17)&lt;360,1000,PRICE($BF17+360,Proposal!$F17,$D17,$F17+AE$4,Proposal!$G17,2,0)))</f>
        <v>103.27838759668988</v>
      </c>
      <c r="AF17" s="194">
        <f ca="1">IF(Proposal!$H17=0,1000,IF(DAYS360(Summary!$B$5,Proposal!$H17)&lt;360,1000,PRICE($BF17+360,Proposal!$H17,$D17,$F17+AE$4,100,2,0)))</f>
        <v>103.52086876186416</v>
      </c>
      <c r="AG17" s="191">
        <f ca="1">IF($E17=0,1000,IF(DAYS360(Summary!$B$5,$E17)&lt;360,1000,PRICE($BF17+360,$E17,$D17,$F17+AE$4,100,2,0)))</f>
        <v>105.28350592935698</v>
      </c>
      <c r="AH17" s="169">
        <f t="shared" ca="1" si="10"/>
        <v>8.6749751646467477E-2</v>
      </c>
      <c r="AI17" s="198">
        <f ca="1">IF(Proposal!$F17=0,1000,IF(DAYS360(Summary!$B$5,Proposal!$F17)&lt;360,1000,PRICE($BF17+360,Proposal!$F17,$D17,$F17+AI$4,Proposal!$G17,2,0)))</f>
        <v>96.744659028147851</v>
      </c>
      <c r="AJ17" s="194">
        <f ca="1">IF(Proposal!$H17=0,1000,IF(DAYS360(Summary!$B$5,Proposal!$H17)&lt;360,1000,PRICE($BF17+360,Proposal!$H17,$D17,$F17+AI$4,100,2,0)))</f>
        <v>95.704725439984742</v>
      </c>
      <c r="AK17" s="191">
        <f ca="1">IF($E17=0,1000,IF(DAYS360(Summary!$B$5,$E17)&lt;360,1000,PRICE($BF17+360,$E17,$D17,$F17+AI$4,100,2,0)))</f>
        <v>93.733373087171941</v>
      </c>
      <c r="AL17" s="169">
        <f t="shared" ca="1" si="11"/>
        <v>-9.4052093125412961E-3</v>
      </c>
      <c r="AM17" s="198">
        <f ca="1">IF(Proposal!$F17=0,1000,IF(DAYS360(Summary!$B$5,Proposal!$F17)&lt;360,1000,PRICE($BF17+360,Proposal!$F17,$D17,$F17+AM$4,Proposal!$G17,2,0)))</f>
        <v>93.661630332843089</v>
      </c>
      <c r="AN17" s="194">
        <f ca="1">IF(Proposal!$H17=0,1000,IF(DAYS360(Summary!$B$5,Proposal!$H17)&lt;360,1000,PRICE($BF17+360,Proposal!$H17,$D17,$F17+AM$4,100,2,0)))</f>
        <v>92.063156514041395</v>
      </c>
      <c r="AO17" s="191">
        <f ca="1">IF($E17=0,1000,IF(DAYS360(Summary!$B$5,$E17)&lt;360,1000,PRICE($BF17+360,$E17,$D17,$F17+AM$4,100,2,0)))</f>
        <v>88.568634417799061</v>
      </c>
      <c r="AP17" s="169">
        <f t="shared" ca="1" si="12"/>
        <v>-6.1433966798643325E-2</v>
      </c>
      <c r="AQ17" s="168"/>
      <c r="AR17" s="170"/>
      <c r="AS17" s="189">
        <f t="shared" si="13"/>
        <v>198533.99999999997</v>
      </c>
      <c r="AT17" s="192">
        <f t="shared" si="14"/>
        <v>3.012609724448011E-3</v>
      </c>
      <c r="AU17" s="193">
        <f t="shared" si="15"/>
        <v>2864.5334073398162</v>
      </c>
      <c r="AV17" s="193">
        <f t="shared" si="17"/>
        <v>3.0522165285515731E-3</v>
      </c>
      <c r="AW17" s="193">
        <f>AS17*Proposal!M17/AS$29</f>
        <v>3.0348552131604775E-3</v>
      </c>
      <c r="AX17" s="194">
        <f t="shared" si="22"/>
        <v>0.78431631836374871</v>
      </c>
      <c r="AY17" s="168">
        <f t="shared" ca="1" si="16"/>
        <v>3.0969943053119459E-3</v>
      </c>
      <c r="AZ17" s="168">
        <f t="shared" ca="1" si="18"/>
        <v>8.0809558840617413E-3</v>
      </c>
      <c r="BA17" s="168">
        <f t="shared" ca="1" si="19"/>
        <v>5.7641030994330551E-3</v>
      </c>
      <c r="BB17" s="168">
        <f t="shared" ca="1" si="20"/>
        <v>-6.2493085133164753E-4</v>
      </c>
      <c r="BC17" s="168">
        <f t="shared" ca="1" si="21"/>
        <v>-4.0819911494115171E-3</v>
      </c>
      <c r="BD17" s="168"/>
      <c r="BE17" s="209">
        <f>Enter!B13</f>
        <v>37196</v>
      </c>
      <c r="BF17" s="209">
        <f>Enter!C13</f>
        <v>37221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200</v>
      </c>
      <c r="B18" s="18" t="str">
        <f>Proposal!B18</f>
        <v>AAA/AAA</v>
      </c>
      <c r="C18" s="42" t="str">
        <f>Proposal!C18</f>
        <v>PASADENA TX</v>
      </c>
      <c r="D18" s="161">
        <f>Proposal!D18</f>
        <v>0.05</v>
      </c>
      <c r="E18" s="249">
        <f>Income!D17</f>
        <v>43876</v>
      </c>
      <c r="F18" s="211">
        <f>Proposal!BG18</f>
        <v>4.7496602147322292E-2</v>
      </c>
      <c r="G18" s="220">
        <f>Proposal!J18</f>
        <v>101.68</v>
      </c>
      <c r="H18" s="126">
        <f t="shared" si="0"/>
        <v>6.6051592490127273</v>
      </c>
      <c r="I18" s="127">
        <f t="shared" ca="1" si="1"/>
        <v>0.10987095937890046</v>
      </c>
      <c r="J18" s="127">
        <f t="shared" ca="1" si="2"/>
        <v>7.8128898086425425E-2</v>
      </c>
      <c r="K18" s="127">
        <f t="shared" ca="1" si="3"/>
        <v>4.7503434105011566E-2</v>
      </c>
      <c r="L18" s="127">
        <f t="shared" ca="1" si="4"/>
        <v>4.9496059084221944E-3</v>
      </c>
      <c r="M18" s="127">
        <f t="shared" ca="1" si="5"/>
        <v>-4.7388352199646766E-2</v>
      </c>
      <c r="N18" s="18"/>
      <c r="O18" s="18"/>
      <c r="P18" s="18"/>
      <c r="Q18" s="18"/>
      <c r="S18" s="195">
        <f>MDURATION(BF18,Proposal!BH18,D18,F18,2,0)</f>
        <v>6.6051592490127273</v>
      </c>
      <c r="T18" s="168" t="b">
        <f t="shared" si="6"/>
        <v>0</v>
      </c>
      <c r="U18" s="196">
        <f t="shared" si="7"/>
        <v>10000</v>
      </c>
      <c r="V18" s="189"/>
      <c r="W18" s="198">
        <f ca="1">IF(Proposal!$F18=0,1000,IF(DAYS360(Summary!$B$5,Proposal!$F18)&lt;360,1000,PRICE($BF18+360,Proposal!$F18,$D18,$F18,Proposal!$G18,2,0)))</f>
        <v>101.51014917979758</v>
      </c>
      <c r="X18" s="194">
        <f>IF(Proposal!$H18=0,1000,IF(DAYS360(Summary!$B$5,Proposal!$H18)&lt;360,1000,PRICE($BF18+360,Proposal!$H18,$D18,$F18,100,2,0)))</f>
        <v>1000</v>
      </c>
      <c r="Y18" s="191">
        <f ca="1">IF($E18=0,1000,IF(DAYS360(Summary!$B$5,$E18)&lt;360,1000,PRICE($BF18+360,$E18,$D18,$F18,100,2,0)))</f>
        <v>102.91622871950365</v>
      </c>
      <c r="Z18" s="197">
        <f t="shared" ca="1" si="8"/>
        <v>4.7503434105011566E-2</v>
      </c>
      <c r="AA18" s="198">
        <f ca="1">IF(Proposal!$F18=0,1000,IF(DAYS360(Summary!$B$5,Proposal!$F18)&lt;360,1000,PRICE($BF18+360,Proposal!$F18,$D18,$F18+AA$4,Proposal!$G18,2,0)))</f>
        <v>107.85167914964659</v>
      </c>
      <c r="AB18" s="194">
        <f>IF(Proposal!$H18=0,1000,IF(DAYS360(Summary!$B$5,Proposal!$H18)&lt;360,1000,PRICE($BF18+360,Proposal!$H18,$D18,$F18+AA$4,100,2,0)))</f>
        <v>1000</v>
      </c>
      <c r="AC18" s="191">
        <f ca="1">IF($E18=0,1000,IF(DAYS360(Summary!$B$5,$E18)&lt;360,1000,PRICE($BF18+360,$E18,$D18,$F18+AA$4,100,2,0)))</f>
        <v>115.76051823955152</v>
      </c>
      <c r="AD18" s="169">
        <f t="shared" ca="1" si="9"/>
        <v>0.10987095937890046</v>
      </c>
      <c r="AE18" s="198">
        <f ca="1">IF(Proposal!$F18=0,1000,IF(DAYS360(Summary!$B$5,Proposal!$F18)&lt;360,1000,PRICE($BF18+360,Proposal!$F18,$D18,$F18+AE$4,Proposal!$G18,2,0)))</f>
        <v>104.62414635742775</v>
      </c>
      <c r="AF18" s="194">
        <f>IF(Proposal!$H18=0,1000,IF(DAYS360(Summary!$B$5,Proposal!$H18)&lt;360,1000,PRICE($BF18+360,Proposal!$H18,$D18,$F18+AE$4,100,2,0)))</f>
        <v>1000</v>
      </c>
      <c r="AG18" s="191">
        <f ca="1">IF($E18=0,1000,IF(DAYS360(Summary!$B$5,$E18)&lt;360,1000,PRICE($BF18+360,$E18,$D18,$F18+AE$4,100,2,0)))</f>
        <v>109.09577632369444</v>
      </c>
      <c r="AH18" s="169">
        <f t="shared" ca="1" si="10"/>
        <v>7.8128898086425425E-2</v>
      </c>
      <c r="AI18" s="198">
        <f ca="1">IF(Proposal!$F18=0,1000,IF(DAYS360(Summary!$B$5,Proposal!$F18)&lt;360,1000,PRICE($BF18+360,Proposal!$F18,$D18,$F18+AI$4,Proposal!$G18,2,0)))</f>
        <v>98.505330248277815</v>
      </c>
      <c r="AJ18" s="194">
        <f>IF(Proposal!$H18=0,1000,IF(DAYS360(Summary!$B$5,Proposal!$H18)&lt;360,1000,PRICE($BF18+360,Proposal!$H18,$D18,$F18+AI$4,100,2,0)))</f>
        <v>1000</v>
      </c>
      <c r="AK18" s="191">
        <f ca="1">IF($E18=0,1000,IF(DAYS360(Summary!$B$5,$E18)&lt;360,1000,PRICE($BF18+360,$E18,$D18,$F18+AI$4,100,2,0)))</f>
        <v>97.183275928768367</v>
      </c>
      <c r="AL18" s="169">
        <f t="shared" ca="1" si="11"/>
        <v>4.9496059084221944E-3</v>
      </c>
      <c r="AM18" s="198">
        <f ca="1">IF(Proposal!$F18=0,1000,IF(DAYS360(Summary!$B$5,Proposal!$F18)&lt;360,1000,PRICE($BF18+360,Proposal!$F18,$D18,$F18+AM$4,Proposal!$G18,2,0)))</f>
        <v>95.605511111431667</v>
      </c>
      <c r="AN18" s="194">
        <f>IF(Proposal!$H18=0,1000,IF(DAYS360(Summary!$B$5,Proposal!$H18)&lt;360,1000,PRICE($BF18+360,Proposal!$H18,$D18,$F18+AM$4,100,2,0)))</f>
        <v>1000</v>
      </c>
      <c r="AO18" s="191">
        <f ca="1">IF($E18=0,1000,IF(DAYS360(Summary!$B$5,$E18)&lt;360,1000,PRICE($BF18+360,$E18,$D18,$F18+AM$4,100,2,0)))</f>
        <v>91.861552348339913</v>
      </c>
      <c r="AP18" s="169">
        <f t="shared" ca="1" si="12"/>
        <v>-4.7388352199646766E-2</v>
      </c>
      <c r="AQ18" s="168"/>
      <c r="AR18" s="170"/>
      <c r="AS18" s="189">
        <f t="shared" si="13"/>
        <v>203360</v>
      </c>
      <c r="AT18" s="192">
        <f t="shared" si="14"/>
        <v>3.3541747616756237E-3</v>
      </c>
      <c r="AU18" s="193">
        <f t="shared" si="15"/>
        <v>2943.3554368655937</v>
      </c>
      <c r="AV18" s="193">
        <f t="shared" si="17"/>
        <v>3.1862380837579338E-3</v>
      </c>
      <c r="AW18" s="193">
        <f>AS18*Proposal!M18/AS$29</f>
        <v>3.2987556664787806E-3</v>
      </c>
      <c r="AX18" s="194">
        <f t="shared" si="22"/>
        <v>0.44309716899773616</v>
      </c>
      <c r="AY18" s="168">
        <f t="shared" ca="1" si="16"/>
        <v>3.156374359136981E-3</v>
      </c>
      <c r="AZ18" s="168">
        <f t="shared" ca="1" si="18"/>
        <v>7.3003959720199648E-3</v>
      </c>
      <c r="BA18" s="168">
        <f t="shared" ca="1" si="19"/>
        <v>5.1912889093970382E-3</v>
      </c>
      <c r="BB18" s="168">
        <f t="shared" ca="1" si="20"/>
        <v>3.2887746899815248E-4</v>
      </c>
      <c r="BC18" s="168">
        <f t="shared" ca="1" si="21"/>
        <v>-3.1487277209067618E-3</v>
      </c>
      <c r="BD18" s="168"/>
      <c r="BE18" s="209">
        <f>Enter!B14</f>
        <v>37210</v>
      </c>
      <c r="BF18" s="209">
        <f>Enter!C14</f>
        <v>37221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200</v>
      </c>
      <c r="B19" s="18" t="str">
        <f>Proposal!B19</f>
        <v>AAA/AAA</v>
      </c>
      <c r="C19" s="42" t="str">
        <f>Proposal!C19</f>
        <v>N.HARRIS MONT CCD</v>
      </c>
      <c r="D19" s="161">
        <f>Proposal!D19</f>
        <v>0.05</v>
      </c>
      <c r="E19" s="249">
        <f>Income!D18</f>
        <v>44242</v>
      </c>
      <c r="F19" s="211">
        <f>Proposal!BG19</f>
        <v>4.8496351822464444E-2</v>
      </c>
      <c r="G19" s="220">
        <f>Proposal!J19</f>
        <v>101.002</v>
      </c>
      <c r="H19" s="126">
        <f t="shared" si="0"/>
        <v>6.5960712811477045</v>
      </c>
      <c r="I19" s="127">
        <f t="shared" ca="1" si="1"/>
        <v>0.11083976254142502</v>
      </c>
      <c r="J19" s="127">
        <f t="shared" ca="1" si="2"/>
        <v>7.9112925731141148E-2</v>
      </c>
      <c r="K19" s="127">
        <f t="shared" ca="1" si="3"/>
        <v>4.8501410022796065E-2</v>
      </c>
      <c r="L19" s="127">
        <f t="shared" ca="1" si="4"/>
        <v>-4.9432450900710467E-4</v>
      </c>
      <c r="M19" s="127">
        <f t="shared" ca="1" si="5"/>
        <v>-5.4052136143072471E-2</v>
      </c>
      <c r="N19" s="18"/>
      <c r="O19" s="18"/>
      <c r="P19" s="18"/>
      <c r="Q19" s="18"/>
      <c r="S19" s="195">
        <f>MDURATION(BF19,Proposal!BH19,D19,F19,2,0)</f>
        <v>6.5960712811477045</v>
      </c>
      <c r="T19" s="168" t="b">
        <f t="shared" si="6"/>
        <v>0</v>
      </c>
      <c r="U19" s="196">
        <f t="shared" si="7"/>
        <v>10000</v>
      </c>
      <c r="V19" s="189"/>
      <c r="W19" s="198">
        <f ca="1">IF(Proposal!$F19=0,1000,IF(DAYS360(Summary!$B$5,Proposal!$F19)&lt;360,1000,PRICE($BF19+360,Proposal!$F19,$D19,$F19,Proposal!$G19,2,0)))</f>
        <v>100.90073941512243</v>
      </c>
      <c r="X19" s="194">
        <f>IF(Proposal!$H19=0,1000,IF(DAYS360(Summary!$B$5,Proposal!$H19)&lt;360,1000,PRICE($BF19+360,Proposal!$H19,$D19,$F19,100,2,0)))</f>
        <v>1000</v>
      </c>
      <c r="Y19" s="191">
        <f ca="1">IF($E19=0,1000,IF(DAYS360(Summary!$B$5,$E19)&lt;360,1000,PRICE($BF19+360,$E19,$D19,$F19,100,2,0)))</f>
        <v>101.79890432827987</v>
      </c>
      <c r="Z19" s="197">
        <f t="shared" ca="1" si="8"/>
        <v>4.8501410022796065E-2</v>
      </c>
      <c r="AA19" s="198">
        <f ca="1">IF(Proposal!$F19=0,1000,IF(DAYS360(Summary!$B$5,Proposal!$F19)&lt;360,1000,PRICE($BF19+360,Proposal!$F19,$D19,$F19+AA$4,Proposal!$G19,2,0)))</f>
        <v>107.19703769620899</v>
      </c>
      <c r="AB19" s="194">
        <f>IF(Proposal!$H19=0,1000,IF(DAYS360(Summary!$B$5,Proposal!$H19)&lt;360,1000,PRICE($BF19+360,Proposal!$H19,$D19,$F19+AA$4,100,2,0)))</f>
        <v>1000</v>
      </c>
      <c r="AC19" s="191">
        <f ca="1">IF($E19=0,1000,IF(DAYS360(Summary!$B$5,$E19)&lt;360,1000,PRICE($BF19+360,$E19,$D19,$F19+AA$4,100,2,0)))</f>
        <v>114.96662631754012</v>
      </c>
      <c r="AD19" s="169">
        <f t="shared" ca="1" si="9"/>
        <v>0.11083976254142502</v>
      </c>
      <c r="AE19" s="198">
        <f ca="1">IF(Proposal!$F19=0,1000,IF(DAYS360(Summary!$B$5,Proposal!$F19)&lt;360,1000,PRICE($BF19+360,Proposal!$F19,$D19,$F19+AE$4,Proposal!$G19,2,0)))</f>
        <v>103.99256372469669</v>
      </c>
      <c r="AF19" s="194">
        <f>IF(Proposal!$H19=0,1000,IF(DAYS360(Summary!$B$5,Proposal!$H19)&lt;360,1000,PRICE($BF19+360,Proposal!$H19,$D19,$F19+AE$4,100,2,0)))</f>
        <v>1000</v>
      </c>
      <c r="AG19" s="191">
        <f ca="1">IF($E19=0,1000,IF(DAYS360(Summary!$B$5,$E19)&lt;360,1000,PRICE($BF19+360,$E19,$D19,$F19+AE$4,100,2,0)))</f>
        <v>108.12264696778661</v>
      </c>
      <c r="AH19" s="169">
        <f t="shared" ca="1" si="10"/>
        <v>7.9112925731141148E-2</v>
      </c>
      <c r="AI19" s="198">
        <f ca="1">IF(Proposal!$F19=0,1000,IF(DAYS360(Summary!$B$5,Proposal!$F19)&lt;360,1000,PRICE($BF19+360,Proposal!$F19,$D19,$F19+AI$4,Proposal!$G19,2,0)))</f>
        <v>97.917243814465834</v>
      </c>
      <c r="AJ19" s="194">
        <f>IF(Proposal!$H19=0,1000,IF(DAYS360(Summary!$B$5,Proposal!$H19)&lt;360,1000,PRICE($BF19+360,Proposal!$H19,$D19,$F19+AI$4,100,2,0)))</f>
        <v>1000</v>
      </c>
      <c r="AK19" s="191">
        <f ca="1">IF($E19=0,1000,IF(DAYS360(Summary!$B$5,$E19)&lt;360,1000,PRICE($BF19+360,$E19,$D19,$F19+AI$4,100,2,0)))</f>
        <v>95.952072235941259</v>
      </c>
      <c r="AL19" s="169">
        <f t="shared" ca="1" si="11"/>
        <v>-4.9432450900710467E-4</v>
      </c>
      <c r="AM19" s="198">
        <f ca="1">IF(Proposal!$F19=0,1000,IF(DAYS360(Summary!$B$5,Proposal!$F19)&lt;360,1000,PRICE($BF19+360,Proposal!$F19,$D19,$F19+AM$4,Proposal!$G19,2,0)))</f>
        <v>95.037933299296398</v>
      </c>
      <c r="AN19" s="194">
        <f>IF(Proposal!$H19=0,1000,IF(DAYS360(Summary!$B$5,Proposal!$H19)&lt;360,1000,PRICE($BF19+360,Proposal!$H19,$D19,$F19+AM$4,100,2,0)))</f>
        <v>1000</v>
      </c>
      <c r="AO19" s="191">
        <f ca="1">IF($E19=0,1000,IF(DAYS360(Summary!$B$5,$E19)&lt;360,1000,PRICE($BF19+360,$E19,$D19,$F19+AM$4,100,2,0)))</f>
        <v>90.542626145277367</v>
      </c>
      <c r="AP19" s="169">
        <f t="shared" ca="1" si="12"/>
        <v>-5.4052136143072471E-2</v>
      </c>
      <c r="AQ19" s="168"/>
      <c r="AR19" s="168"/>
      <c r="AS19" s="189">
        <f t="shared" si="13"/>
        <v>202003.99999999997</v>
      </c>
      <c r="AT19" s="192">
        <f t="shared" si="14"/>
        <v>3.3318091982568973E-3</v>
      </c>
      <c r="AU19" s="193">
        <f t="shared" si="15"/>
        <v>2948.1180509856326</v>
      </c>
      <c r="AV19" s="193">
        <f t="shared" si="17"/>
        <v>3.2316118216797933E-3</v>
      </c>
      <c r="AW19" s="193">
        <f>AS19*Proposal!M19/AS$29</f>
        <v>3.2987556664787806E-3</v>
      </c>
      <c r="AX19" s="194">
        <f t="shared" si="22"/>
        <v>0.43953701933772155</v>
      </c>
      <c r="AY19" s="168">
        <f t="shared" ca="1" si="16"/>
        <v>3.2226850513485759E-3</v>
      </c>
      <c r="AZ19" s="168">
        <f t="shared" ca="1" si="18"/>
        <v>7.3647682751777424E-3</v>
      </c>
      <c r="BA19" s="168">
        <f t="shared" ca="1" si="19"/>
        <v>5.25667280605589E-3</v>
      </c>
      <c r="BB19" s="168">
        <f t="shared" ca="1" si="20"/>
        <v>-3.2845482326053468E-5</v>
      </c>
      <c r="BC19" s="168">
        <f t="shared" ca="1" si="21"/>
        <v>-3.5915040626626222E-3</v>
      </c>
      <c r="BD19" s="168"/>
      <c r="BE19" s="209">
        <f>Enter!B15</f>
        <v>36965</v>
      </c>
      <c r="BF19" s="209">
        <f>Enter!C15</f>
        <v>37221</v>
      </c>
      <c r="BG19" s="171"/>
    </row>
    <row r="20" spans="1:67" x14ac:dyDescent="0.25">
      <c r="A20" s="157">
        <f>Proposal!A20</f>
        <v>200</v>
      </c>
      <c r="B20" s="18" t="str">
        <f>Proposal!B20</f>
        <v>AAA/AAA</v>
      </c>
      <c r="C20" s="42" t="str">
        <f>Proposal!C20</f>
        <v>PHILADELPHIA PA SCH</v>
      </c>
      <c r="D20" s="161">
        <f>Proposal!D20</f>
        <v>4.4999999999999998E-2</v>
      </c>
      <c r="E20" s="249">
        <f>Income!D19</f>
        <v>45017</v>
      </c>
      <c r="F20" s="211">
        <f>Proposal!BG20</f>
        <v>4.8002236175001281E-2</v>
      </c>
      <c r="G20" s="220">
        <f>Proposal!J20</f>
        <v>96.012</v>
      </c>
      <c r="H20" s="126">
        <f t="shared" si="0"/>
        <v>13.350423631157827</v>
      </c>
      <c r="I20" s="127">
        <f t="shared" ca="1" si="1"/>
        <v>0.12920373964098086</v>
      </c>
      <c r="J20" s="127">
        <f t="shared" ca="1" si="2"/>
        <v>9.9828749811641693E-2</v>
      </c>
      <c r="K20" s="127">
        <f t="shared" ca="1" si="3"/>
        <v>4.8005575593288441E-2</v>
      </c>
      <c r="L20" s="127">
        <f t="shared" ca="1" si="4"/>
        <v>-1.4704705196104229E-2</v>
      </c>
      <c r="M20" s="127">
        <f t="shared" ca="1" si="5"/>
        <v>-7.2253956434096378E-2</v>
      </c>
      <c r="N20" s="18"/>
      <c r="O20" s="18"/>
      <c r="P20" s="18"/>
      <c r="Q20" s="18"/>
      <c r="S20" s="195">
        <f>MDURATION(BF20,Proposal!BH20,D20,F20,2,0)</f>
        <v>13.350423631157827</v>
      </c>
      <c r="T20" s="168" t="b">
        <f t="shared" si="6"/>
        <v>0</v>
      </c>
      <c r="U20" s="196">
        <f t="shared" si="7"/>
        <v>9000</v>
      </c>
      <c r="V20" s="189"/>
      <c r="W20" s="198">
        <f ca="1">IF(Proposal!$F20=0,1000,IF(DAYS360(Summary!$B$5,Proposal!$F20)&lt;360,1000,PRICE($BF20+360,Proposal!$F20,$D20,$F20,Proposal!$G20,2,0)))</f>
        <v>98.365579689020095</v>
      </c>
      <c r="X20" s="194">
        <f>IF(Proposal!$H20=0,1000,IF(DAYS360(Summary!$B$5,Proposal!$H20)&lt;360,1000,PRICE($BF20+360,Proposal!$H20,$D20,$F20,100,2,0)))</f>
        <v>1000</v>
      </c>
      <c r="Y20" s="191">
        <f ca="1">IF($E20=0,1000,IF(DAYS360(Summary!$B$5,$E20)&lt;360,1000,PRICE($BF20+360,$E20,$D20,$F20,100,2,0)))</f>
        <v>96.121111323862806</v>
      </c>
      <c r="Z20" s="197">
        <f t="shared" ca="1" si="8"/>
        <v>4.8005575593288441E-2</v>
      </c>
      <c r="AA20" s="198">
        <f ca="1">IF(Proposal!$F20=0,1000,IF(DAYS360(Summary!$B$5,Proposal!$F20)&lt;360,1000,PRICE($BF20+360,Proposal!$F20,$D20,$F20+AA$4,Proposal!$G20,2,0)))</f>
        <v>103.91710945040985</v>
      </c>
      <c r="AB20" s="194">
        <f>IF(Proposal!$H20=0,1000,IF(DAYS360(Summary!$B$5,Proposal!$H20)&lt;360,1000,PRICE($BF20+360,Proposal!$H20,$D20,$F20+AA$4,100,2,0)))</f>
        <v>1000</v>
      </c>
      <c r="AC20" s="191">
        <f ca="1">IF($E20=0,1000,IF(DAYS360(Summary!$B$5,$E20)&lt;360,1000,PRICE($BF20+360,$E20,$D20,$F20+AA$4,100,2,0)))</f>
        <v>109.85405860561292</v>
      </c>
      <c r="AD20" s="169">
        <f t="shared" ca="1" si="9"/>
        <v>0.12920373964098086</v>
      </c>
      <c r="AE20" s="198">
        <f ca="1">IF(Proposal!$F20=0,1000,IF(DAYS360(Summary!$B$5,Proposal!$F20)&lt;360,1000,PRICE($BF20+360,Proposal!$F20,$D20,$F20+AE$4,Proposal!$G20,2,0)))</f>
        <v>101.09675792691534</v>
      </c>
      <c r="AF20" s="194">
        <f>IF(Proposal!$H20=0,1000,IF(DAYS360(Summary!$B$5,Proposal!$H20)&lt;360,1000,PRICE($BF20+360,Proposal!$H20,$D20,$F20+AE$4,100,2,0)))</f>
        <v>1000</v>
      </c>
      <c r="AG20" s="191">
        <f ca="1">IF($E20=0,1000,IF(DAYS360(Summary!$B$5,$E20)&lt;360,1000,PRICE($BF20+360,$E20,$D20,$F20+AE$4,100,2,0)))</f>
        <v>102.68736715232862</v>
      </c>
      <c r="AH20" s="169">
        <f t="shared" ca="1" si="10"/>
        <v>9.9828749811641693E-2</v>
      </c>
      <c r="AI20" s="198">
        <f ca="1">IF(Proposal!$F20=0,1000,IF(DAYS360(Summary!$B$5,Proposal!$F20)&lt;360,1000,PRICE($BF20+360,Proposal!$F20,$D20,$F20+AI$4,Proposal!$G20,2,0)))</f>
        <v>95.720491406603188</v>
      </c>
      <c r="AJ20" s="194">
        <f>IF(Proposal!$H20=0,1000,IF(DAYS360(Summary!$B$5,Proposal!$H20)&lt;360,1000,PRICE($BF20+360,Proposal!$H20,$D20,$F20+AI$4,100,2,0)))</f>
        <v>1000</v>
      </c>
      <c r="AK20" s="191">
        <f ca="1">IF($E20=0,1000,IF(DAYS360(Summary!$B$5,$E20)&lt;360,1000,PRICE($BF20+360,$E20,$D20,$F20+AI$4,100,2,0)))</f>
        <v>90.100171844711639</v>
      </c>
      <c r="AL20" s="169">
        <f t="shared" ca="1" si="11"/>
        <v>-1.4704705196104229E-2</v>
      </c>
      <c r="AM20" s="198">
        <f ca="1">IF(Proposal!$F20=0,1000,IF(DAYS360(Summary!$B$5,Proposal!$F20)&lt;360,1000,PRICE($BF20+360,Proposal!$F20,$D20,$F20+AM$4,Proposal!$G20,2,0)))</f>
        <v>93.158524327443757</v>
      </c>
      <c r="AN20" s="194">
        <f>IF(Proposal!$H20=0,1000,IF(DAYS360(Summary!$B$5,Proposal!$H20)&lt;360,1000,PRICE($BF20+360,Proposal!$H20,$D20,$F20+AM$4,100,2,0)))</f>
        <v>1000</v>
      </c>
      <c r="AO20" s="191">
        <f ca="1">IF($E20=0,1000,IF(DAYS360(Summary!$B$5,$E20)&lt;360,1000,PRICE($BF20+360,$E20,$D20,$F20+AM$4,100,2,0)))</f>
        <v>84.574753134849544</v>
      </c>
      <c r="AP20" s="169">
        <f t="shared" ca="1" si="12"/>
        <v>-7.2253956434096378E-2</v>
      </c>
      <c r="AQ20" s="168"/>
      <c r="AR20" s="168"/>
      <c r="AS20" s="189">
        <f t="shared" si="13"/>
        <v>192024</v>
      </c>
      <c r="AT20" s="192">
        <f t="shared" si="14"/>
        <v>2.8504811614496459E-3</v>
      </c>
      <c r="AU20" s="193">
        <f t="shared" si="15"/>
        <v>2851.5580098884157</v>
      </c>
      <c r="AV20" s="193">
        <f t="shared" si="17"/>
        <v>3.0406548872066188E-3</v>
      </c>
      <c r="AW20" s="193">
        <f>AS20*Proposal!M20/AS$29</f>
        <v>2.9688800998309024E-3</v>
      </c>
      <c r="AX20" s="194">
        <f t="shared" si="22"/>
        <v>0.8456695790663904</v>
      </c>
      <c r="AY20" s="168">
        <f t="shared" ca="1" si="16"/>
        <v>3.1897392420789663E-3</v>
      </c>
      <c r="AZ20" s="168">
        <f t="shared" ca="1" si="18"/>
        <v>8.5849660891017185E-3</v>
      </c>
      <c r="BA20" s="168">
        <f t="shared" ca="1" si="19"/>
        <v>6.6331395223682187E-3</v>
      </c>
      <c r="BB20" s="168">
        <f t="shared" ca="1" si="20"/>
        <v>-9.7705682366141058E-4</v>
      </c>
      <c r="BC20" s="168">
        <f t="shared" ca="1" si="21"/>
        <v>-4.8009273378137127E-3</v>
      </c>
      <c r="BD20" s="168"/>
      <c r="BE20" s="209">
        <f>Enter!B16</f>
        <v>36144</v>
      </c>
      <c r="BF20" s="209">
        <f>Enter!C16</f>
        <v>37221</v>
      </c>
      <c r="BG20" s="171"/>
    </row>
    <row r="21" spans="1:67" x14ac:dyDescent="0.25">
      <c r="A21" s="157">
        <f>Proposal!A21</f>
        <v>100</v>
      </c>
      <c r="B21" s="18" t="str">
        <f>Proposal!B21</f>
        <v>AAA/AAA</v>
      </c>
      <c r="C21" s="42" t="str">
        <f>Proposal!C21</f>
        <v>TEXAS TURNPIKE</v>
      </c>
      <c r="D21" s="161">
        <f>Proposal!D21</f>
        <v>0.05</v>
      </c>
      <c r="E21" s="249">
        <f>Income!D20</f>
        <v>45658</v>
      </c>
      <c r="F21" s="211">
        <f>Proposal!BG21</f>
        <v>4.8999733527683248E-2</v>
      </c>
      <c r="G21" s="220">
        <f>Proposal!J21</f>
        <v>100.517</v>
      </c>
      <c r="H21" s="126">
        <f t="shared" si="0"/>
        <v>5.1039442983708234</v>
      </c>
      <c r="I21" s="127">
        <f t="shared" ca="1" si="1"/>
        <v>9.3974262218521787E-2</v>
      </c>
      <c r="J21" s="127">
        <f t="shared" ca="1" si="2"/>
        <v>7.1611017205994498E-2</v>
      </c>
      <c r="K21" s="127">
        <f t="shared" ca="1" si="3"/>
        <v>4.8998762477079794E-2</v>
      </c>
      <c r="L21" s="127">
        <f t="shared" ca="1" si="4"/>
        <v>-6.461888932565496E-3</v>
      </c>
      <c r="M21" s="127">
        <f t="shared" ca="1" si="5"/>
        <v>-6.526283658211951E-2</v>
      </c>
      <c r="N21" s="18"/>
      <c r="O21" s="18"/>
      <c r="P21" s="18"/>
      <c r="Q21" s="18"/>
      <c r="S21" s="195">
        <f>MDURATION(BF21,Proposal!BH21,D21,F21,2,0)</f>
        <v>5.1039442983708234</v>
      </c>
      <c r="T21" s="168" t="b">
        <f t="shared" si="6"/>
        <v>0</v>
      </c>
      <c r="U21" s="196">
        <f t="shared" si="7"/>
        <v>5000</v>
      </c>
      <c r="V21" s="189"/>
      <c r="W21" s="198">
        <f ca="1">IF(Proposal!$F21=0,1000,IF(DAYS360(Summary!$B$5,Proposal!$F21)&lt;360,1000,PRICE($BF21+360,Proposal!$F21,$D21,$F21,Proposal!$G21,2,0)))</f>
        <v>102.0005432067744</v>
      </c>
      <c r="X21" s="194">
        <f ca="1">IF(Proposal!$H21=0,1000,IF(DAYS360(Summary!$B$5,Proposal!$H21)&lt;360,1000,PRICE($BF21+360,Proposal!$H21,$D21,$F21,100,2,0)))</f>
        <v>100.44220860790861</v>
      </c>
      <c r="Y21" s="191">
        <f ca="1">IF($E21=0,1000,IF(DAYS360(Summary!$B$5,$E21)&lt;360,1000,PRICE($BF21+360,$E21,$D21,$F21,100,2,0)))</f>
        <v>101.33618805614242</v>
      </c>
      <c r="Z21" s="197">
        <f t="shared" ca="1" si="8"/>
        <v>4.8998762477079794E-2</v>
      </c>
      <c r="AA21" s="198">
        <f ca="1">IF(Proposal!$F21=0,1000,IF(DAYS360(Summary!$B$5,Proposal!$F21)&lt;360,1000,PRICE($BF21+360,Proposal!$F21,$D21,$F21+AA$4,Proposal!$G21,2,0)))</f>
        <v>104.96301091541915</v>
      </c>
      <c r="AB21" s="194">
        <f ca="1">IF(Proposal!$H21=0,1000,IF(DAYS360(Summary!$B$5,Proposal!$H21)&lt;360,1000,PRICE($BF21+360,Proposal!$H21,$D21,$F21+AA$4,100,2,0)))</f>
        <v>105.04889130251878</v>
      </c>
      <c r="AC21" s="191">
        <f ca="1">IF($E21=0,1000,IF(DAYS360(Summary!$B$5,$E21)&lt;360,1000,PRICE($BF21+360,$E21,$D21,$F21+AA$4,100,2,0)))</f>
        <v>116.19461392982124</v>
      </c>
      <c r="AD21" s="169">
        <f t="shared" ca="1" si="9"/>
        <v>9.3974262218521787E-2</v>
      </c>
      <c r="AE21" s="198">
        <f ca="1">IF(Proposal!$F21=0,1000,IF(DAYS360(Summary!$B$5,Proposal!$F21)&lt;360,1000,PRICE($BF21+360,Proposal!$F21,$D21,$F21+AE$4,Proposal!$G21,2,0)))</f>
        <v>103.46897061420012</v>
      </c>
      <c r="AF21" s="194">
        <f ca="1">IF(Proposal!$H21=0,1000,IF(DAYS360(Summary!$B$5,Proposal!$H21)&lt;360,1000,PRICE($BF21+360,Proposal!$H21,$D21,$F21+AE$4,100,2,0)))</f>
        <v>102.71512461649492</v>
      </c>
      <c r="AG21" s="191">
        <f ca="1">IF($E21=0,1000,IF(DAYS360(Summary!$B$5,$E21)&lt;360,1000,PRICE($BF21+360,$E21,$D21,$F21+AE$4,100,2,0)))</f>
        <v>108.42299274737694</v>
      </c>
      <c r="AH21" s="169">
        <f t="shared" ca="1" si="10"/>
        <v>7.1611017205994498E-2</v>
      </c>
      <c r="AI21" s="198">
        <f ca="1">IF(Proposal!$F21=0,1000,IF(DAYS360(Summary!$B$5,Proposal!$F21)&lt;360,1000,PRICE($BF21+360,Proposal!$F21,$D21,$F21+AI$4,Proposal!$G21,2,0)))</f>
        <v>100.5572246677723</v>
      </c>
      <c r="AJ21" s="194">
        <f ca="1">IF(Proposal!$H21=0,1000,IF(DAYS360(Summary!$B$5,Proposal!$H21)&lt;360,1000,PRICE($BF21+360,Proposal!$H21,$D21,$F21+AI$4,100,2,0)))</f>
        <v>98.228386873912129</v>
      </c>
      <c r="AK21" s="191">
        <f ca="1">IF($E21=0,1000,IF(DAYS360(Summary!$B$5,$E21)&lt;360,1000,PRICE($BF21+360,$E21,$D21,$F21+AI$4,100,2,0)))</f>
        <v>94.867470310165302</v>
      </c>
      <c r="AL21" s="169">
        <f t="shared" ca="1" si="11"/>
        <v>-6.461888932565496E-3</v>
      </c>
      <c r="AM21" s="198">
        <f ca="1">IF(Proposal!$F21=0,1000,IF(DAYS360(Summary!$B$5,Proposal!$F21)&lt;360,1000,PRICE($BF21+360,Proposal!$F21,$D21,$F21+AM$4,Proposal!$G21,2,0)))</f>
        <v>99.138522116799038</v>
      </c>
      <c r="AN21" s="194">
        <f ca="1">IF(Proposal!$H21=0,1000,IF(DAYS360(Summary!$B$5,Proposal!$H21)&lt;360,1000,PRICE($BF21+360,Proposal!$H21,$D21,$F21+AM$4,100,2,0)))</f>
        <v>96.071958140550365</v>
      </c>
      <c r="AO21" s="191">
        <f ca="1">IF($E21=0,1000,IF(DAYS360(Summary!$B$5,$E21)&lt;360,1000,PRICE($BF21+360,$E21,$D21,$F21+AM$4,100,2,0)))</f>
        <v>88.956975455275071</v>
      </c>
      <c r="AP21" s="169">
        <f t="shared" ca="1" si="12"/>
        <v>-6.526283658211951E-2</v>
      </c>
      <c r="AQ21" s="168"/>
      <c r="AR21" s="168"/>
      <c r="AS21" s="189">
        <f t="shared" si="13"/>
        <v>100516.99999999999</v>
      </c>
      <c r="AT21" s="192">
        <f t="shared" si="14"/>
        <v>1.6579051166372377E-3</v>
      </c>
      <c r="AU21" s="193">
        <f t="shared" si="15"/>
        <v>1513.9326363084599</v>
      </c>
      <c r="AV21" s="193">
        <f t="shared" si="17"/>
        <v>1.6247381785881451E-3</v>
      </c>
      <c r="AW21" s="193">
        <f>AS21*Proposal!M21/AS$29</f>
        <v>1.6493778332393903E-3</v>
      </c>
      <c r="AX21" s="194">
        <f t="shared" si="22"/>
        <v>0.16923710734600889</v>
      </c>
      <c r="AY21" s="168">
        <f t="shared" ca="1" si="16"/>
        <v>1.6278658630259069E-3</v>
      </c>
      <c r="AZ21" s="168">
        <f t="shared" ca="1" si="18"/>
        <v>3.1220685122432487E-3</v>
      </c>
      <c r="BA21" s="168">
        <f t="shared" ca="1" si="19"/>
        <v>2.379103561660947E-3</v>
      </c>
      <c r="BB21" s="168">
        <f t="shared" ca="1" si="20"/>
        <v>-2.1468069543406962E-4</v>
      </c>
      <c r="BC21" s="168">
        <f t="shared" ca="1" si="21"/>
        <v>-2.1682005509009806E-3</v>
      </c>
      <c r="BD21" s="168"/>
      <c r="BE21" s="209">
        <f>Enter!B17</f>
        <v>35034</v>
      </c>
      <c r="BF21" s="209">
        <f>Enter!C17</f>
        <v>37221</v>
      </c>
      <c r="BG21" s="171"/>
    </row>
    <row r="22" spans="1:67" x14ac:dyDescent="0.25">
      <c r="A22" s="157">
        <f>Proposal!A22</f>
        <v>100</v>
      </c>
      <c r="B22" s="18" t="str">
        <f>Proposal!B22</f>
        <v>AAA/AAA</v>
      </c>
      <c r="C22" s="42" t="str">
        <f>Proposal!C22</f>
        <v>FRISCO TX CERT OBL</v>
      </c>
      <c r="D22" s="161">
        <f>Proposal!D22</f>
        <v>0.05</v>
      </c>
      <c r="E22" s="249">
        <f>Income!D21</f>
        <v>45703</v>
      </c>
      <c r="F22" s="211">
        <f>Proposal!BG22</f>
        <v>4.8999005639341064E-2</v>
      </c>
      <c r="G22" s="220">
        <f>Proposal!J22</f>
        <v>100.72799999999999</v>
      </c>
      <c r="H22" s="126">
        <f t="shared" si="0"/>
        <v>7.2271870064651527</v>
      </c>
      <c r="I22" s="127">
        <f t="shared" ca="1" si="1"/>
        <v>0.11863540634072889</v>
      </c>
      <c r="J22" s="127">
        <f t="shared" ca="1" si="2"/>
        <v>8.3121948962415981E-2</v>
      </c>
      <c r="K22" s="127">
        <f t="shared" ca="1" si="3"/>
        <v>4.9003225999313615E-2</v>
      </c>
      <c r="L22" s="127">
        <f t="shared" ca="1" si="4"/>
        <v>-8.7061161141325227E-3</v>
      </c>
      <c r="M22" s="127">
        <f t="shared" ca="1" si="5"/>
        <v>-6.7536470877354482E-2</v>
      </c>
      <c r="N22" s="18"/>
      <c r="O22" s="18"/>
      <c r="P22" s="18"/>
      <c r="Q22" s="18"/>
      <c r="S22" s="195">
        <f>MDURATION(BF22,Proposal!BH22,D22,F22,2,0)</f>
        <v>7.2271870064651527</v>
      </c>
      <c r="T22" s="168" t="b">
        <f t="shared" si="6"/>
        <v>0</v>
      </c>
      <c r="U22" s="196">
        <f t="shared" si="7"/>
        <v>5000</v>
      </c>
      <c r="V22" s="189"/>
      <c r="W22" s="198">
        <f ca="1">IF(Proposal!$F22=0,1000,IF(DAYS360(Summary!$B$5,Proposal!$F22)&lt;360,1000,PRICE($BF22+360,Proposal!$F22,$D22,$F22,Proposal!$G22,2,0)))</f>
        <v>100.66399694845886</v>
      </c>
      <c r="X22" s="194">
        <f>IF(Proposal!$H22=0,1000,IF(DAYS360(Summary!$B$5,Proposal!$H22)&lt;360,1000,PRICE($BF22+360,Proposal!$H22,$D22,$F22,100,2,0)))</f>
        <v>1000</v>
      </c>
      <c r="Y22" s="191">
        <f ca="1">IF($E22=0,1000,IF(DAYS360(Summary!$B$5,$E22)&lt;360,1000,PRICE($BF22+360,$E22,$D22,$F22,100,2,0)))</f>
        <v>101.33901423941096</v>
      </c>
      <c r="Z22" s="197">
        <f t="shared" ca="1" si="8"/>
        <v>4.9003225999313615E-2</v>
      </c>
      <c r="AA22" s="198">
        <f ca="1">IF(Proposal!$F22=0,1000,IF(DAYS360(Summary!$B$5,Proposal!$F22)&lt;360,1000,PRICE($BF22+360,Proposal!$F22,$D22,$F22+AA$4,Proposal!$G22,2,0)))</f>
        <v>107.67790720988893</v>
      </c>
      <c r="AB22" s="194">
        <f>IF(Proposal!$H22=0,1000,IF(DAYS360(Summary!$B$5,Proposal!$H22)&lt;360,1000,PRICE($BF22+360,Proposal!$H22,$D22,$F22+AA$4,100,2,0)))</f>
        <v>1000</v>
      </c>
      <c r="AC22" s="191">
        <f ca="1">IF($E22=0,1000,IF(DAYS360(Summary!$B$5,$E22)&lt;360,1000,PRICE($BF22+360,$E22,$D22,$F22+AA$4,100,2,0)))</f>
        <v>116.25052321604007</v>
      </c>
      <c r="AD22" s="169">
        <f t="shared" ca="1" si="9"/>
        <v>0.11863540634072889</v>
      </c>
      <c r="AE22" s="198">
        <f ca="1">IF(Proposal!$F22=0,1000,IF(DAYS360(Summary!$B$5,Proposal!$F22)&lt;360,1000,PRICE($BF22+360,Proposal!$F22,$D22,$F22+AE$4,Proposal!$G22,2,0)))</f>
        <v>104.10070767508626</v>
      </c>
      <c r="AF22" s="194">
        <f>IF(Proposal!$H22=0,1000,IF(DAYS360(Summary!$B$5,Proposal!$H22)&lt;360,1000,PRICE($BF22+360,Proposal!$H22,$D22,$F22+AE$4,100,2,0)))</f>
        <v>1000</v>
      </c>
      <c r="AG22" s="191">
        <f ca="1">IF($E22=0,1000,IF(DAYS360(Summary!$B$5,$E22)&lt;360,1000,PRICE($BF22+360,$E22,$D22,$F22+AE$4,100,2,0)))</f>
        <v>108.44965286224286</v>
      </c>
      <c r="AH22" s="169">
        <f t="shared" ca="1" si="10"/>
        <v>8.3121948962415981E-2</v>
      </c>
      <c r="AI22" s="198">
        <f ca="1">IF(Proposal!$F22=0,1000,IF(DAYS360(Summary!$B$5,Proposal!$F22)&lt;360,1000,PRICE($BF22+360,Proposal!$F22,$D22,$F22+AI$4,Proposal!$G22,2,0)))</f>
        <v>97.361773276563426</v>
      </c>
      <c r="AJ22" s="194">
        <f>IF(Proposal!$H22=0,1000,IF(DAYS360(Summary!$B$5,Proposal!$H22)&lt;360,1000,PRICE($BF22+360,Proposal!$H22,$D22,$F22+AI$4,100,2,0)))</f>
        <v>1000</v>
      </c>
      <c r="AK22" s="191">
        <f ca="1">IF($E22=0,1000,IF(DAYS360(Summary!$B$5,$E22)&lt;360,1000,PRICE($BF22+360,$E22,$D22,$F22+AI$4,100,2,0)))</f>
        <v>94.851050336055664</v>
      </c>
      <c r="AL22" s="169">
        <f t="shared" ca="1" si="11"/>
        <v>-8.7061161141325227E-3</v>
      </c>
      <c r="AM22" s="198">
        <f ca="1">IF(Proposal!$F22=0,1000,IF(DAYS360(Summary!$B$5,Proposal!$F22)&lt;360,1000,PRICE($BF22+360,Proposal!$F22,$D22,$F22+AM$4,Proposal!$G22,2,0)))</f>
        <v>94.188307983415783</v>
      </c>
      <c r="AN22" s="194">
        <f>IF(Proposal!$H22=0,1000,IF(DAYS360(Summary!$B$5,Proposal!$H22)&lt;360,1000,PRICE($BF22+360,Proposal!$H22,$D22,$F22+AM$4,100,2,0)))</f>
        <v>1000</v>
      </c>
      <c r="AO22" s="191">
        <f ca="1">IF($E22=0,1000,IF(DAYS360(Summary!$B$5,$E22)&lt;360,1000,PRICE($BF22+360,$E22,$D22,$F22+AM$4,100,2,0)))</f>
        <v>88.925186361465848</v>
      </c>
      <c r="AP22" s="169">
        <f t="shared" ca="1" si="12"/>
        <v>-6.7536470877354482E-2</v>
      </c>
      <c r="AQ22" s="168"/>
      <c r="AR22" s="168"/>
      <c r="AS22" s="189">
        <f t="shared" si="13"/>
        <v>100728</v>
      </c>
      <c r="AT22" s="192">
        <f t="shared" si="14"/>
        <v>1.6613853038653732E-3</v>
      </c>
      <c r="AU22" s="193">
        <f t="shared" si="15"/>
        <v>1518.6058508511828</v>
      </c>
      <c r="AV22" s="193">
        <f t="shared" si="17"/>
        <v>1.6281245574643558E-3</v>
      </c>
      <c r="AW22" s="193">
        <f>AS22*Proposal!M22/AS$29</f>
        <v>1.6493778332393905E-3</v>
      </c>
      <c r="AX22" s="194">
        <f t="shared" si="22"/>
        <v>0.24014284561655966</v>
      </c>
      <c r="AY22" s="168">
        <f t="shared" ca="1" si="16"/>
        <v>1.6280141528011167E-3</v>
      </c>
      <c r="AZ22" s="168">
        <f t="shared" ca="1" si="18"/>
        <v>3.9413756259378367E-3</v>
      </c>
      <c r="BA22" s="168">
        <f t="shared" ca="1" si="19"/>
        <v>2.76152654360186E-3</v>
      </c>
      <c r="BB22" s="168">
        <f t="shared" ca="1" si="20"/>
        <v>-2.8923973801104729E-4</v>
      </c>
      <c r="BC22" s="168">
        <f t="shared" ca="1" si="21"/>
        <v>-2.2437365739984877E-3</v>
      </c>
      <c r="BD22" s="168"/>
      <c r="BE22" s="209">
        <f>Enter!B18</f>
        <v>37165</v>
      </c>
      <c r="BF22" s="209">
        <f>Enter!C18</f>
        <v>37221</v>
      </c>
      <c r="BG22" s="171"/>
    </row>
    <row r="23" spans="1:67" x14ac:dyDescent="0.25">
      <c r="A23" s="157">
        <f>Proposal!A23</f>
        <v>200</v>
      </c>
      <c r="B23" s="18" t="str">
        <f>Proposal!B23</f>
        <v>AAA/AAA</v>
      </c>
      <c r="C23" s="42" t="str">
        <f>Proposal!C23</f>
        <v>SEATTLE WASH WTR</v>
      </c>
      <c r="D23" s="161">
        <f>Proposal!D23</f>
        <v>0.05</v>
      </c>
      <c r="E23" s="249">
        <f>Income!D22</f>
        <v>46327</v>
      </c>
      <c r="F23" s="211">
        <f>Proposal!BG23</f>
        <v>4.8816563893446817E-2</v>
      </c>
      <c r="G23" s="220">
        <f>Proposal!J23</f>
        <v>100.919</v>
      </c>
      <c r="H23" s="126">
        <f t="shared" si="0"/>
        <v>7.7420145412735799</v>
      </c>
      <c r="I23" s="127">
        <f t="shared" ca="1" si="1"/>
        <v>0.12348466225927868</v>
      </c>
      <c r="J23" s="127">
        <f t="shared" ca="1" si="2"/>
        <v>8.5351390149932982E-2</v>
      </c>
      <c r="K23" s="127">
        <f t="shared" ca="1" si="3"/>
        <v>4.882610560782541E-2</v>
      </c>
      <c r="L23" s="127">
        <f t="shared" ca="1" si="4"/>
        <v>-1.016262000186885E-2</v>
      </c>
      <c r="M23" s="127">
        <f t="shared" ca="1" si="5"/>
        <v>-7.1061665333141844E-2</v>
      </c>
      <c r="N23" s="18"/>
      <c r="O23" s="18"/>
      <c r="P23" s="18"/>
      <c r="Q23" s="18"/>
      <c r="S23" s="195">
        <f>MDURATION(BF23,Proposal!BH23,D23,F23,2,0)</f>
        <v>7.7420145412735799</v>
      </c>
      <c r="T23" s="168" t="b">
        <f t="shared" si="6"/>
        <v>0</v>
      </c>
      <c r="U23" s="196">
        <f t="shared" si="7"/>
        <v>10000</v>
      </c>
      <c r="V23" s="189"/>
      <c r="W23" s="198">
        <f ca="1">IF(Proposal!$F23=0,1000,IF(DAYS360(Summary!$B$5,Proposal!$F23)&lt;360,1000,PRICE($BF23+360,Proposal!$F23,$D23,$F23,Proposal!$G23,2,0)))</f>
        <v>100.84648175183612</v>
      </c>
      <c r="X23" s="194">
        <f>IF(Proposal!$H23=0,1000,IF(DAYS360(Summary!$B$5,Proposal!$H23)&lt;360,1000,PRICE($BF23+360,Proposal!$H23,$D23,$F23,100,2,0)))</f>
        <v>1000</v>
      </c>
      <c r="Y23" s="191">
        <f ca="1">IF($E23=0,1000,IF(DAYS360(Summary!$B$5,$E23)&lt;360,1000,PRICE($BF23+360,$E23,$D23,$F23,100,2,0)))</f>
        <v>101.65738875032818</v>
      </c>
      <c r="Z23" s="197">
        <f t="shared" ca="1" si="8"/>
        <v>4.882610560782541E-2</v>
      </c>
      <c r="AA23" s="198">
        <f ca="1">IF(Proposal!$F23=0,1000,IF(DAYS360(Summary!$B$5,Proposal!$F23)&lt;360,1000,PRICE($BF23+360,Proposal!$F23,$D23,$F23+AA$4,Proposal!$G23,2,0)))</f>
        <v>108.38094863054414</v>
      </c>
      <c r="AB23" s="194">
        <f>IF(Proposal!$H23=0,1000,IF(DAYS360(Summary!$B$5,Proposal!$H23)&lt;360,1000,PRICE($BF23+360,Proposal!$H23,$D23,$F23+AA$4,100,2,0)))</f>
        <v>1000</v>
      </c>
      <c r="AC23" s="191">
        <f ca="1">IF($E23=0,1000,IF(DAYS360(Summary!$B$5,$E23)&lt;360,1000,PRICE($BF23+360,$E23,$D23,$F23+AA$4,100,2,0)))</f>
        <v>117.33305443829772</v>
      </c>
      <c r="AD23" s="169">
        <f t="shared" ca="1" si="9"/>
        <v>0.12348466225927868</v>
      </c>
      <c r="AE23" s="198">
        <f ca="1">IF(Proposal!$F23=0,1000,IF(DAYS360(Summary!$B$5,Proposal!$F23)&lt;360,1000,PRICE($BF23+360,Proposal!$F23,$D23,$F23+AE$4,Proposal!$G23,2,0)))</f>
        <v>104.53257694254108</v>
      </c>
      <c r="AF23" s="194">
        <f>IF(Proposal!$H23=0,1000,IF(DAYS360(Summary!$B$5,Proposal!$H23)&lt;360,1000,PRICE($BF23+360,Proposal!$H23,$D23,$F23+AE$4,100,2,0)))</f>
        <v>1000</v>
      </c>
      <c r="AG23" s="191">
        <f ca="1">IF($E23=0,1000,IF(DAYS360(Summary!$B$5,$E23)&lt;360,1000,PRICE($BF23+360,$E23,$D23,$F23+AE$4,100,2,0)))</f>
        <v>109.11063543124891</v>
      </c>
      <c r="AH23" s="169">
        <f t="shared" ca="1" si="10"/>
        <v>8.5351390149932982E-2</v>
      </c>
      <c r="AI23" s="198">
        <f ca="1">IF(Proposal!$F23=0,1000,IF(DAYS360(Summary!$B$5,Proposal!$F23)&lt;360,1000,PRICE($BF23+360,Proposal!$F23,$D23,$F23+AI$4,Proposal!$G23,2,0)))</f>
        <v>97.315230865774765</v>
      </c>
      <c r="AJ23" s="194">
        <f>IF(Proposal!$H23=0,1000,IF(DAYS360(Summary!$B$5,Proposal!$H23)&lt;360,1000,PRICE($BF23+360,Proposal!$H23,$D23,$F23+AI$4,100,2,0)))</f>
        <v>1000</v>
      </c>
      <c r="AK23" s="191">
        <f ca="1">IF($E23=0,1000,IF(DAYS360(Summary!$B$5,$E23)&lt;360,1000,PRICE($BF23+360,$E23,$D23,$F23+AI$4,100,2,0)))</f>
        <v>94.893398552031385</v>
      </c>
      <c r="AL23" s="169">
        <f t="shared" ca="1" si="11"/>
        <v>-1.016262000186885E-2</v>
      </c>
      <c r="AM23" s="198">
        <f ca="1">IF(Proposal!$F23=0,1000,IF(DAYS360(Summary!$B$5,Proposal!$F23)&lt;360,1000,PRICE($BF23+360,Proposal!$F23,$D23,$F23+AM$4,Proposal!$G23,2,0)))</f>
        <v>93.931753710480535</v>
      </c>
      <c r="AN23" s="194">
        <f>IF(Proposal!$H23=0,1000,IF(DAYS360(Summary!$B$5,Proposal!$H23)&lt;360,1000,PRICE($BF23+360,Proposal!$H23,$D23,$F23+AM$4,100,2,0)))</f>
        <v>1000</v>
      </c>
      <c r="AO23" s="191">
        <f ca="1">IF($E23=0,1000,IF(DAYS360(Summary!$B$5,$E23)&lt;360,1000,PRICE($BF23+360,$E23,$D23,$F23+AM$4,100,2,0)))</f>
        <v>88.74752779624464</v>
      </c>
      <c r="AP23" s="169">
        <f t="shared" ca="1" si="12"/>
        <v>-7.1061665333141844E-2</v>
      </c>
      <c r="AQ23" s="168"/>
      <c r="AR23" s="168"/>
      <c r="AS23" s="189">
        <f t="shared" si="13"/>
        <v>201838</v>
      </c>
      <c r="AT23" s="192">
        <f t="shared" si="14"/>
        <v>3.3290712310537207E-3</v>
      </c>
      <c r="AU23" s="193">
        <f t="shared" si="15"/>
        <v>3084.5176584205142</v>
      </c>
      <c r="AV23" s="193">
        <f t="shared" si="17"/>
        <v>3.2502763691313915E-3</v>
      </c>
      <c r="AW23" s="193">
        <f>AS23*Proposal!M23/AS$29</f>
        <v>3.2987556664787806E-3</v>
      </c>
      <c r="AX23" s="194">
        <f t="shared" si="22"/>
        <v>0.51547435759506877</v>
      </c>
      <c r="AY23" s="168">
        <f t="shared" ca="1" si="16"/>
        <v>3.2442595088256086E-3</v>
      </c>
      <c r="AZ23" s="168">
        <f t="shared" ca="1" si="18"/>
        <v>8.2049609474603782E-3</v>
      </c>
      <c r="BA23" s="168">
        <f t="shared" ca="1" si="19"/>
        <v>5.6711887142812615E-3</v>
      </c>
      <c r="BB23" s="168">
        <f t="shared" ca="1" si="20"/>
        <v>-6.7525714298131891E-4</v>
      </c>
      <c r="BC23" s="168">
        <f t="shared" ca="1" si="21"/>
        <v>-4.7217053377502883E-3</v>
      </c>
      <c r="BD23" s="168"/>
      <c r="BE23" s="209">
        <f>Enter!B19</f>
        <v>37196</v>
      </c>
      <c r="BF23" s="209">
        <f>Enter!C19</f>
        <v>37221</v>
      </c>
      <c r="BG23" s="171"/>
    </row>
    <row r="24" spans="1:67" x14ac:dyDescent="0.25">
      <c r="A24" s="157">
        <f>Proposal!A24</f>
        <v>200</v>
      </c>
      <c r="B24" s="18" t="str">
        <f>Proposal!B24</f>
        <v>AAA/AAA</v>
      </c>
      <c r="C24" s="42" t="str">
        <f>Proposal!C24</f>
        <v>SAN ANTONIO ISD</v>
      </c>
      <c r="D24" s="161">
        <f>Proposal!D24</f>
        <v>0.05</v>
      </c>
      <c r="E24" s="249">
        <f>Income!D23</f>
        <v>46614</v>
      </c>
      <c r="F24" s="211">
        <f>Proposal!BG24</f>
        <v>4.8996896735357405E-2</v>
      </c>
      <c r="G24" s="220">
        <f>Proposal!J24</f>
        <v>100.56100000000001</v>
      </c>
      <c r="H24" s="126">
        <f t="shared" si="0"/>
        <v>5.577945885475506</v>
      </c>
      <c r="I24" s="127">
        <f t="shared" ca="1" si="1"/>
        <v>9.9813583516443094E-2</v>
      </c>
      <c r="J24" s="127">
        <f t="shared" ca="1" si="2"/>
        <v>7.4036582991148459E-2</v>
      </c>
      <c r="K24" s="127">
        <f t="shared" ca="1" si="3"/>
        <v>4.9001303462048895E-2</v>
      </c>
      <c r="L24" s="127">
        <f t="shared" ca="1" si="4"/>
        <v>-9.8416715889038109E-3</v>
      </c>
      <c r="M24" s="127">
        <f t="shared" ca="1" si="5"/>
        <v>-7.1596290488566305E-2</v>
      </c>
      <c r="N24" s="18"/>
      <c r="O24" s="18"/>
      <c r="P24" s="18"/>
      <c r="Q24" s="18"/>
      <c r="S24" s="195">
        <f>MDURATION(BF24,Proposal!BH24,D24,F24,2,0)</f>
        <v>5.577945885475506</v>
      </c>
      <c r="T24" s="168" t="b">
        <f t="shared" si="6"/>
        <v>0</v>
      </c>
      <c r="U24" s="196">
        <f t="shared" si="7"/>
        <v>10000</v>
      </c>
      <c r="V24" s="189"/>
      <c r="W24" s="198">
        <f ca="1">IF(Proposal!$F24=0,1000,IF(DAYS360(Summary!$B$5,Proposal!$F24)&lt;360,1000,PRICE($BF24+360,Proposal!$F24,$D24,$F24,Proposal!$G24,2,0)))</f>
        <v>100.48862007744708</v>
      </c>
      <c r="X24" s="194">
        <f>IF(Proposal!$H24=0,1000,IF(DAYS360(Summary!$B$5,Proposal!$H24)&lt;360,1000,PRICE($BF24+360,Proposal!$H24,$D24,$F24,100,2,0)))</f>
        <v>1000</v>
      </c>
      <c r="Y24" s="191">
        <f ca="1">IF($E24=0,1000,IF(DAYS360(Summary!$B$5,$E24)&lt;360,1000,PRICE($BF24+360,$E24,$D24,$F24,100,2,0)))</f>
        <v>101.42142088265615</v>
      </c>
      <c r="Z24" s="197">
        <f t="shared" ca="1" si="8"/>
        <v>4.9001303462048895E-2</v>
      </c>
      <c r="AA24" s="198">
        <f ca="1">IF(Proposal!$F24=0,1000,IF(DAYS360(Summary!$B$5,Proposal!$F24)&lt;360,1000,PRICE($BF24+360,Proposal!$F24,$D24,$F24+AA$4,Proposal!$G24,2,0)))</f>
        <v>105.59835377199703</v>
      </c>
      <c r="AB24" s="194">
        <f>IF(Proposal!$H24=0,1000,IF(DAYS360(Summary!$B$5,Proposal!$H24)&lt;360,1000,PRICE($BF24+360,Proposal!$H24,$D24,$F24+AA$4,100,2,0)))</f>
        <v>1000</v>
      </c>
      <c r="AC24" s="191">
        <f ca="1">IF($E24=0,1000,IF(DAYS360(Summary!$B$5,$E24)&lt;360,1000,PRICE($BF24+360,$E24,$D24,$F24+AA$4,100,2,0)))</f>
        <v>117.35432905219271</v>
      </c>
      <c r="AD24" s="169">
        <f t="shared" ca="1" si="9"/>
        <v>9.9813583516443094E-2</v>
      </c>
      <c r="AE24" s="198">
        <f ca="1">IF(Proposal!$F24=0,1000,IF(DAYS360(Summary!$B$5,Proposal!$F24)&lt;360,1000,PRICE($BF24+360,Proposal!$F24,$D24,$F24+AE$4,Proposal!$G24,2,0)))</f>
        <v>103.00619282217288</v>
      </c>
      <c r="AF24" s="194">
        <f>IF(Proposal!$H24=0,1000,IF(DAYS360(Summary!$B$5,Proposal!$H24)&lt;360,1000,PRICE($BF24+360,Proposal!$H24,$D24,$F24+AE$4,100,2,0)))</f>
        <v>1000</v>
      </c>
      <c r="AG24" s="191">
        <f ca="1">IF($E24=0,1000,IF(DAYS360(Summary!$B$5,$E24)&lt;360,1000,PRICE($BF24+360,$E24,$D24,$F24+AE$4,100,2,0)))</f>
        <v>108.98729569044683</v>
      </c>
      <c r="AH24" s="169">
        <f t="shared" ca="1" si="10"/>
        <v>7.4036582991148459E-2</v>
      </c>
      <c r="AI24" s="198">
        <f ca="1">IF(Proposal!$F24=0,1000,IF(DAYS360(Summary!$B$5,Proposal!$F24)&lt;360,1000,PRICE($BF24+360,Proposal!$F24,$D24,$F24+AI$4,Proposal!$G24,2,0)))</f>
        <v>98.043273133018985</v>
      </c>
      <c r="AJ24" s="194">
        <f>IF(Proposal!$H24=0,1000,IF(DAYS360(Summary!$B$5,Proposal!$H24)&lt;360,1000,PRICE($BF24+360,Proposal!$H24,$D24,$F24+AI$4,100,2,0)))</f>
        <v>1000</v>
      </c>
      <c r="AK24" s="191">
        <f ca="1">IF($E24=0,1000,IF(DAYS360(Summary!$B$5,$E24)&lt;360,1000,PRICE($BF24+360,$E24,$D24,$F24+AI$4,100,2,0)))</f>
        <v>94.57131166334824</v>
      </c>
      <c r="AL24" s="169">
        <f t="shared" ca="1" si="11"/>
        <v>-9.8416715889038109E-3</v>
      </c>
      <c r="AM24" s="198">
        <f ca="1">IF(Proposal!$F24=0,1000,IF(DAYS360(Summary!$B$5,Proposal!$F24)&lt;360,1000,PRICE($BF24+360,Proposal!$F24,$D24,$F24+AM$4,Proposal!$G24,2,0)))</f>
        <v>95.667870462986585</v>
      </c>
      <c r="AN24" s="194">
        <f>IF(Proposal!$H24=0,1000,IF(DAYS360(Summary!$B$5,Proposal!$H24)&lt;360,1000,PRICE($BF24+360,Proposal!$H24,$D24,$F24+AM$4,100,2,0)))</f>
        <v>1000</v>
      </c>
      <c r="AO24" s="191">
        <f ca="1">IF($E24=0,1000,IF(DAYS360(Summary!$B$5,$E24)&lt;360,1000,PRICE($BF24+360,$E24,$D24,$F24+AM$4,100,2,0)))</f>
        <v>88.36120543217929</v>
      </c>
      <c r="AP24" s="169">
        <f t="shared" ca="1" si="12"/>
        <v>-7.1596290488566305E-2</v>
      </c>
      <c r="AQ24" s="168"/>
      <c r="AR24" s="168"/>
      <c r="AS24" s="189">
        <f t="shared" si="13"/>
        <v>201122</v>
      </c>
      <c r="AT24" s="192">
        <f t="shared" si="14"/>
        <v>3.3172616857677266E-3</v>
      </c>
      <c r="AU24" s="193">
        <f t="shared" si="15"/>
        <v>3092.6167244075359</v>
      </c>
      <c r="AV24" s="193">
        <f t="shared" si="17"/>
        <v>3.2507105652343784E-3</v>
      </c>
      <c r="AW24" s="193">
        <f>AS24*Proposal!M24/AS$29</f>
        <v>3.2987556664787806E-3</v>
      </c>
      <c r="AX24" s="194">
        <f t="shared" si="22"/>
        <v>0.37007012342347262</v>
      </c>
      <c r="AY24" s="168">
        <f t="shared" ca="1" si="16"/>
        <v>3.255900562262385E-3</v>
      </c>
      <c r="AZ24" s="168">
        <f t="shared" ca="1" si="18"/>
        <v>6.6321317951124987E-3</v>
      </c>
      <c r="BA24" s="168">
        <f t="shared" ca="1" si="19"/>
        <v>4.9193742851261438E-3</v>
      </c>
      <c r="BB24" s="168">
        <f t="shared" ca="1" si="20"/>
        <v>-6.5393166703679804E-4</v>
      </c>
      <c r="BC24" s="168">
        <f t="shared" ca="1" si="21"/>
        <v>-4.7572286038914486E-3</v>
      </c>
      <c r="BD24" s="168"/>
      <c r="BE24" s="209">
        <f>Enter!B20</f>
        <v>35735</v>
      </c>
      <c r="BF24" s="209">
        <f>Enter!C20</f>
        <v>37221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3031446.1</v>
      </c>
      <c r="AT29" s="208">
        <f>SUM(AT7:AT28)</f>
        <v>4.5456242608107066E-2</v>
      </c>
      <c r="AU29" s="209">
        <f>INT(SUM(AU7:AU28))</f>
        <v>42169</v>
      </c>
      <c r="AV29" s="208">
        <f>SUM(AV7:AV28)</f>
        <v>3.925242620796477E-2</v>
      </c>
      <c r="AW29" s="208">
        <f>SUM(AW7:AW28)</f>
        <v>4.4871323953277614E-2</v>
      </c>
      <c r="AX29" s="194">
        <f t="shared" ref="AX29:BC29" si="23">SUM(AX7:AX28)</f>
        <v>5.805543265306266</v>
      </c>
      <c r="AY29" s="208">
        <f t="shared" ca="1" si="23"/>
        <v>3.6741780502012253E-2</v>
      </c>
      <c r="AZ29" s="208">
        <f t="shared" ca="1" si="23"/>
        <v>8.4055748647894266E-2</v>
      </c>
      <c r="BA29" s="208">
        <f t="shared" ca="1" si="23"/>
        <v>6.0990283580152009E-2</v>
      </c>
      <c r="BB29" s="208">
        <f t="shared" ca="1" si="23"/>
        <v>1.2409037606032495E-3</v>
      </c>
      <c r="BC29" s="208">
        <f t="shared" ca="1" si="23"/>
        <v>-3.5582097786387545E-2</v>
      </c>
      <c r="BD29" s="168"/>
      <c r="BE29" s="168"/>
      <c r="BF29" s="168"/>
      <c r="BG29" s="171"/>
    </row>
    <row r="30" spans="1:67" x14ac:dyDescent="0.25">
      <c r="A30" s="223">
        <f>SUM(A7:A29)</f>
        <v>3010</v>
      </c>
      <c r="B30" s="143"/>
      <c r="C30" s="143"/>
      <c r="D30" s="211">
        <f>AT29</f>
        <v>4.5456242608107066E-2</v>
      </c>
      <c r="E30" s="254">
        <f>AU29</f>
        <v>42169</v>
      </c>
      <c r="F30" s="211">
        <f>AV29</f>
        <v>3.925242620796477E-2</v>
      </c>
      <c r="G30" s="220"/>
      <c r="H30" s="219">
        <f>AX29</f>
        <v>5.805543265306266</v>
      </c>
      <c r="I30" s="127">
        <f ca="1">AZ29</f>
        <v>8.4055748647894266E-2</v>
      </c>
      <c r="J30" s="127">
        <f ca="1">BA29</f>
        <v>6.0990283580152009E-2</v>
      </c>
      <c r="K30" s="127">
        <f ca="1">AY29</f>
        <v>3.6741780502012253E-2</v>
      </c>
      <c r="L30" s="127">
        <f ca="1">BB29</f>
        <v>1.2409037606032495E-3</v>
      </c>
      <c r="M30" s="127">
        <f ca="1">BC29</f>
        <v>-3.5582097786387545E-2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37221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Scott Neal Combined Muni Port</v>
      </c>
      <c r="B4" s="374">
        <f ca="1">NOW()</f>
        <v>37215.438395138888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50</v>
      </c>
      <c r="E5" s="279" t="str">
        <f>Proposal!B7</f>
        <v>AAA/AAA</v>
      </c>
      <c r="F5" s="280" t="str">
        <f>Proposal!C7</f>
        <v>ALBUQUERQUE NM</v>
      </c>
      <c r="G5" s="281">
        <f>Proposal!D7</f>
        <v>5.7500000000000002E-2</v>
      </c>
      <c r="H5" s="282">
        <f>Proposal!E7</f>
        <v>41091</v>
      </c>
      <c r="I5" s="282">
        <f>Proposal!F7</f>
        <v>37438</v>
      </c>
      <c r="J5" s="283">
        <f>Proposal!G7</f>
        <v>102</v>
      </c>
      <c r="K5" s="282">
        <f>Proposal!H7</f>
        <v>0</v>
      </c>
      <c r="L5" s="284" t="str">
        <f>Proposal!I7</f>
        <v>Y=Yes</v>
      </c>
      <c r="M5" s="284">
        <f>Proposal!J7</f>
        <v>104.042</v>
      </c>
      <c r="N5" s="285">
        <f>Proposal!K7</f>
        <v>2.2850258293493412E-2</v>
      </c>
      <c r="O5" s="285">
        <f>Proposal!L7</f>
        <v>0</v>
      </c>
      <c r="P5" s="286">
        <f>Proposal!M7</f>
        <v>5.5266142519367172E-2</v>
      </c>
      <c r="Q5" s="285">
        <f>Proposal!N7</f>
        <v>3.5143697255392868E-2</v>
      </c>
    </row>
    <row r="6" spans="1:17" ht="16.5" x14ac:dyDescent="0.25">
      <c r="C6" s="288"/>
      <c r="D6" s="289">
        <f>Proposal!A8</f>
        <v>250</v>
      </c>
      <c r="E6" s="290" t="str">
        <f>Proposal!B8</f>
        <v xml:space="preserve">AAA/ </v>
      </c>
      <c r="F6" s="291" t="str">
        <f>Proposal!C8</f>
        <v>MIDWAY TX ISD PSF</v>
      </c>
      <c r="G6" s="292">
        <f>Proposal!D8</f>
        <v>6.1249999999999999E-2</v>
      </c>
      <c r="H6" s="293">
        <f>Proposal!E8</f>
        <v>39661</v>
      </c>
      <c r="I6" s="293">
        <f>Proposal!F8</f>
        <v>37469</v>
      </c>
      <c r="J6" s="294">
        <f>Proposal!G8</f>
        <v>100</v>
      </c>
      <c r="K6" s="293">
        <f>Proposal!H8</f>
        <v>0</v>
      </c>
      <c r="L6" s="295" t="str">
        <f>Proposal!I8</f>
        <v>Y=Yes</v>
      </c>
      <c r="M6" s="296">
        <f>Proposal!J8</f>
        <v>102.633</v>
      </c>
      <c r="N6" s="285">
        <f>Proposal!K8</f>
        <v>2.2459241045704379E-2</v>
      </c>
      <c r="O6" s="285">
        <f>Proposal!L8</f>
        <v>0</v>
      </c>
      <c r="P6" s="285">
        <f>Proposal!M8</f>
        <v>5.9678660859567585E-2</v>
      </c>
      <c r="Q6" s="285">
        <f>Proposal!N8</f>
        <v>3.4542312728293334E-2</v>
      </c>
    </row>
    <row r="7" spans="1:17" ht="16.5" x14ac:dyDescent="0.25">
      <c r="A7" s="320"/>
      <c r="C7" s="288"/>
      <c r="D7" s="289">
        <f>Proposal!A9</f>
        <v>50</v>
      </c>
      <c r="E7" s="290" t="str">
        <f>Proposal!B9</f>
        <v>AAA/AAA</v>
      </c>
      <c r="F7" s="291" t="str">
        <f>Proposal!C9</f>
        <v>JACKSONVILLE FLA</v>
      </c>
      <c r="G7" s="292">
        <f>Proposal!D9</f>
        <v>4.3749999999999997E-2</v>
      </c>
      <c r="H7" s="293">
        <f>Proposal!E9</f>
        <v>37530</v>
      </c>
      <c r="I7" s="293">
        <f>Proposal!F9</f>
        <v>0</v>
      </c>
      <c r="J7" s="294">
        <f>Proposal!G9</f>
        <v>0</v>
      </c>
      <c r="K7" s="293">
        <f>Proposal!H9</f>
        <v>0</v>
      </c>
      <c r="L7" s="295">
        <f>Proposal!I9</f>
        <v>0</v>
      </c>
      <c r="M7" s="296">
        <f>Proposal!J9</f>
        <v>101.91800000000001</v>
      </c>
      <c r="N7" s="285">
        <f>Proposal!K9</f>
        <v>0</v>
      </c>
      <c r="O7" s="285">
        <f>Proposal!L9</f>
        <v>2.0984787320972816E-2</v>
      </c>
      <c r="P7" s="285">
        <f>Proposal!M9</f>
        <v>4.2926666535842539E-2</v>
      </c>
      <c r="Q7" s="285">
        <f>Proposal!N9</f>
        <v>3.2274602899656189E-2</v>
      </c>
    </row>
    <row r="8" spans="1:17" ht="16.5" x14ac:dyDescent="0.25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UTAH STATE</v>
      </c>
      <c r="G8" s="292">
        <f>Proposal!D10</f>
        <v>0.05</v>
      </c>
      <c r="H8" s="293">
        <f>Proposal!E10</f>
        <v>37803</v>
      </c>
      <c r="I8" s="293">
        <f>Proposal!F10</f>
        <v>0</v>
      </c>
      <c r="J8" s="294">
        <f>Proposal!G10</f>
        <v>0</v>
      </c>
      <c r="K8" s="293">
        <f>Proposal!H10</f>
        <v>0</v>
      </c>
      <c r="L8" s="295">
        <f>Proposal!I10</f>
        <v>0</v>
      </c>
      <c r="M8" s="296">
        <f>Proposal!J10</f>
        <v>104.229</v>
      </c>
      <c r="N8" s="285">
        <f>Proposal!K10</f>
        <v>0</v>
      </c>
      <c r="O8" s="285">
        <f>Proposal!L10</f>
        <v>2.3004402102250725E-2</v>
      </c>
      <c r="P8" s="285">
        <f>Proposal!M10</f>
        <v>4.7971293977683759E-2</v>
      </c>
      <c r="Q8" s="285">
        <f>Proposal!N10</f>
        <v>3.538077043326162E-2</v>
      </c>
    </row>
    <row r="9" spans="1:17" ht="19.5" x14ac:dyDescent="0.3">
      <c r="A9" s="381" t="s">
        <v>143</v>
      </c>
      <c r="B9" s="381"/>
      <c r="C9" s="277"/>
      <c r="D9" s="289">
        <f>Proposal!A11</f>
        <v>300</v>
      </c>
      <c r="E9" s="290" t="str">
        <f>Proposal!B11</f>
        <v>AAA/AAA</v>
      </c>
      <c r="F9" s="291" t="str">
        <f>Proposal!C11</f>
        <v>BUCKS CO PA</v>
      </c>
      <c r="G9" s="292">
        <f>Proposal!D11</f>
        <v>4.65E-2</v>
      </c>
      <c r="H9" s="293">
        <f>Proposal!E11</f>
        <v>37848</v>
      </c>
      <c r="I9" s="293">
        <f>Proposal!F11</f>
        <v>0</v>
      </c>
      <c r="J9" s="294">
        <f>Proposal!G11</f>
        <v>0</v>
      </c>
      <c r="K9" s="293">
        <f>Proposal!H11</f>
        <v>0</v>
      </c>
      <c r="L9" s="295">
        <f>Proposal!I11</f>
        <v>0</v>
      </c>
      <c r="M9" s="296">
        <f>Proposal!J11</f>
        <v>104.123</v>
      </c>
      <c r="N9" s="285">
        <f>Proposal!K11</f>
        <v>0</v>
      </c>
      <c r="O9" s="285">
        <f>Proposal!L11</f>
        <v>2.2030042257806609E-2</v>
      </c>
      <c r="P9" s="285">
        <f>Proposal!M11</f>
        <v>4.4658720935816291E-2</v>
      </c>
      <c r="Q9" s="285">
        <f>Proposal!N11</f>
        <v>3.3882204992506562E-2</v>
      </c>
    </row>
    <row r="10" spans="1:17" ht="16.5" x14ac:dyDescent="0.25">
      <c r="C10" s="277"/>
      <c r="D10" s="289">
        <f>Proposal!A12</f>
        <v>50</v>
      </c>
      <c r="E10" s="290" t="str">
        <f>Proposal!B12</f>
        <v>AAA/AAA</v>
      </c>
      <c r="F10" s="291" t="str">
        <f>Proposal!C12</f>
        <v>CLEVELAND OHIO</v>
      </c>
      <c r="G10" s="292">
        <f>Proposal!D12</f>
        <v>0.05</v>
      </c>
      <c r="H10" s="293">
        <f>Proposal!E12</f>
        <v>37865</v>
      </c>
      <c r="I10" s="293">
        <f>Proposal!F12</f>
        <v>0</v>
      </c>
      <c r="J10" s="294">
        <f>Proposal!G12</f>
        <v>0</v>
      </c>
      <c r="K10" s="293">
        <f>Proposal!H12</f>
        <v>0</v>
      </c>
      <c r="L10" s="295">
        <f>Proposal!I12</f>
        <v>0</v>
      </c>
      <c r="M10" s="296">
        <f>Proposal!J12</f>
        <v>104.47499999999999</v>
      </c>
      <c r="N10" s="285">
        <f>Proposal!K12</f>
        <v>0</v>
      </c>
      <c r="O10" s="285">
        <f>Proposal!L12</f>
        <v>2.403475432546771E-2</v>
      </c>
      <c r="P10" s="285">
        <f>Proposal!M12</f>
        <v>4.7858339315625754E-2</v>
      </c>
      <c r="Q10" s="285">
        <f>Proposal!N12</f>
        <v>3.6965452152569342E-2</v>
      </c>
    </row>
    <row r="11" spans="1:17" ht="16.5" x14ac:dyDescent="0.25">
      <c r="A11" s="275" t="str">
        <f>Summary!A11</f>
        <v xml:space="preserve">Par Amount </v>
      </c>
      <c r="B11" s="276">
        <f>Summary!B11</f>
        <v>3010000</v>
      </c>
      <c r="C11" s="277"/>
      <c r="D11" s="289">
        <f>Proposal!A13</f>
        <v>260</v>
      </c>
      <c r="E11" s="290" t="str">
        <f>Proposal!B13</f>
        <v>AA3/AA</v>
      </c>
      <c r="F11" s="291" t="str">
        <f>Proposal!C13</f>
        <v>DELAWARE CO PA</v>
      </c>
      <c r="G11" s="292">
        <f>Proposal!D13</f>
        <v>0</v>
      </c>
      <c r="H11" s="293">
        <f>Proposal!E13</f>
        <v>37940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95.126000000000005</v>
      </c>
      <c r="N11" s="285">
        <f>Proposal!K13</f>
        <v>0</v>
      </c>
      <c r="O11" s="285">
        <f>Proposal!L13</f>
        <v>2.5424896619596914E-2</v>
      </c>
      <c r="P11" s="285">
        <f>Proposal!M13</f>
        <v>0</v>
      </c>
      <c r="Q11" s="285">
        <f>Proposal!N13</f>
        <v>3.9103491000940058E-2</v>
      </c>
    </row>
    <row r="12" spans="1:17" ht="16.5" x14ac:dyDescent="0.25">
      <c r="A12" s="275" t="str">
        <f>Summary!A12</f>
        <v>Average Coupon</v>
      </c>
      <c r="B12" s="287">
        <f>Summary!B12</f>
        <v>4.5456242608107066E-2</v>
      </c>
      <c r="C12" s="277"/>
      <c r="D12" s="289">
        <f>Proposal!A14</f>
        <v>200</v>
      </c>
      <c r="E12" s="290" t="str">
        <f>Proposal!B14</f>
        <v>AAA/AAA</v>
      </c>
      <c r="F12" s="291" t="str">
        <f>Proposal!C14</f>
        <v>PORT HOUSTON</v>
      </c>
      <c r="G12" s="292">
        <f>Proposal!D14</f>
        <v>4.6249999999999999E-2</v>
      </c>
      <c r="H12" s="293">
        <f>Proposal!E14</f>
        <v>42644</v>
      </c>
      <c r="I12" s="293">
        <f>Proposal!F14</f>
        <v>40817</v>
      </c>
      <c r="J12" s="294">
        <f>Proposal!G14</f>
        <v>100</v>
      </c>
      <c r="K12" s="293">
        <f>Proposal!H14</f>
        <v>0</v>
      </c>
      <c r="L12" s="295">
        <f>Proposal!I14</f>
        <v>0</v>
      </c>
      <c r="M12" s="296">
        <f>Proposal!J14</f>
        <v>100.979</v>
      </c>
      <c r="N12" s="285">
        <f>Proposal!K14</f>
        <v>4.5000394382730249E-2</v>
      </c>
      <c r="O12" s="285">
        <f>Proposal!L14</f>
        <v>4.5331208198289973E-2</v>
      </c>
      <c r="P12" s="285">
        <f>Proposal!M14</f>
        <v>4.5801602313352285E-2</v>
      </c>
      <c r="Q12" s="285">
        <f>Proposal!N14</f>
        <v>6.9210606560639126E-2</v>
      </c>
    </row>
    <row r="13" spans="1:17" ht="16.5" x14ac:dyDescent="0.25">
      <c r="A13" s="275" t="str">
        <f>Summary!A13</f>
        <v>Projected Annual Income</v>
      </c>
      <c r="B13" s="276">
        <f>Summary!B13</f>
        <v>136025</v>
      </c>
      <c r="C13" s="277"/>
      <c r="D13" s="289">
        <f>Proposal!A15</f>
        <v>200</v>
      </c>
      <c r="E13" s="290" t="str">
        <f>Proposal!B15</f>
        <v>AAA/AAA</v>
      </c>
      <c r="F13" s="291" t="str">
        <f>Proposal!C15</f>
        <v>PORT HOUSTON</v>
      </c>
      <c r="G13" s="292">
        <f>Proposal!D15</f>
        <v>4.7500000000000001E-2</v>
      </c>
      <c r="H13" s="293">
        <f>Proposal!E15</f>
        <v>43009</v>
      </c>
      <c r="I13" s="293">
        <f>Proposal!F15</f>
        <v>40817</v>
      </c>
      <c r="J13" s="294">
        <f>Proposal!G15</f>
        <v>100</v>
      </c>
      <c r="K13" s="293">
        <f>Proposal!H15</f>
        <v>0</v>
      </c>
      <c r="L13" s="295">
        <f>Proposal!I15</f>
        <v>0</v>
      </c>
      <c r="M13" s="296">
        <f>Proposal!J15</f>
        <v>101.566</v>
      </c>
      <c r="N13" s="285">
        <f>Proposal!K15</f>
        <v>4.5500440824577805E-2</v>
      </c>
      <c r="O13" s="285">
        <f>Proposal!L15</f>
        <v>4.6090725004782424E-2</v>
      </c>
      <c r="P13" s="285">
        <f>Proposal!M15</f>
        <v>4.6767619085126916E-2</v>
      </c>
      <c r="Q13" s="285">
        <f>Proposal!N15</f>
        <v>6.9979677988200664E-2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200</v>
      </c>
      <c r="E14" s="290" t="str">
        <f>Proposal!B16</f>
        <v>AAA/AAA</v>
      </c>
      <c r="F14" s="291" t="str">
        <f>Proposal!C16</f>
        <v>MONROE WISC SCH</v>
      </c>
      <c r="G14" s="292">
        <f>Proposal!D16</f>
        <v>4.8750000000000002E-2</v>
      </c>
      <c r="H14" s="293">
        <f>Proposal!E16</f>
        <v>43191</v>
      </c>
      <c r="I14" s="293">
        <f>Proposal!F16</f>
        <v>40634</v>
      </c>
      <c r="J14" s="294">
        <f>Proposal!G16</f>
        <v>100</v>
      </c>
      <c r="K14" s="293">
        <f>Proposal!H16</f>
        <v>0</v>
      </c>
      <c r="L14" s="295">
        <f>Proposal!I16</f>
        <v>0</v>
      </c>
      <c r="M14" s="296">
        <f>Proposal!J16</f>
        <v>101.309</v>
      </c>
      <c r="N14" s="285">
        <f>Proposal!K16</f>
        <v>4.6995418203832726E-2</v>
      </c>
      <c r="O14" s="285">
        <f>Proposal!L16</f>
        <v>4.7583430033765937E-2</v>
      </c>
      <c r="P14" s="285">
        <f>Proposal!M16</f>
        <v>4.8120107789041446E-2</v>
      </c>
      <c r="Q14" s="285">
        <f>Proposal!N16</f>
        <v>7.2278953197494736E-2</v>
      </c>
    </row>
    <row r="15" spans="1:17" ht="16.5" x14ac:dyDescent="0.25">
      <c r="A15" s="275" t="str">
        <f>Summary!A15</f>
        <v>Estimated Market Value</v>
      </c>
      <c r="B15" s="276">
        <f>Summary!B15</f>
        <v>3031446.1</v>
      </c>
      <c r="C15" s="277"/>
      <c r="D15" s="289">
        <f>Proposal!A17</f>
        <v>200</v>
      </c>
      <c r="E15" s="290" t="str">
        <f>Proposal!B17</f>
        <v>AAA/AA+</v>
      </c>
      <c r="F15" s="291" t="str">
        <f>Proposal!C17</f>
        <v>TROY MICH</v>
      </c>
      <c r="G15" s="292">
        <f>Proposal!D17</f>
        <v>4.5999999999999999E-2</v>
      </c>
      <c r="H15" s="293">
        <f>Proposal!E17</f>
        <v>43739</v>
      </c>
      <c r="I15" s="293">
        <f>Proposal!F17</f>
        <v>40452</v>
      </c>
      <c r="J15" s="294">
        <f>Proposal!G17</f>
        <v>100.5</v>
      </c>
      <c r="K15" s="293">
        <f>Proposal!H17</f>
        <v>41183</v>
      </c>
      <c r="L15" s="295">
        <f>Proposal!I17</f>
        <v>0</v>
      </c>
      <c r="M15" s="296">
        <f>Proposal!J17</f>
        <v>99.266999999999996</v>
      </c>
      <c r="N15" s="285">
        <f>Proposal!K17</f>
        <v>0</v>
      </c>
      <c r="O15" s="285">
        <f>Proposal!L17</f>
        <v>4.6604762367318475E-2</v>
      </c>
      <c r="P15" s="285">
        <f>Proposal!M17</f>
        <v>4.6339669779483617E-2</v>
      </c>
      <c r="Q15" s="285">
        <f>Proposal!N17</f>
        <v>7.1678124520935818E-2</v>
      </c>
    </row>
    <row r="16" spans="1:17" ht="16.5" x14ac:dyDescent="0.25">
      <c r="A16" s="275" t="str">
        <f>Summary!A16</f>
        <v>Accrued Interest</v>
      </c>
      <c r="B16" s="276">
        <f>Summary!B16</f>
        <v>25105.138888888891</v>
      </c>
      <c r="C16" s="277"/>
      <c r="D16" s="289">
        <f>Proposal!A18</f>
        <v>200</v>
      </c>
      <c r="E16" s="290" t="str">
        <f>Proposal!B18</f>
        <v>AAA/AAA</v>
      </c>
      <c r="F16" s="291" t="str">
        <f>Proposal!C18</f>
        <v>PASADENA TX</v>
      </c>
      <c r="G16" s="292">
        <f>Proposal!D18</f>
        <v>0.05</v>
      </c>
      <c r="H16" s="293">
        <f>Proposal!E18</f>
        <v>43876</v>
      </c>
      <c r="I16" s="293">
        <f>Proposal!F18</f>
        <v>40224</v>
      </c>
      <c r="J16" s="294">
        <f>Proposal!G18</f>
        <v>100</v>
      </c>
      <c r="K16" s="293">
        <f>Proposal!H18</f>
        <v>0</v>
      </c>
      <c r="L16" s="295">
        <f>Proposal!I18</f>
        <v>0</v>
      </c>
      <c r="M16" s="296">
        <f>Proposal!J18</f>
        <v>101.68</v>
      </c>
      <c r="N16" s="285">
        <f>Proposal!K18</f>
        <v>4.7496602147322292E-2</v>
      </c>
      <c r="O16" s="285">
        <f>Proposal!L18</f>
        <v>4.8593636673635893E-2</v>
      </c>
      <c r="P16" s="285">
        <f>Proposal!M18</f>
        <v>4.9173878835562547E-2</v>
      </c>
      <c r="Q16" s="285">
        <f>Proposal!N18</f>
        <v>7.3049774102581691E-2</v>
      </c>
    </row>
    <row r="17" spans="1:18" ht="16.5" x14ac:dyDescent="0.25">
      <c r="A17" s="275" t="str">
        <f>Summary!A17</f>
        <v>Total Market Value</v>
      </c>
      <c r="B17" s="276">
        <f>Summary!B17</f>
        <v>3056551.2388888891</v>
      </c>
      <c r="C17" s="277"/>
      <c r="D17" s="289">
        <f>Proposal!A19</f>
        <v>200</v>
      </c>
      <c r="E17" s="290" t="str">
        <f>Proposal!B19</f>
        <v>AAA/AAA</v>
      </c>
      <c r="F17" s="291" t="str">
        <f>Proposal!C19</f>
        <v>N.HARRIS MONT CCD</v>
      </c>
      <c r="G17" s="292">
        <f>Proposal!D19</f>
        <v>0.05</v>
      </c>
      <c r="H17" s="293">
        <f>Proposal!E19</f>
        <v>44242</v>
      </c>
      <c r="I17" s="293">
        <f>Proposal!F19</f>
        <v>40224</v>
      </c>
      <c r="J17" s="294">
        <f>Proposal!G19</f>
        <v>100</v>
      </c>
      <c r="K17" s="293">
        <f>Proposal!H19</f>
        <v>0</v>
      </c>
      <c r="L17" s="295">
        <f>Proposal!I19</f>
        <v>0</v>
      </c>
      <c r="M17" s="296">
        <f>Proposal!J19</f>
        <v>101.002</v>
      </c>
      <c r="N17" s="285">
        <f>Proposal!K19</f>
        <v>4.8496351822464444E-2</v>
      </c>
      <c r="O17" s="285">
        <f>Proposal!L19</f>
        <v>4.9182001218097786E-2</v>
      </c>
      <c r="P17" s="285">
        <f>Proposal!M19</f>
        <v>4.9503970218411526E-2</v>
      </c>
      <c r="Q17" s="285">
        <f>Proposal!N19</f>
        <v>7.4587389102950319E-2</v>
      </c>
    </row>
    <row r="18" spans="1:18" ht="16.5" x14ac:dyDescent="0.25">
      <c r="A18" s="277"/>
      <c r="B18" s="277"/>
      <c r="C18" s="323"/>
      <c r="D18" s="289">
        <f>Proposal!A20</f>
        <v>200</v>
      </c>
      <c r="E18" s="290" t="str">
        <f>Proposal!B20</f>
        <v>AAA/AAA</v>
      </c>
      <c r="F18" s="291" t="str">
        <f>Proposal!C20</f>
        <v>PHILADELPHIA PA SCH</v>
      </c>
      <c r="G18" s="292">
        <f>Proposal!D20</f>
        <v>4.4999999999999998E-2</v>
      </c>
      <c r="H18" s="293">
        <f>Proposal!E20</f>
        <v>45017</v>
      </c>
      <c r="I18" s="293">
        <f>Proposal!F20</f>
        <v>39904</v>
      </c>
      <c r="J18" s="294">
        <f>Proposal!G20</f>
        <v>100</v>
      </c>
      <c r="K18" s="293">
        <f>Proposal!H20</f>
        <v>0</v>
      </c>
      <c r="L18" s="295">
        <f>Proposal!I20</f>
        <v>0</v>
      </c>
      <c r="M18" s="296">
        <f>Proposal!J20</f>
        <v>96.012</v>
      </c>
      <c r="N18" s="285">
        <f>Proposal!K20</f>
        <v>0</v>
      </c>
      <c r="O18" s="285">
        <f>Proposal!L20</f>
        <v>4.8002236175001281E-2</v>
      </c>
      <c r="P18" s="285">
        <f>Proposal!M20</f>
        <v>4.6869141357330335E-2</v>
      </c>
      <c r="Q18" s="285">
        <f>Proposal!N20</f>
        <v>7.3827439237151973E-2</v>
      </c>
    </row>
    <row r="19" spans="1:18" ht="16.5" x14ac:dyDescent="0.25">
      <c r="A19" s="275" t="str">
        <f>Summary!A19</f>
        <v>Average Maturity ( Years )</v>
      </c>
      <c r="B19" s="299">
        <f>Summary!B19</f>
        <v>13.550823039905318</v>
      </c>
      <c r="C19" s="323"/>
      <c r="D19" s="289">
        <f>Proposal!A21</f>
        <v>100</v>
      </c>
      <c r="E19" s="290" t="str">
        <f>Proposal!B21</f>
        <v>AAA/AAA</v>
      </c>
      <c r="F19" s="291" t="str">
        <f>Proposal!C21</f>
        <v>TEXAS TURNPIKE</v>
      </c>
      <c r="G19" s="292">
        <f>Proposal!D21</f>
        <v>0.05</v>
      </c>
      <c r="H19" s="293">
        <f>Proposal!E21</f>
        <v>45658</v>
      </c>
      <c r="I19" s="293">
        <f>Proposal!F21</f>
        <v>38718</v>
      </c>
      <c r="J19" s="294">
        <f>Proposal!G21</f>
        <v>102</v>
      </c>
      <c r="K19" s="293">
        <f>Proposal!H21</f>
        <v>39448</v>
      </c>
      <c r="L19" s="295">
        <f>Proposal!I21</f>
        <v>0</v>
      </c>
      <c r="M19" s="296">
        <f>Proposal!J21</f>
        <v>100.517</v>
      </c>
      <c r="N19" s="285">
        <f>Proposal!K21</f>
        <v>4.8999733527683248E-2</v>
      </c>
      <c r="O19" s="285">
        <f>Proposal!L21</f>
        <v>4.9617915593963197E-2</v>
      </c>
      <c r="P19" s="285">
        <f>Proposal!M21</f>
        <v>4.9742829571117329E-2</v>
      </c>
      <c r="Q19" s="285">
        <f>Proposal!N21</f>
        <v>7.5361590165576836E-2</v>
      </c>
    </row>
    <row r="20" spans="1:18" ht="16.5" x14ac:dyDescent="0.25">
      <c r="A20" s="275" t="str">
        <f>Summary!A20</f>
        <v>Average Duration ( Modified )</v>
      </c>
      <c r="B20" s="299">
        <f>Summary!B20</f>
        <v>5.805543265306266</v>
      </c>
      <c r="C20" s="323"/>
      <c r="D20" s="289">
        <f>Proposal!A22</f>
        <v>100</v>
      </c>
      <c r="E20" s="290" t="str">
        <f>Proposal!B22</f>
        <v>AAA/AAA</v>
      </c>
      <c r="F20" s="291" t="str">
        <f>Proposal!C22</f>
        <v>FRISCO TX CERT OBL</v>
      </c>
      <c r="G20" s="292">
        <f>Proposal!D22</f>
        <v>0.05</v>
      </c>
      <c r="H20" s="293">
        <f>Proposal!E22</f>
        <v>45703</v>
      </c>
      <c r="I20" s="293">
        <f>Proposal!F22</f>
        <v>40589</v>
      </c>
      <c r="J20" s="294">
        <f>Proposal!G22</f>
        <v>100</v>
      </c>
      <c r="K20" s="293">
        <f>Proposal!H22</f>
        <v>0</v>
      </c>
      <c r="L20" s="295">
        <f>Proposal!I22</f>
        <v>0</v>
      </c>
      <c r="M20" s="296">
        <f>Proposal!J22</f>
        <v>100.72799999999999</v>
      </c>
      <c r="N20" s="285">
        <f>Proposal!K22</f>
        <v>4.8999005639341064E-2</v>
      </c>
      <c r="O20" s="285">
        <f>Proposal!L22</f>
        <v>4.9463737677634449E-2</v>
      </c>
      <c r="P20" s="285">
        <f>Proposal!M22</f>
        <v>4.9638630768008903E-2</v>
      </c>
      <c r="Q20" s="285">
        <f>Proposal!N22</f>
        <v>7.5360470673306562E-2</v>
      </c>
    </row>
    <row r="21" spans="1:18" ht="16.5" x14ac:dyDescent="0.25">
      <c r="A21" s="275" t="str">
        <f>Summary!A21</f>
        <v>Average Current Yield</v>
      </c>
      <c r="B21" s="300">
        <f>Summary!B21</f>
        <v>4.4871323953277614E-2</v>
      </c>
      <c r="C21" s="323"/>
      <c r="D21" s="289">
        <f>Proposal!A23</f>
        <v>200</v>
      </c>
      <c r="E21" s="290" t="str">
        <f>Proposal!B23</f>
        <v>AAA/AAA</v>
      </c>
      <c r="F21" s="291" t="str">
        <f>Proposal!C23</f>
        <v>SEATTLE WASH WTR</v>
      </c>
      <c r="G21" s="292">
        <f>Proposal!D23</f>
        <v>0.05</v>
      </c>
      <c r="H21" s="293">
        <f>Proposal!E23</f>
        <v>46327</v>
      </c>
      <c r="I21" s="293">
        <f>Proposal!F23</f>
        <v>40848</v>
      </c>
      <c r="J21" s="294">
        <f>Proposal!G23</f>
        <v>100</v>
      </c>
      <c r="K21" s="293">
        <f>Proposal!H23</f>
        <v>0</v>
      </c>
      <c r="L21" s="295">
        <f>Proposal!I23</f>
        <v>0</v>
      </c>
      <c r="M21" s="296">
        <f>Proposal!J23</f>
        <v>100.919</v>
      </c>
      <c r="N21" s="285">
        <f>Proposal!K23</f>
        <v>4.8816563893446817E-2</v>
      </c>
      <c r="O21" s="285">
        <f>Proposal!L23</f>
        <v>4.9352675039922099E-2</v>
      </c>
      <c r="P21" s="285">
        <f>Proposal!M23</f>
        <v>4.9544684350816E-2</v>
      </c>
      <c r="Q21" s="285">
        <f>Proposal!N23</f>
        <v>7.507987526812121E-2</v>
      </c>
    </row>
    <row r="22" spans="1:18" ht="16.5" x14ac:dyDescent="0.25">
      <c r="A22" s="275" t="str">
        <f>Summary!A22</f>
        <v>Average Market Yield</v>
      </c>
      <c r="B22" s="300">
        <f>Summary!B22</f>
        <v>3.925242620796477E-2</v>
      </c>
      <c r="C22" s="323"/>
      <c r="D22" s="289">
        <f>Proposal!A24</f>
        <v>200</v>
      </c>
      <c r="E22" s="290" t="str">
        <f>Proposal!B24</f>
        <v>AAA/AAA</v>
      </c>
      <c r="F22" s="291" t="str">
        <f>Proposal!C24</f>
        <v>SAN ANTONIO ISD</v>
      </c>
      <c r="G22" s="292">
        <f>Proposal!D24</f>
        <v>0.05</v>
      </c>
      <c r="H22" s="293">
        <f>Proposal!E24</f>
        <v>46614</v>
      </c>
      <c r="I22" s="293">
        <f>Proposal!F24</f>
        <v>39675</v>
      </c>
      <c r="J22" s="294">
        <f>Proposal!G24</f>
        <v>100</v>
      </c>
      <c r="K22" s="293">
        <f>Proposal!H24</f>
        <v>0</v>
      </c>
      <c r="L22" s="295">
        <f>Proposal!I24</f>
        <v>0</v>
      </c>
      <c r="M22" s="296">
        <f>Proposal!J24</f>
        <v>100.56100000000001</v>
      </c>
      <c r="N22" s="285">
        <f>Proposal!K24</f>
        <v>4.8996896735357405E-2</v>
      </c>
      <c r="O22" s="285">
        <f>Proposal!L24</f>
        <v>4.9606330960621739E-2</v>
      </c>
      <c r="P22" s="285">
        <f>Proposal!M24</f>
        <v>4.9721064826324317E-2</v>
      </c>
      <c r="Q22" s="285">
        <f>Proposal!N24</f>
        <v>7.5357227178979691E-2</v>
      </c>
    </row>
    <row r="23" spans="1:18" ht="16.5" x14ac:dyDescent="0.25">
      <c r="A23" s="275" t="str">
        <f>Summary!A23</f>
        <v>Average Cost</v>
      </c>
      <c r="B23" s="276">
        <f>Summary!B23</f>
        <v>100.71249501661129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3010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200</v>
      </c>
      <c r="Q37" s="324">
        <f>Maturity!I7</f>
        <v>6.6445182724252497E-2</v>
      </c>
    </row>
    <row r="38" spans="11:17" ht="15.75" x14ac:dyDescent="0.25">
      <c r="K38" s="320">
        <f>Maturity!B8</f>
        <v>2002</v>
      </c>
      <c r="L38" s="320">
        <f>Maturity!C8</f>
        <v>350</v>
      </c>
      <c r="M38" s="324">
        <f>Maturity!D8</f>
        <v>0.11627906976744186</v>
      </c>
      <c r="N38" s="320"/>
      <c r="O38" s="320">
        <f>Maturity!G8</f>
        <v>2017</v>
      </c>
      <c r="P38" s="320">
        <f>Maturity!H8</f>
        <v>200</v>
      </c>
      <c r="Q38" s="324">
        <f>Maturity!I8</f>
        <v>6.6445182724252497E-2</v>
      </c>
    </row>
    <row r="39" spans="11:17" ht="15.75" x14ac:dyDescent="0.25">
      <c r="K39" s="320">
        <f>Maturity!B9</f>
        <v>2003</v>
      </c>
      <c r="L39" s="320">
        <f>Maturity!C9</f>
        <v>660</v>
      </c>
      <c r="M39" s="324">
        <f>Maturity!D9</f>
        <v>0.21926910299003322</v>
      </c>
      <c r="N39" s="320"/>
      <c r="O39" s="320">
        <f>Maturity!G9</f>
        <v>2018</v>
      </c>
      <c r="P39" s="320">
        <f>Maturity!H9</f>
        <v>200</v>
      </c>
      <c r="Q39" s="324">
        <f>Maturity!I9</f>
        <v>6.6445182724252497E-2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200</v>
      </c>
      <c r="Q40" s="324">
        <f>Maturity!I10</f>
        <v>6.6445182724252497E-2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200</v>
      </c>
      <c r="Q41" s="324">
        <f>Maturity!I11</f>
        <v>6.6445182724252497E-2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200</v>
      </c>
      <c r="Q42" s="324">
        <f>Maturity!I12</f>
        <v>6.6445182724252497E-2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200</v>
      </c>
      <c r="Q44" s="324">
        <f>Maturity!I14</f>
        <v>6.6445182724252497E-2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200</v>
      </c>
      <c r="Q46" s="324">
        <f>Maturity!I16</f>
        <v>6.6445182724252497E-2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200</v>
      </c>
      <c r="Q47" s="324">
        <f>Maturity!I17</f>
        <v>6.6445182724252497E-2</v>
      </c>
    </row>
    <row r="48" spans="11:17" ht="15.75" x14ac:dyDescent="0.25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200</v>
      </c>
      <c r="Q48" s="324">
        <f>Maturity!I18</f>
        <v>6.6445182724252497E-2</v>
      </c>
    </row>
    <row r="49" spans="1:17" ht="15.75" x14ac:dyDescent="0.25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2001-11-13T20:27:48Z</cp:lastPrinted>
  <dcterms:created xsi:type="dcterms:W3CDTF">1999-01-15T20:16:09Z</dcterms:created>
  <dcterms:modified xsi:type="dcterms:W3CDTF">2023-09-11T18:44:20Z</dcterms:modified>
</cp:coreProperties>
</file>